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drawings/drawing5.xml" ContentType="application/vnd.openxmlformats-officedocument.drawing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drawings/drawing6.xml" ContentType="application/vnd.openxmlformats-officedocument.drawing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drawings/drawing12.xml" ContentType="application/vnd.openxmlformats-officedocument.drawing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kAfspraken"/>
  <bookViews>
    <workbookView xWindow="-15" yWindow="6120" windowWidth="19230" windowHeight="2730" tabRatio="912" firstSheet="1" activeTab="7"/>
  </bookViews>
  <sheets>
    <sheet name="Global--&gt;" sheetId="76" r:id="rId1"/>
    <sheet name="GlobGuiFront" sheetId="82" r:id="rId2"/>
    <sheet name="GlobGuiMedDisc" sheetId="13" r:id="rId3"/>
    <sheet name="GlobBerMedDisc" sheetId="14" r:id="rId4"/>
    <sheet name="GlobTblMedDisc" sheetId="83" r:id="rId5"/>
    <sheet name="GlobTblMedOpdr" sheetId="89" r:id="rId6"/>
    <sheet name="GlobBerLab" sheetId="86" r:id="rId7"/>
    <sheet name="GlobSettings" sheetId="75" r:id="rId8"/>
    <sheet name="GlobNames" sheetId="77" r:id="rId9"/>
    <sheet name="GlobBerConv" sheetId="25" r:id="rId10"/>
    <sheet name="GlobTblParEnt" sheetId="80" r:id="rId11"/>
    <sheet name="GlobTblEnt" sheetId="68" r:id="rId12"/>
    <sheet name="GlobBerNorm" sheetId="19" r:id="rId13"/>
    <sheet name="GlobBerSql" sheetId="88" r:id="rId14"/>
    <sheet name="GlobTemp" sheetId="7" r:id="rId15"/>
    <sheet name="Patient--&gt;" sheetId="65" r:id="rId16"/>
    <sheet name="PatText" sheetId="9" r:id="rId17"/>
    <sheet name="PatData" sheetId="8" r:id="rId18"/>
    <sheet name="PatDetails" sheetId="6" r:id="rId19"/>
    <sheet name="Pediatrie--&gt;" sheetId="63" r:id="rId20"/>
    <sheet name="PedGuiMedIV" sheetId="10" r:id="rId21"/>
    <sheet name="PedBerMedIV" sheetId="12" r:id="rId22"/>
    <sheet name="PedTblMedIV" sheetId="11" r:id="rId23"/>
    <sheet name="PedGuiLijnPM" sheetId="17" r:id="rId24"/>
    <sheet name="PedBerIVenPM" sheetId="18" r:id="rId25"/>
    <sheet name="PedTblIV" sheetId="70" r:id="rId26"/>
    <sheet name="PedGuiEntTPN" sheetId="20" r:id="rId27"/>
    <sheet name="PedBerEnt" sheetId="27" r:id="rId28"/>
    <sheet name="PedBerTPN" sheetId="21" r:id="rId29"/>
    <sheet name="PedBerTot" sheetId="24" r:id="rId30"/>
    <sheet name="PedTblParEnt" sheetId="81" r:id="rId31"/>
    <sheet name="PedTblEnt" sheetId="26" r:id="rId32"/>
    <sheet name="PedGuiLab" sheetId="58" r:id="rId33"/>
    <sheet name="PedBerLab" sheetId="57" r:id="rId34"/>
    <sheet name="PedGuiAfspr" sheetId="60" r:id="rId35"/>
    <sheet name="PedBerAfspr" sheetId="59" r:id="rId36"/>
    <sheet name="PedTblAfspr" sheetId="51" r:id="rId37"/>
    <sheet name="PedGuiAcuut" sheetId="3" r:id="rId38"/>
    <sheet name="PedTblLengte" sheetId="1" r:id="rId39"/>
    <sheet name="PedTblGew" sheetId="2" r:id="rId40"/>
    <sheet name="PedPrtAfspr" sheetId="5" r:id="rId41"/>
    <sheet name="PedPrtMedDisc" sheetId="16" r:id="rId42"/>
    <sheet name="PedPrtTPN2tot6" sheetId="28" r:id="rId43"/>
    <sheet name="PedPrtTPN7tot15" sheetId="29" r:id="rId44"/>
    <sheet name="PedPrtTPN16tot30" sheetId="30" r:id="rId45"/>
    <sheet name="PedPrtTPN31tot50" sheetId="31" r:id="rId46"/>
    <sheet name="PedPrtTPN50" sheetId="32" r:id="rId47"/>
    <sheet name="Neo--&gt;" sheetId="64" r:id="rId48"/>
    <sheet name="NeoGuiInfB" sheetId="39" r:id="rId49"/>
    <sheet name="NeoBerInfB" sheetId="45" r:id="rId50"/>
    <sheet name="NeoDataInfB" sheetId="78" r:id="rId51"/>
    <sheet name="NeoPrtWerkbr" sheetId="74" r:id="rId52"/>
    <sheet name="NeoTblMedIV" sheetId="71" r:id="rId53"/>
    <sheet name="NeoBerAdvies" sheetId="40" r:id="rId54"/>
    <sheet name="NeoTblEnt" sheetId="79" r:id="rId55"/>
    <sheet name="NeoTblLijst" sheetId="42" r:id="rId56"/>
    <sheet name="NeoGuiAfspr" sheetId="50" r:id="rId57"/>
    <sheet name="NeoBerAfspr" sheetId="52" r:id="rId58"/>
    <sheet name="NeoGuiLab" sheetId="56" r:id="rId59"/>
    <sheet name="NeoBerLab" sheetId="55" r:id="rId60"/>
    <sheet name="NeoGuiAcuut" sheetId="49" r:id="rId61"/>
    <sheet name="NeoPrtAfspr" sheetId="33" r:id="rId62"/>
    <sheet name="NeoPrtApoth" sheetId="87" r:id="rId63"/>
    <sheet name="NeoPrtMedDisc" sheetId="84" r:id="rId64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8" hidden="1">GlobNames!$A$1:$I$2255</definedName>
    <definedName name="_xlnm._FilterDatabase" localSheetId="14" hidden="1">GlobTemp!$A$2:$B$437</definedName>
    <definedName name="_xlnm._FilterDatabase" localSheetId="17" hidden="1">PatData!$A$1:$P$793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GlobBerMedDisc!$AJ$2</definedName>
    <definedName name="_Glob_MedDisc_ATC_02">GlobBerMedDisc!$AJ$3</definedName>
    <definedName name="_Glob_MedDisc_ATC_03">GlobBerMedDisc!$AJ$4</definedName>
    <definedName name="_Glob_MedDisc_ATC_04">GlobBerMedDisc!$AJ$5</definedName>
    <definedName name="_Glob_MedDisc_ATC_05">GlobBerMedDisc!$AJ$6</definedName>
    <definedName name="_Glob_MedDisc_ATC_06">GlobBerMedDisc!$AJ$7</definedName>
    <definedName name="_Glob_MedDisc_ATC_07">GlobBerMedDisc!$AJ$8</definedName>
    <definedName name="_Glob_MedDisc_ATC_08">GlobBerMedDisc!$AJ$9</definedName>
    <definedName name="_Glob_MedDisc_ATC_09">GlobBerMedDisc!$AJ$10</definedName>
    <definedName name="_Glob_MedDisc_ATC_10">GlobBerMedDisc!$AJ$11</definedName>
    <definedName name="_Glob_MedDisc_ATC_11">GlobBerMedDisc!$AJ$12</definedName>
    <definedName name="_Glob_MedDisc_ATC_12">GlobBerMedDisc!$AJ$13</definedName>
    <definedName name="_Glob_MedDisc_ATC_13">GlobBerMedDisc!$AJ$14</definedName>
    <definedName name="_Glob_MedDisc_ATC_14">GlobBerMedDisc!$AJ$15</definedName>
    <definedName name="_Glob_MedDisc_ATC_15">GlobBerMedDisc!$AJ$16</definedName>
    <definedName name="_Glob_MedDisc_ATC_16">GlobBerMedDisc!$AJ$17</definedName>
    <definedName name="_Glob_MedDisc_ATC_17">GlobBerMedDisc!$AJ$18</definedName>
    <definedName name="_Glob_MedDisc_ATC_18">GlobBerMedDisc!$AJ$19</definedName>
    <definedName name="_Glob_MedDisc_ATC_19">GlobBerMedDisc!$AJ$20</definedName>
    <definedName name="_Glob_MedDisc_ATC_20">GlobBerMedDisc!$AJ$21</definedName>
    <definedName name="_Glob_MedDisc_ATC_21">GlobBerMedDisc!$AJ$22</definedName>
    <definedName name="_Glob_MedDisc_ATC_22">GlobBerMedDisc!$AJ$23</definedName>
    <definedName name="_Glob_MedDisc_ATC_23">GlobBerMedDisc!$AJ$24</definedName>
    <definedName name="_Glob_MedDisc_ATC_24">GlobBerMedDisc!$AJ$25</definedName>
    <definedName name="_Glob_MedDisc_ATC_25">GlobBerMedDisc!$AJ$26</definedName>
    <definedName name="_Glob_MedDisc_ATC_26">GlobBerMedDisc!$AJ$27</definedName>
    <definedName name="_Glob_MedDisc_ATC_27">GlobBerMedDisc!$AJ$28</definedName>
    <definedName name="_Glob_MedDisc_ATC_28">GlobBerMedDisc!$AJ$29</definedName>
    <definedName name="_Glob_MedDisc_ATC_29">GlobBerMedDisc!$AJ$30</definedName>
    <definedName name="_Glob_MedDisc_ATC_30">GlobBerMedDisc!$AJ$31</definedName>
    <definedName name="_Glob_MedDisc_Boven_01">GlobBerMedDisc!$AU$2</definedName>
    <definedName name="_Glob_MedDisc_Boven_02">GlobBerMedDisc!$AU$3</definedName>
    <definedName name="_Glob_MedDisc_Boven_03">GlobBerMedDisc!$AU$4</definedName>
    <definedName name="_Glob_MedDisc_Boven_04">GlobBerMedDisc!$AU$5</definedName>
    <definedName name="_Glob_MedDisc_Boven_05">GlobBerMedDisc!$AU$6</definedName>
    <definedName name="_Glob_MedDisc_Boven_06">GlobBerMedDisc!$AU$7</definedName>
    <definedName name="_Glob_MedDisc_Boven_07">GlobBerMedDisc!$AU$8</definedName>
    <definedName name="_Glob_MedDisc_Boven_08">GlobBerMedDisc!$AU$9</definedName>
    <definedName name="_Glob_MedDisc_Boven_09">GlobBerMedDisc!$AU$10</definedName>
    <definedName name="_Glob_MedDisc_Boven_10">GlobBerMedDisc!$AU$11</definedName>
    <definedName name="_Glob_MedDisc_Boven_11">GlobBerMedDisc!$AU$12</definedName>
    <definedName name="_Glob_MedDisc_Boven_12">GlobBerMedDisc!$AU$13</definedName>
    <definedName name="_Glob_MedDisc_Boven_13">GlobBerMedDisc!$AU$14</definedName>
    <definedName name="_Glob_MedDisc_Boven_14">GlobBerMedDisc!$AU$15</definedName>
    <definedName name="_Glob_MedDisc_Boven_15">GlobBerMedDisc!$AU$16</definedName>
    <definedName name="_Glob_MedDisc_Boven_16">GlobBerMedDisc!$AU$17</definedName>
    <definedName name="_Glob_MedDisc_Boven_17">GlobBerMedDisc!$AU$18</definedName>
    <definedName name="_Glob_MedDisc_Boven_18">GlobBerMedDisc!$AU$19</definedName>
    <definedName name="_Glob_MedDisc_Boven_19">GlobBerMedDisc!$AU$20</definedName>
    <definedName name="_Glob_MedDisc_Boven_20">GlobBerMedDisc!$AU$21</definedName>
    <definedName name="_Glob_MedDisc_Boven_21">GlobBerMedDisc!$AU$22</definedName>
    <definedName name="_Glob_MedDisc_Boven_22">GlobBerMedDisc!$AU$23</definedName>
    <definedName name="_Glob_MedDisc_Boven_23">GlobBerMedDisc!$AU$24</definedName>
    <definedName name="_Glob_MedDisc_Boven_24">GlobBerMedDisc!$AU$25</definedName>
    <definedName name="_Glob_MedDisc_Boven_25">GlobBerMedDisc!$AU$26</definedName>
    <definedName name="_Glob_MedDisc_Boven_26">GlobBerMedDisc!$AU$27</definedName>
    <definedName name="_Glob_MedDisc_Boven_27">GlobBerMedDisc!$AU$28</definedName>
    <definedName name="_Glob_MedDisc_Boven_28">GlobBerMedDisc!$AU$29</definedName>
    <definedName name="_Glob_MedDisc_Boven_29">GlobBerMedDisc!$AU$30</definedName>
    <definedName name="_Glob_MedDisc_Boven_30">GlobBerMedDisc!$AU$31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GlobBerMedDisc!$AM$2</definedName>
    <definedName name="_Glob_MedDisc_Etiket_02">GlobBerMedDisc!$AM$3</definedName>
    <definedName name="_Glob_MedDisc_Etiket_03">GlobBerMedDisc!$AM$4</definedName>
    <definedName name="_Glob_MedDisc_Etiket_04">GlobBerMedDisc!$AM$5</definedName>
    <definedName name="_Glob_MedDisc_Etiket_05">GlobBerMedDisc!$AM$6</definedName>
    <definedName name="_Glob_MedDisc_Etiket_06">GlobBerMedDisc!$AM$7</definedName>
    <definedName name="_Glob_MedDisc_Etiket_07">GlobBerMedDisc!$AM$8</definedName>
    <definedName name="_Glob_MedDisc_Etiket_08">GlobBerMedDisc!$AM$9</definedName>
    <definedName name="_Glob_MedDisc_Etiket_09">GlobBerMedDisc!$AM$10</definedName>
    <definedName name="_Glob_MedDisc_Etiket_10">GlobBerMedDisc!$AM$11</definedName>
    <definedName name="_Glob_MedDisc_Etiket_11">GlobBerMedDisc!$AM$12</definedName>
    <definedName name="_Glob_MedDisc_Etiket_12">GlobBerMedDisc!$AM$13</definedName>
    <definedName name="_Glob_MedDisc_Etiket_13">GlobBerMedDisc!$AM$14</definedName>
    <definedName name="_Glob_MedDisc_Etiket_14">GlobBerMedDisc!$AM$15</definedName>
    <definedName name="_Glob_MedDisc_Etiket_15">GlobBerMedDisc!$AM$16</definedName>
    <definedName name="_Glob_MedDisc_Etiket_16">GlobBerMedDisc!$AM$17</definedName>
    <definedName name="_Glob_MedDisc_Etiket_17">GlobBerMedDisc!$AM$18</definedName>
    <definedName name="_Glob_MedDisc_Etiket_18">GlobBerMedDisc!$AM$19</definedName>
    <definedName name="_Glob_MedDisc_Etiket_19">GlobBerMedDisc!$AM$20</definedName>
    <definedName name="_Glob_MedDisc_Etiket_20">GlobBerMedDisc!$AM$21</definedName>
    <definedName name="_Glob_MedDisc_Etiket_21">GlobBerMedDisc!$AM$22</definedName>
    <definedName name="_Glob_MedDisc_Etiket_22">GlobBerMedDisc!$AM$23</definedName>
    <definedName name="_Glob_MedDisc_Etiket_23">GlobBerMedDisc!$AM$24</definedName>
    <definedName name="_Glob_MedDisc_Etiket_24">GlobBerMedDisc!$AM$25</definedName>
    <definedName name="_Glob_MedDisc_Etiket_25">GlobBerMedDisc!$AM$26</definedName>
    <definedName name="_Glob_MedDisc_Etiket_26">GlobBerMedDisc!$AM$27</definedName>
    <definedName name="_Glob_MedDisc_Etiket_27">GlobBerMedDisc!$AM$28</definedName>
    <definedName name="_Glob_MedDisc_Etiket_28">GlobBerMedDisc!$AM$29</definedName>
    <definedName name="_Glob_MedDisc_Etiket_29">GlobBerMedDisc!$AM$30</definedName>
    <definedName name="_Glob_MedDisc_Etiket_30">GlobBerMedDisc!$AM$31</definedName>
    <definedName name="_Glob_MedDisc_Freq_01">GlobBerMedDisc!$I$2</definedName>
    <definedName name="_Glob_MedDisc_Freq_02">GlobBerMedDisc!$I$3</definedName>
    <definedName name="_Glob_MedDisc_Freq_03">GlobBerMedDisc!$I$4</definedName>
    <definedName name="_Glob_MedDisc_Freq_04">GlobBerMedDisc!$I$5</definedName>
    <definedName name="_Glob_MedDisc_Freq_05">GlobBerMedDisc!$I$6</definedName>
    <definedName name="_Glob_MedDisc_Freq_06">GlobBerMedDisc!$I$7</definedName>
    <definedName name="_Glob_MedDisc_Freq_07">GlobBerMedDisc!$I$8</definedName>
    <definedName name="_Glob_MedDisc_Freq_08">GlobBerMedDisc!$I$9</definedName>
    <definedName name="_Glob_MedDisc_Freq_09">GlobBerMedDisc!$I$10</definedName>
    <definedName name="_Glob_MedDisc_Freq_10">GlobBerMedDisc!$I$11</definedName>
    <definedName name="_Glob_MedDisc_Freq_11">GlobBerMedDisc!$I$12</definedName>
    <definedName name="_Glob_MedDisc_Freq_12">GlobBerMedDisc!$I$13</definedName>
    <definedName name="_Glob_MedDisc_Freq_13">GlobBerMedDisc!$I$14</definedName>
    <definedName name="_Glob_MedDisc_Freq_14">GlobBerMedDisc!$I$15</definedName>
    <definedName name="_Glob_MedDisc_Freq_15">GlobBerMedDisc!$I$16</definedName>
    <definedName name="_Glob_MedDisc_Freq_16">GlobBerMedDisc!$I$17</definedName>
    <definedName name="_Glob_MedDisc_Freq_17">GlobBerMedDisc!$I$18</definedName>
    <definedName name="_Glob_MedDisc_Freq_18">GlobBerMedDisc!$I$19</definedName>
    <definedName name="_Glob_MedDisc_Freq_19">GlobBerMedDisc!$I$20</definedName>
    <definedName name="_Glob_MedDisc_Freq_20">GlobBerMedDisc!$I$21</definedName>
    <definedName name="_Glob_MedDisc_Freq_21">GlobBerMedDisc!$I$22</definedName>
    <definedName name="_Glob_MedDisc_Freq_22">GlobBerMedDisc!$I$23</definedName>
    <definedName name="_Glob_MedDisc_Freq_23">GlobBerMedDisc!$I$24</definedName>
    <definedName name="_Glob_MedDisc_Freq_24">GlobBerMedDisc!$I$25</definedName>
    <definedName name="_Glob_MedDisc_Freq_25">GlobBerMedDisc!$I$26</definedName>
    <definedName name="_Glob_MedDisc_Freq_26">GlobBerMedDisc!$I$27</definedName>
    <definedName name="_Glob_MedDisc_Freq_27">GlobBerMedDisc!$I$28</definedName>
    <definedName name="_Glob_MedDisc_Freq_28">GlobBerMedDisc!$I$29</definedName>
    <definedName name="_Glob_MedDisc_Freq_29">GlobBerMedDisc!$I$30</definedName>
    <definedName name="_Glob_MedDisc_Freq_30">GlobBerMedDisc!$I$31</definedName>
    <definedName name="_Glob_MedDisc_FreqList_01">GlobBerMedDisc!$BE$2</definedName>
    <definedName name="_Glob_MedDisc_FreqList_02">GlobBerMedDisc!$BE$3</definedName>
    <definedName name="_Glob_MedDisc_FreqList_03">GlobBerMedDisc!$BE$4</definedName>
    <definedName name="_Glob_MedDisc_FreqList_04">GlobBerMedDisc!$BE$5</definedName>
    <definedName name="_Glob_MedDisc_FreqList_05">GlobBerMedDisc!$BE$6</definedName>
    <definedName name="_Glob_MedDisc_FreqList_06">GlobBerMedDisc!$BE$7</definedName>
    <definedName name="_Glob_MedDisc_FreqList_07">GlobBerMedDisc!$BE$8</definedName>
    <definedName name="_Glob_MedDisc_FreqList_08">GlobBerMedDisc!$BE$9</definedName>
    <definedName name="_Glob_MedDisc_FreqList_09">GlobBerMedDisc!$BE$10</definedName>
    <definedName name="_Glob_MedDisc_FreqList_10">GlobBerMedDisc!$BE$11</definedName>
    <definedName name="_Glob_MedDisc_FreqList_11">GlobBerMedDisc!$BE$12</definedName>
    <definedName name="_Glob_MedDisc_FreqList_12">GlobBerMedDisc!$BE$13</definedName>
    <definedName name="_Glob_MedDisc_FreqList_13">GlobBerMedDisc!$BE$14</definedName>
    <definedName name="_Glob_MedDisc_FreqList_14">GlobBerMedDisc!$BE$15</definedName>
    <definedName name="_Glob_MedDisc_FreqList_15">GlobBerMedDisc!$BE$16</definedName>
    <definedName name="_Glob_MedDisc_FreqList_16">GlobBerMedDisc!$BE$17</definedName>
    <definedName name="_Glob_MedDisc_FreqList_17">GlobBerMedDisc!$BE$18</definedName>
    <definedName name="_Glob_MedDisc_FreqList_18">GlobBerMedDisc!$BE$19</definedName>
    <definedName name="_Glob_MedDisc_FreqList_19">GlobBerMedDisc!$BE$20</definedName>
    <definedName name="_Glob_MedDisc_FreqList_20">GlobBerMedDisc!$BE$21</definedName>
    <definedName name="_Glob_MedDisc_FreqList_21">GlobBerMedDisc!$BE$22</definedName>
    <definedName name="_Glob_MedDisc_FreqList_22">GlobBerMedDisc!$BE$23</definedName>
    <definedName name="_Glob_MedDisc_FreqList_23">GlobBerMedDisc!$BE$24</definedName>
    <definedName name="_Glob_MedDisc_FreqList_24">GlobBerMedDisc!$BE$25</definedName>
    <definedName name="_Glob_MedDisc_FreqList_25">GlobBerMedDisc!$BE$26</definedName>
    <definedName name="_Glob_MedDisc_FreqList_26">GlobBerMedDisc!$BE$27</definedName>
    <definedName name="_Glob_MedDisc_FreqList_27">GlobBerMedDisc!$BE$28</definedName>
    <definedName name="_Glob_MedDisc_FreqList_28">GlobBerMedDisc!$BE$29</definedName>
    <definedName name="_Glob_MedDisc_FreqList_29">GlobBerMedDisc!$BE$30</definedName>
    <definedName name="_Glob_MedDisc_FreqList_30">GlobBerMedDisc!$BE$31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HasDose_01">GlobBerMedDisc!$BP$2</definedName>
    <definedName name="_Glob_MedDisc_HasDose_02">GlobBerMedDisc!$BP$3</definedName>
    <definedName name="_Glob_MedDisc_HasDose_03">GlobBerMedDisc!$BP$4</definedName>
    <definedName name="_Glob_MedDisc_HasDose_04">GlobBerMedDisc!$BP$5</definedName>
    <definedName name="_Glob_MedDisc_HasDose_05">GlobBerMedDisc!$BP$6</definedName>
    <definedName name="_Glob_MedDisc_HasDose_06">GlobBerMedDisc!$BP$7</definedName>
    <definedName name="_Glob_MedDisc_HasDose_07">GlobBerMedDisc!$BP$8</definedName>
    <definedName name="_Glob_MedDisc_HasDose_08">GlobBerMedDisc!$BP$9</definedName>
    <definedName name="_Glob_MedDisc_HasDose_09">GlobBerMedDisc!$BP$10</definedName>
    <definedName name="_Glob_MedDisc_HasDose_10">GlobBerMedDisc!$BP$11</definedName>
    <definedName name="_Glob_MedDisc_HasDose_11">GlobBerMedDisc!$BP$12</definedName>
    <definedName name="_Glob_MedDisc_HasDose_12">GlobBerMedDisc!$BP$13</definedName>
    <definedName name="_Glob_MedDisc_HasDose_13">GlobBerMedDisc!$BP$14</definedName>
    <definedName name="_Glob_MedDisc_HasDose_14">GlobBerMedDisc!$BP$15</definedName>
    <definedName name="_Glob_MedDisc_HasDose_15">GlobBerMedDisc!$BP$16</definedName>
    <definedName name="_Glob_MedDisc_HasDose_16">GlobBerMedDisc!$BP$17</definedName>
    <definedName name="_Glob_MedDisc_HasDose_17">GlobBerMedDisc!$BP$18</definedName>
    <definedName name="_Glob_MedDisc_HasDose_18">GlobBerMedDisc!$BP$19</definedName>
    <definedName name="_Glob_MedDisc_HasDose_19">GlobBerMedDisc!$BP$20</definedName>
    <definedName name="_Glob_MedDisc_HasDose_20">GlobBerMedDisc!$BP$21</definedName>
    <definedName name="_Glob_MedDisc_HasDose_21">GlobBerMedDisc!$BP$22</definedName>
    <definedName name="_Glob_MedDisc_HasDose_22">GlobBerMedDisc!$BP$23</definedName>
    <definedName name="_Glob_MedDisc_HasDose_23">GlobBerMedDisc!$BP$24</definedName>
    <definedName name="_Glob_MedDisc_HasDose_24">GlobBerMedDisc!$BP$25</definedName>
    <definedName name="_Glob_MedDisc_HasDose_25">GlobBerMedDisc!$BP$26</definedName>
    <definedName name="_Glob_MedDisc_HasDose_26">GlobBerMedDisc!$BP$27</definedName>
    <definedName name="_Glob_MedDisc_HasDose_27">GlobBerMedDisc!$BP$28</definedName>
    <definedName name="_Glob_MedDisc_HasDose_28">GlobBerMedDisc!$BP$29</definedName>
    <definedName name="_Glob_MedDisc_HasDose_29">GlobBerMedDisc!$BP$30</definedName>
    <definedName name="_Glob_MedDisc_HasDose_30">GlobBerMedDisc!$BP$31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MaxConc_01">GlobBerMedDisc!$AX$2</definedName>
    <definedName name="_Glob_MedDisc_MaxConc_02">GlobBerMedDisc!$AX$3</definedName>
    <definedName name="_Glob_MedDisc_MaxConc_03">GlobBerMedDisc!$AX$4</definedName>
    <definedName name="_Glob_MedDisc_MaxConc_04">GlobBerMedDisc!$AX$5</definedName>
    <definedName name="_Glob_MedDisc_MaxConc_05">GlobBerMedDisc!$AX$6</definedName>
    <definedName name="_Glob_MedDisc_MaxConc_06">GlobBerMedDisc!$AX$7</definedName>
    <definedName name="_Glob_MedDisc_MaxConc_07">GlobBerMedDisc!$AX$8</definedName>
    <definedName name="_Glob_MedDisc_MaxConc_08">GlobBerMedDisc!$AX$9</definedName>
    <definedName name="_Glob_MedDisc_MaxConc_09">GlobBerMedDisc!$AX$10</definedName>
    <definedName name="_Glob_MedDisc_MaxConc_10">GlobBerMedDisc!$AX$11</definedName>
    <definedName name="_Glob_MedDisc_MaxConc_11">GlobBerMedDisc!$AX$12</definedName>
    <definedName name="_Glob_MedDisc_MaxConc_12">GlobBerMedDisc!$AX$13</definedName>
    <definedName name="_Glob_MedDisc_MaxConc_13">GlobBerMedDisc!$AX$14</definedName>
    <definedName name="_Glob_MedDisc_MaxConc_14">GlobBerMedDisc!$AX$15</definedName>
    <definedName name="_Glob_MedDisc_MaxConc_15">GlobBerMedDisc!$AX$16</definedName>
    <definedName name="_Glob_MedDisc_MaxConc_16">GlobBerMedDisc!$AX$17</definedName>
    <definedName name="_Glob_MedDisc_MaxConc_17">GlobBerMedDisc!$AX$18</definedName>
    <definedName name="_Glob_MedDisc_MaxConc_18">GlobBerMedDisc!$AX$19</definedName>
    <definedName name="_Glob_MedDisc_MaxConc_19">GlobBerMedDisc!$AX$20</definedName>
    <definedName name="_Glob_MedDisc_MaxConc_20">GlobBerMedDisc!$AX$21</definedName>
    <definedName name="_Glob_MedDisc_MaxConc_21">GlobBerMedDisc!$AX$22</definedName>
    <definedName name="_Glob_MedDisc_MaxConc_22">GlobBerMedDisc!$AX$23</definedName>
    <definedName name="_Glob_MedDisc_MaxConc_23">GlobBerMedDisc!$AX$24</definedName>
    <definedName name="_Glob_MedDisc_MaxConc_24">GlobBerMedDisc!$AX$25</definedName>
    <definedName name="_Glob_MedDisc_MaxConc_25">GlobBerMedDisc!$AX$26</definedName>
    <definedName name="_Glob_MedDisc_MaxConc_26">GlobBerMedDisc!$AX$27</definedName>
    <definedName name="_Glob_MedDisc_MaxConc_27">GlobBerMedDisc!$AX$28</definedName>
    <definedName name="_Glob_MedDisc_MaxConc_28">GlobBerMedDisc!$AX$29</definedName>
    <definedName name="_Glob_MedDisc_MaxConc_29">GlobBerMedDisc!$AX$30</definedName>
    <definedName name="_Glob_MedDisc_MaxConc_30">GlobBerMedDisc!$AX$31</definedName>
    <definedName name="_Glob_MedDisc_MaxDose_01">GlobBerMedDisc!$BJ$2</definedName>
    <definedName name="_Glob_MedDisc_MaxDose_02">GlobBerMedDisc!$BJ$3</definedName>
    <definedName name="_Glob_MedDisc_MaxDose_03">GlobBerMedDisc!$BJ$4</definedName>
    <definedName name="_Glob_MedDisc_MaxDose_04">GlobBerMedDisc!$BJ$5</definedName>
    <definedName name="_Glob_MedDisc_MaxDose_05">GlobBerMedDisc!$BJ$6</definedName>
    <definedName name="_Glob_MedDisc_MaxDose_06">GlobBerMedDisc!$BJ$7</definedName>
    <definedName name="_Glob_MedDisc_MaxDose_07">GlobBerMedDisc!$BJ$8</definedName>
    <definedName name="_Glob_MedDisc_MaxDose_08">GlobBerMedDisc!$BJ$9</definedName>
    <definedName name="_Glob_MedDisc_MaxDose_09">GlobBerMedDisc!$BJ$10</definedName>
    <definedName name="_Glob_MedDisc_MaxDose_10">GlobBerMedDisc!$BJ$11</definedName>
    <definedName name="_Glob_MedDisc_MaxDose_11">GlobBerMedDisc!$BJ$12</definedName>
    <definedName name="_Glob_MedDisc_MaxDose_12">GlobBerMedDisc!$BJ$13</definedName>
    <definedName name="_Glob_MedDisc_MaxDose_13">GlobBerMedDisc!$BJ$14</definedName>
    <definedName name="_Glob_MedDisc_MaxDose_14">GlobBerMedDisc!$BJ$15</definedName>
    <definedName name="_Glob_MedDisc_MaxDose_15">GlobBerMedDisc!$BJ$16</definedName>
    <definedName name="_Glob_MedDisc_MaxDose_16">GlobBerMedDisc!$BJ$17</definedName>
    <definedName name="_Glob_MedDisc_MaxDose_17">GlobBerMedDisc!$BJ$18</definedName>
    <definedName name="_Glob_MedDisc_MaxDose_18">GlobBerMedDisc!$BJ$19</definedName>
    <definedName name="_Glob_MedDisc_MaxDose_19">GlobBerMedDisc!$BJ$20</definedName>
    <definedName name="_Glob_MedDisc_MaxDose_20">GlobBerMedDisc!$BJ$21</definedName>
    <definedName name="_Glob_MedDisc_MaxDose_21">GlobBerMedDisc!$BJ$22</definedName>
    <definedName name="_Glob_MedDisc_MaxDose_22">GlobBerMedDisc!$BJ$23</definedName>
    <definedName name="_Glob_MedDisc_MaxDose_23">GlobBerMedDisc!$BJ$24</definedName>
    <definedName name="_Glob_MedDisc_MaxDose_24">GlobBerMedDisc!$BJ$25</definedName>
    <definedName name="_Glob_MedDisc_MaxDose_25">GlobBerMedDisc!$BJ$26</definedName>
    <definedName name="_Glob_MedDisc_MaxDose_26">GlobBerMedDisc!$BJ$27</definedName>
    <definedName name="_Glob_MedDisc_MaxDose_27">GlobBerMedDisc!$BJ$28</definedName>
    <definedName name="_Glob_MedDisc_MaxDose_28">GlobBerMedDisc!$BJ$29</definedName>
    <definedName name="_Glob_MedDisc_MaxDose_29">GlobBerMedDisc!$BJ$30</definedName>
    <definedName name="_Glob_MedDisc_MaxDose_30">GlobBerMedDisc!$BJ$31</definedName>
    <definedName name="_Glob_MedDisc_MaxKeer_01">GlobBerMedDisc!$BT$2</definedName>
    <definedName name="_Glob_MedDisc_MaxKeer_02">GlobBerMedDisc!$BT$3</definedName>
    <definedName name="_Glob_MedDisc_MaxKeer_03">GlobBerMedDisc!$BT$4</definedName>
    <definedName name="_Glob_MedDisc_MaxKeer_04">GlobBerMedDisc!$BT$5</definedName>
    <definedName name="_Glob_MedDisc_MaxKeer_05">GlobBerMedDisc!$BT$6</definedName>
    <definedName name="_Glob_MedDisc_MaxKeer_06">GlobBerMedDisc!$BT$7</definedName>
    <definedName name="_Glob_MedDisc_MaxKeer_07">GlobBerMedDisc!$BT$8</definedName>
    <definedName name="_Glob_MedDisc_MaxKeer_08">GlobBerMedDisc!$BT$9</definedName>
    <definedName name="_Glob_MedDisc_MaxKeer_09">GlobBerMedDisc!$BT$10</definedName>
    <definedName name="_Glob_MedDisc_MaxKeer_10">GlobBerMedDisc!$BT$11</definedName>
    <definedName name="_Glob_MedDisc_MaxKeer_11">GlobBerMedDisc!$BT$12</definedName>
    <definedName name="_Glob_MedDisc_MaxKeer_12">GlobBerMedDisc!$BT$13</definedName>
    <definedName name="_Glob_MedDisc_MaxKeer_13">GlobBerMedDisc!$BT$14</definedName>
    <definedName name="_Glob_MedDisc_MaxKeer_14">GlobBerMedDisc!$BT$15</definedName>
    <definedName name="_Glob_MedDisc_MaxKeer_15">GlobBerMedDisc!$BT$16</definedName>
    <definedName name="_Glob_MedDisc_MaxKeer_16">GlobBerMedDisc!$BT$17</definedName>
    <definedName name="_Glob_MedDisc_MaxKeer_17">GlobBerMedDisc!$BT$18</definedName>
    <definedName name="_Glob_MedDisc_MaxKeer_18">GlobBerMedDisc!$BT$19</definedName>
    <definedName name="_Glob_MedDisc_MaxKeer_19">GlobBerMedDisc!$BT$20</definedName>
    <definedName name="_Glob_MedDisc_MaxKeer_20">GlobBerMedDisc!$BT$21</definedName>
    <definedName name="_Glob_MedDisc_MaxKeer_21">GlobBerMedDisc!$BT$22</definedName>
    <definedName name="_Glob_MedDisc_MaxKeer_22">GlobBerMedDisc!$BT$23</definedName>
    <definedName name="_Glob_MedDisc_MaxKeer_23">GlobBerMedDisc!$BT$24</definedName>
    <definedName name="_Glob_MedDisc_MaxKeer_24">GlobBerMedDisc!$BT$25</definedName>
    <definedName name="_Glob_MedDisc_MaxKeer_25">GlobBerMedDisc!$BT$26</definedName>
    <definedName name="_Glob_MedDisc_MaxKeer_26">GlobBerMedDisc!$BT$27</definedName>
    <definedName name="_Glob_MedDisc_MaxKeer_27">GlobBerMedDisc!$BT$28</definedName>
    <definedName name="_Glob_MedDisc_MaxKeer_28">GlobBerMedDisc!$BT$29</definedName>
    <definedName name="_Glob_MedDisc_MaxKeer_29">GlobBerMedDisc!$BT$30</definedName>
    <definedName name="_Glob_MedDisc_MaxKeer_30">GlobBerMedDisc!$BT$31</definedName>
    <definedName name="_Glob_MedDisc_MinTijd_01">GlobBerMedDisc!$AZ$2</definedName>
    <definedName name="_Glob_MedDisc_MinTijd_02">GlobBerMedDisc!$AZ$3</definedName>
    <definedName name="_Glob_MedDisc_MinTijd_03">GlobBerMedDisc!$AZ$4</definedName>
    <definedName name="_Glob_MedDisc_MinTijd_04">GlobBerMedDisc!$AZ$5</definedName>
    <definedName name="_Glob_MedDisc_MinTijd_05">GlobBerMedDisc!$AZ$6</definedName>
    <definedName name="_Glob_MedDisc_MinTijd_06">GlobBerMedDisc!$AZ$7</definedName>
    <definedName name="_Glob_MedDisc_MinTijd_07">GlobBerMedDisc!$AZ$8</definedName>
    <definedName name="_Glob_MedDisc_MinTijd_08">GlobBerMedDisc!$AZ$9</definedName>
    <definedName name="_Glob_MedDisc_MinTijd_09">GlobBerMedDisc!$AZ$10</definedName>
    <definedName name="_Glob_MedDisc_MinTijd_10">GlobBerMedDisc!$AZ$11</definedName>
    <definedName name="_Glob_MedDisc_MinTijd_11">GlobBerMedDisc!$AZ$12</definedName>
    <definedName name="_Glob_MedDisc_MinTijd_12">GlobBerMedDisc!$AZ$13</definedName>
    <definedName name="_Glob_MedDisc_MinTijd_13">GlobBerMedDisc!$AZ$14</definedName>
    <definedName name="_Glob_MedDisc_MinTijd_14">GlobBerMedDisc!$AZ$15</definedName>
    <definedName name="_Glob_MedDisc_MinTijd_15">GlobBerMedDisc!$AZ$16</definedName>
    <definedName name="_Glob_MedDisc_MinTijd_16">GlobBerMedDisc!$AZ$17</definedName>
    <definedName name="_Glob_MedDisc_MinTijd_17">GlobBerMedDisc!$AZ$18</definedName>
    <definedName name="_Glob_MedDisc_MinTijd_18">GlobBerMedDisc!$AZ$19</definedName>
    <definedName name="_Glob_MedDisc_MinTijd_19">GlobBerMedDisc!$AZ$20</definedName>
    <definedName name="_Glob_MedDisc_MinTijd_20">GlobBerMedDisc!$AZ$21</definedName>
    <definedName name="_Glob_MedDisc_MinTijd_21">GlobBerMedDisc!$AZ$22</definedName>
    <definedName name="_Glob_MedDisc_MinTijd_22">GlobBerMedDisc!$AZ$23</definedName>
    <definedName name="_Glob_MedDisc_MinTijd_23">GlobBerMedDisc!$AZ$24</definedName>
    <definedName name="_Glob_MedDisc_MinTijd_24">GlobBerMedDisc!$AZ$25</definedName>
    <definedName name="_Glob_MedDisc_MinTijd_25">GlobBerMedDisc!$AZ$26</definedName>
    <definedName name="_Glob_MedDisc_MinTijd_26">GlobBerMedDisc!$AZ$27</definedName>
    <definedName name="_Glob_MedDisc_MinTijd_27">GlobBerMedDisc!$AZ$28</definedName>
    <definedName name="_Glob_MedDisc_MinTijd_28">GlobBerMedDisc!$AZ$29</definedName>
    <definedName name="_Glob_MedDisc_MinTijd_29">GlobBerMedDisc!$AZ$30</definedName>
    <definedName name="_Glob_MedDisc_MinTijd_30">GlobBerMedDisc!$AZ$31</definedName>
    <definedName name="_Glob_MedDisc_NormDose_01">GlobBerMedDisc!$BG$2</definedName>
    <definedName name="_Glob_MedDisc_NormDose_02">GlobBerMedDisc!$BG$3</definedName>
    <definedName name="_Glob_MedDisc_NormDose_03">GlobBerMedDisc!$BG$4</definedName>
    <definedName name="_Glob_MedDisc_NormDose_04">GlobBerMedDisc!$BG$5</definedName>
    <definedName name="_Glob_MedDisc_NormDose_05">GlobBerMedDisc!$BG$6</definedName>
    <definedName name="_Glob_MedDisc_NormDose_06">GlobBerMedDisc!$BG$7</definedName>
    <definedName name="_Glob_MedDisc_NormDose_07">GlobBerMedDisc!$BG$8</definedName>
    <definedName name="_Glob_MedDisc_NormDose_08">GlobBerMedDisc!$BG$9</definedName>
    <definedName name="_Glob_MedDisc_NormDose_09">GlobBerMedDisc!$BG$10</definedName>
    <definedName name="_Glob_MedDisc_NormDose_10">GlobBerMedDisc!$BG$11</definedName>
    <definedName name="_Glob_MedDisc_NormDose_11">GlobBerMedDisc!$BG$12</definedName>
    <definedName name="_Glob_MedDisc_NormDose_12">GlobBerMedDisc!$BG$13</definedName>
    <definedName name="_Glob_MedDisc_NormDose_13">GlobBerMedDisc!$BG$14</definedName>
    <definedName name="_Glob_MedDisc_NormDose_14">GlobBerMedDisc!$BG$15</definedName>
    <definedName name="_Glob_MedDisc_NormDose_15">GlobBerMedDisc!$BG$16</definedName>
    <definedName name="_Glob_MedDisc_NormDose_16">GlobBerMedDisc!$BG$17</definedName>
    <definedName name="_Glob_MedDisc_NormDose_17">GlobBerMedDisc!$BG$18</definedName>
    <definedName name="_Glob_MedDisc_NormDose_18">GlobBerMedDisc!$BG$19</definedName>
    <definedName name="_Glob_MedDisc_NormDose_19">GlobBerMedDisc!$BG$20</definedName>
    <definedName name="_Glob_MedDisc_NormDose_20">GlobBerMedDisc!$BG$21</definedName>
    <definedName name="_Glob_MedDisc_NormDose_21">GlobBerMedDisc!$BG$22</definedName>
    <definedName name="_Glob_MedDisc_NormDose_22">GlobBerMedDisc!$BG$23</definedName>
    <definedName name="_Glob_MedDisc_NormDose_23">GlobBerMedDisc!$BG$24</definedName>
    <definedName name="_Glob_MedDisc_NormDose_24">GlobBerMedDisc!$BG$25</definedName>
    <definedName name="_Glob_MedDisc_NormDose_25">GlobBerMedDisc!$BG$26</definedName>
    <definedName name="_Glob_MedDisc_NormDose_26">GlobBerMedDisc!$BG$27</definedName>
    <definedName name="_Glob_MedDisc_NormDose_27">GlobBerMedDisc!$BG$28</definedName>
    <definedName name="_Glob_MedDisc_NormDose_28">GlobBerMedDisc!$BG$29</definedName>
    <definedName name="_Glob_MedDisc_NormDose_29">GlobBerMedDisc!$BG$30</definedName>
    <definedName name="_Glob_MedDisc_NormDose_30">GlobBerMedDisc!$BG$31</definedName>
    <definedName name="_Glob_MedDisc_Onder_01">GlobBerMedDisc!$AT$2</definedName>
    <definedName name="_Glob_MedDisc_Onder_02">GlobBerMedDisc!$AT$3</definedName>
    <definedName name="_Glob_MedDisc_Onder_03">GlobBerMedDisc!$AT$4</definedName>
    <definedName name="_Glob_MedDisc_Onder_04">GlobBerMedDisc!$AT$5</definedName>
    <definedName name="_Glob_MedDisc_Onder_05">GlobBerMedDisc!$AT$6</definedName>
    <definedName name="_Glob_MedDisc_Onder_06">GlobBerMedDisc!$AT$7</definedName>
    <definedName name="_Glob_MedDisc_Onder_07">GlobBerMedDisc!$AT$8</definedName>
    <definedName name="_Glob_MedDisc_Onder_08">GlobBerMedDisc!$AT$9</definedName>
    <definedName name="_Glob_MedDisc_Onder_09">GlobBerMedDisc!$AT$10</definedName>
    <definedName name="_Glob_MedDisc_Onder_10">GlobBerMedDisc!$AT$11</definedName>
    <definedName name="_Glob_MedDisc_Onder_11">GlobBerMedDisc!$AT$12</definedName>
    <definedName name="_Glob_MedDisc_Onder_12">GlobBerMedDisc!$AT$13</definedName>
    <definedName name="_Glob_MedDisc_Onder_13">GlobBerMedDisc!$AT$14</definedName>
    <definedName name="_Glob_MedDisc_Onder_14">GlobBerMedDisc!$AT$15</definedName>
    <definedName name="_Glob_MedDisc_Onder_15">GlobBerMedDisc!$AT$16</definedName>
    <definedName name="_Glob_MedDisc_Onder_16">GlobBerMedDisc!$AT$17</definedName>
    <definedName name="_Glob_MedDisc_Onder_17">GlobBerMedDisc!$AT$18</definedName>
    <definedName name="_Glob_MedDisc_Onder_18">GlobBerMedDisc!$AT$19</definedName>
    <definedName name="_Glob_MedDisc_Onder_19">GlobBerMedDisc!$AT$20</definedName>
    <definedName name="_Glob_MedDisc_Onder_20">GlobBerMedDisc!$AT$21</definedName>
    <definedName name="_Glob_MedDisc_Onder_21">GlobBerMedDisc!$AT$22</definedName>
    <definedName name="_Glob_MedDisc_Onder_22">GlobBerMedDisc!$AT$23</definedName>
    <definedName name="_Glob_MedDisc_Onder_23">GlobBerMedDisc!$AT$24</definedName>
    <definedName name="_Glob_MedDisc_Onder_24">GlobBerMedDisc!$AT$25</definedName>
    <definedName name="_Glob_MedDisc_Onder_25">GlobBerMedDisc!$AT$26</definedName>
    <definedName name="_Glob_MedDisc_Onder_26">GlobBerMedDisc!$AT$27</definedName>
    <definedName name="_Glob_MedDisc_Onder_27">GlobBerMedDisc!$AT$28</definedName>
    <definedName name="_Glob_MedDisc_Onder_28">GlobBerMedDisc!$AT$29</definedName>
    <definedName name="_Glob_MedDisc_Onder_29">GlobBerMedDisc!$AT$30</definedName>
    <definedName name="_Glob_MedDisc_Onder_30">GlobBerMedDisc!$AT$31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lst_01">GlobBerMedDisc!$AY$2</definedName>
    <definedName name="_Glob_MedDisc_OplVlst_02">GlobBerMedDisc!$AY$3</definedName>
    <definedName name="_Glob_MedDisc_OplVlst_03">GlobBerMedDisc!$AY$4</definedName>
    <definedName name="_Glob_MedDisc_OplVlst_04">GlobBerMedDisc!$AY$5</definedName>
    <definedName name="_Glob_MedDisc_OplVlst_05">GlobBerMedDisc!$AY$6</definedName>
    <definedName name="_Glob_MedDisc_OplVlst_06">GlobBerMedDisc!$AY$7</definedName>
    <definedName name="_Glob_MedDisc_OplVlst_07">GlobBerMedDisc!$AY$8</definedName>
    <definedName name="_Glob_MedDisc_OplVlst_08">GlobBerMedDisc!$AY$9</definedName>
    <definedName name="_Glob_MedDisc_OplVlst_09">GlobBerMedDisc!$AY$10</definedName>
    <definedName name="_Glob_MedDisc_OplVlst_10">GlobBerMedDisc!$AY$11</definedName>
    <definedName name="_Glob_MedDisc_OplVlst_11">GlobBerMedDisc!$AY$12</definedName>
    <definedName name="_Glob_MedDisc_OplVlst_12">GlobBerMedDisc!$AY$13</definedName>
    <definedName name="_Glob_MedDisc_OplVlst_13">GlobBerMedDisc!$AY$14</definedName>
    <definedName name="_Glob_MedDisc_OplVlst_14">GlobBerMedDisc!$AY$15</definedName>
    <definedName name="_Glob_MedDisc_OplVlst_15">GlobBerMedDisc!$AY$16</definedName>
    <definedName name="_Glob_MedDisc_OplVlst_16">GlobBerMedDisc!$AY$17</definedName>
    <definedName name="_Glob_MedDisc_OplVlst_17">GlobBerMedDisc!$AY$18</definedName>
    <definedName name="_Glob_MedDisc_OplVlst_18">GlobBerMedDisc!$AY$19</definedName>
    <definedName name="_Glob_MedDisc_OplVlst_19">GlobBerMedDisc!$AY$20</definedName>
    <definedName name="_Glob_MedDisc_OplVlst_20">GlobBerMedDisc!$AY$21</definedName>
    <definedName name="_Glob_MedDisc_OplVlst_21">GlobBerMedDisc!$AY$22</definedName>
    <definedName name="_Glob_MedDisc_OplVlst_22">GlobBerMedDisc!$AY$23</definedName>
    <definedName name="_Glob_MedDisc_OplVlst_23">GlobBerMedDisc!$AY$24</definedName>
    <definedName name="_Glob_MedDisc_OplVlst_24">GlobBerMedDisc!$AY$25</definedName>
    <definedName name="_Glob_MedDisc_OplVlst_25">GlobBerMedDisc!$AY$26</definedName>
    <definedName name="_Glob_MedDisc_OplVlst_26">GlobBerMedDisc!$AY$27</definedName>
    <definedName name="_Glob_MedDisc_OplVlst_27">GlobBerMedDisc!$AY$28</definedName>
    <definedName name="_Glob_MedDisc_OplVlst_28">GlobBerMedDisc!$AY$29</definedName>
    <definedName name="_Glob_MedDisc_OplVlst_29">GlobBerMedDisc!$AY$30</definedName>
    <definedName name="_Glob_MedDisc_OplVlst_30">GlobBerMedDisc!$AY$31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GlobBerMedDisc!$AD$2</definedName>
    <definedName name="_Glob_MedDisc_Opm_02">GlobBerMedDisc!$AD$3</definedName>
    <definedName name="_Glob_MedDisc_Opm_03">GlobBerMedDisc!$AD$4</definedName>
    <definedName name="_Glob_MedDisc_Opm_04">GlobBerMedDisc!$AD$5</definedName>
    <definedName name="_Glob_MedDisc_Opm_05">GlobBerMedDisc!$AD$6</definedName>
    <definedName name="_Glob_MedDisc_Opm_06">GlobBerMedDisc!$AD$7</definedName>
    <definedName name="_Glob_MedDisc_Opm_07">GlobBerMedDisc!$AD$8</definedName>
    <definedName name="_Glob_MedDisc_Opm_08">GlobBerMedDisc!$AD$9</definedName>
    <definedName name="_Glob_MedDisc_Opm_09">GlobBerMedDisc!$AD$10</definedName>
    <definedName name="_Glob_MedDisc_Opm_10">GlobBerMedDisc!$AD$11</definedName>
    <definedName name="_Glob_MedDisc_Opm_11">GlobBerMedDisc!$AD$12</definedName>
    <definedName name="_Glob_MedDisc_Opm_12">GlobBerMedDisc!$AD$13</definedName>
    <definedName name="_Glob_MedDisc_Opm_13">GlobBerMedDisc!$AD$14</definedName>
    <definedName name="_Glob_MedDisc_Opm_14">GlobBerMedDisc!$AD$15</definedName>
    <definedName name="_Glob_MedDisc_Opm_15">GlobBerMedDisc!$AD$16</definedName>
    <definedName name="_Glob_MedDisc_Opm_16">GlobBerMedDisc!$AD$17</definedName>
    <definedName name="_Glob_MedDisc_Opm_17">GlobBerMedDisc!$AD$18</definedName>
    <definedName name="_Glob_MedDisc_Opm_18">GlobBerMedDisc!$AD$19</definedName>
    <definedName name="_Glob_MedDisc_Opm_19">GlobBerMedDisc!$AD$20</definedName>
    <definedName name="_Glob_MedDisc_Opm_20">GlobBerMedDisc!$AD$21</definedName>
    <definedName name="_Glob_MedDisc_Opm_21">GlobBerMedDisc!$AD$22</definedName>
    <definedName name="_Glob_MedDisc_Opm_22">GlobBerMedDisc!$AD$23</definedName>
    <definedName name="_Glob_MedDisc_Opm_23">GlobBerMedDisc!$AD$24</definedName>
    <definedName name="_Glob_MedDisc_Opm_24">GlobBerMedDisc!$AD$25</definedName>
    <definedName name="_Glob_MedDisc_Opm_25">GlobBerMedDisc!$AD$26</definedName>
    <definedName name="_Glob_MedDisc_Opm_26">GlobBerMedDisc!$AD$27</definedName>
    <definedName name="_Glob_MedDisc_Opm_27">GlobBerMedDisc!$AD$28</definedName>
    <definedName name="_Glob_MedDisc_Opm_28">GlobBerMedDisc!$AD$29</definedName>
    <definedName name="_Glob_MedDisc_Opm_29">GlobBerMedDisc!$AD$30</definedName>
    <definedName name="_Glob_MedDisc_Opm_30">GlobBerMedDisc!$AD$31</definedName>
    <definedName name="_Glob_MedDisc_PerDose_01">GlobBerMedDisc!$BQ$2</definedName>
    <definedName name="_Glob_MedDisc_PerDose_02">GlobBerMedDisc!$BQ$3</definedName>
    <definedName name="_Glob_MedDisc_PerDose_03">GlobBerMedDisc!$BQ$4</definedName>
    <definedName name="_Glob_MedDisc_PerDose_04">GlobBerMedDisc!$BQ$5</definedName>
    <definedName name="_Glob_MedDisc_PerDose_05">GlobBerMedDisc!$BQ$6</definedName>
    <definedName name="_Glob_MedDisc_PerDose_06">GlobBerMedDisc!$BQ$7</definedName>
    <definedName name="_Glob_MedDisc_PerDose_07">GlobBerMedDisc!$BQ$8</definedName>
    <definedName name="_Glob_MedDisc_PerDose_08">GlobBerMedDisc!$BQ$9</definedName>
    <definedName name="_Glob_MedDisc_PerDose_09">GlobBerMedDisc!$BQ$10</definedName>
    <definedName name="_Glob_MedDisc_PerDose_10">GlobBerMedDisc!$BQ$11</definedName>
    <definedName name="_Glob_MedDisc_PerDose_11">GlobBerMedDisc!$BQ$12</definedName>
    <definedName name="_Glob_MedDisc_PerDose_12">GlobBerMedDisc!$BQ$13</definedName>
    <definedName name="_Glob_MedDisc_PerDose_13">GlobBerMedDisc!$BQ$14</definedName>
    <definedName name="_Glob_MedDisc_PerDose_14">GlobBerMedDisc!$BQ$15</definedName>
    <definedName name="_Glob_MedDisc_PerDose_15">GlobBerMedDisc!$BQ$16</definedName>
    <definedName name="_Glob_MedDisc_PerDose_16">GlobBerMedDisc!$BQ$17</definedName>
    <definedName name="_Glob_MedDisc_PerDose_17">GlobBerMedDisc!$BQ$18</definedName>
    <definedName name="_Glob_MedDisc_PerDose_18">GlobBerMedDisc!$BQ$19</definedName>
    <definedName name="_Glob_MedDisc_PerDose_19">GlobBerMedDisc!$BQ$20</definedName>
    <definedName name="_Glob_MedDisc_PerDose_20">GlobBerMedDisc!$BQ$21</definedName>
    <definedName name="_Glob_MedDisc_PerDose_21">GlobBerMedDisc!$BQ$22</definedName>
    <definedName name="_Glob_MedDisc_PerDose_22">GlobBerMedDisc!$BQ$23</definedName>
    <definedName name="_Glob_MedDisc_PerDose_23">GlobBerMedDisc!$BQ$24</definedName>
    <definedName name="_Glob_MedDisc_PerDose_24">GlobBerMedDisc!$BQ$25</definedName>
    <definedName name="_Glob_MedDisc_PerDose_25">GlobBerMedDisc!$BQ$26</definedName>
    <definedName name="_Glob_MedDisc_PerDose_26">GlobBerMedDisc!$BQ$27</definedName>
    <definedName name="_Glob_MedDisc_PerDose_27">GlobBerMedDisc!$BQ$28</definedName>
    <definedName name="_Glob_MedDisc_PerDose_28">GlobBerMedDisc!$BQ$29</definedName>
    <definedName name="_Glob_MedDisc_PerDose_29">GlobBerMedDisc!$BQ$30</definedName>
    <definedName name="_Glob_MedDisc_PerDose_30">GlobBerMedDisc!$BQ$31</definedName>
    <definedName name="_Glob_MedDisc_PerKg_01">GlobBerMedDisc!$BR$2</definedName>
    <definedName name="_Glob_MedDisc_PerKg_02">GlobBerMedDisc!$BR$3</definedName>
    <definedName name="_Glob_MedDisc_PerKg_03">GlobBerMedDisc!$BR$4</definedName>
    <definedName name="_Glob_MedDisc_PerKg_04">GlobBerMedDisc!$BR$5</definedName>
    <definedName name="_Glob_MedDisc_PerKg_05">GlobBerMedDisc!$BR$6</definedName>
    <definedName name="_Glob_MedDisc_PerKg_06">GlobBerMedDisc!$BR$7</definedName>
    <definedName name="_Glob_MedDisc_PerKg_07">GlobBerMedDisc!$BR$8</definedName>
    <definedName name="_Glob_MedDisc_PerKg_08">GlobBerMedDisc!$BR$9</definedName>
    <definedName name="_Glob_MedDisc_PerKg_09">GlobBerMedDisc!$BR$10</definedName>
    <definedName name="_Glob_MedDisc_PerKg_10">GlobBerMedDisc!$BR$11</definedName>
    <definedName name="_Glob_MedDisc_PerKg_11">GlobBerMedDisc!$BR$12</definedName>
    <definedName name="_Glob_MedDisc_PerKg_12">GlobBerMedDisc!$BR$13</definedName>
    <definedName name="_Glob_MedDisc_PerKg_13">GlobBerMedDisc!$BR$14</definedName>
    <definedName name="_Glob_MedDisc_PerKg_14">GlobBerMedDisc!$BR$15</definedName>
    <definedName name="_Glob_MedDisc_PerKg_15">GlobBerMedDisc!$BR$16</definedName>
    <definedName name="_Glob_MedDisc_PerKg_16">GlobBerMedDisc!$BR$17</definedName>
    <definedName name="_Glob_MedDisc_PerKg_17">GlobBerMedDisc!$BR$18</definedName>
    <definedName name="_Glob_MedDisc_PerKg_18">GlobBerMedDisc!$BR$19</definedName>
    <definedName name="_Glob_MedDisc_PerKg_19">GlobBerMedDisc!$BR$20</definedName>
    <definedName name="_Glob_MedDisc_PerKg_20">GlobBerMedDisc!$BR$21</definedName>
    <definedName name="_Glob_MedDisc_PerKg_21">GlobBerMedDisc!$BR$22</definedName>
    <definedName name="_Glob_MedDisc_PerKg_22">GlobBerMedDisc!$BR$23</definedName>
    <definedName name="_Glob_MedDisc_PerKg_23">GlobBerMedDisc!$BR$24</definedName>
    <definedName name="_Glob_MedDisc_PerKg_24">GlobBerMedDisc!$BR$25</definedName>
    <definedName name="_Glob_MedDisc_PerKg_25">GlobBerMedDisc!$BR$26</definedName>
    <definedName name="_Glob_MedDisc_PerKg_26">GlobBerMedDisc!$BR$27</definedName>
    <definedName name="_Glob_MedDisc_PerKg_27">GlobBerMedDisc!$BR$28</definedName>
    <definedName name="_Glob_MedDisc_PerKg_28">GlobBerMedDisc!$BR$29</definedName>
    <definedName name="_Glob_MedDisc_PerKg_29">GlobBerMedDisc!$BR$30</definedName>
    <definedName name="_Glob_MedDisc_PerKg_30">GlobBerMedDisc!$BR$31</definedName>
    <definedName name="_Glob_MedDisc_PerM2_01">GlobBerMedDisc!$BS$2</definedName>
    <definedName name="_Glob_MedDisc_PerM2_02">GlobBerMedDisc!$BS$3</definedName>
    <definedName name="_Glob_MedDisc_PerM2_03">GlobBerMedDisc!$BS$4</definedName>
    <definedName name="_Glob_MedDisc_PerM2_04">GlobBerMedDisc!$BS$5</definedName>
    <definedName name="_Glob_MedDisc_PerM2_05">GlobBerMedDisc!$BS$6</definedName>
    <definedName name="_Glob_MedDisc_PerM2_06">GlobBerMedDisc!$BS$7</definedName>
    <definedName name="_Glob_MedDisc_PerM2_07">GlobBerMedDisc!$BS$8</definedName>
    <definedName name="_Glob_MedDisc_PerM2_08">GlobBerMedDisc!$BS$9</definedName>
    <definedName name="_Glob_MedDisc_PerM2_09">GlobBerMedDisc!$BS$10</definedName>
    <definedName name="_Glob_MedDisc_PerM2_10">GlobBerMedDisc!$BS$11</definedName>
    <definedName name="_Glob_MedDisc_PerM2_11">GlobBerMedDisc!$BS$12</definedName>
    <definedName name="_Glob_MedDisc_PerM2_12">GlobBerMedDisc!$BS$13</definedName>
    <definedName name="_Glob_MedDisc_PerM2_13">GlobBerMedDisc!$BS$14</definedName>
    <definedName name="_Glob_MedDisc_PerM2_14">GlobBerMedDisc!$BS$15</definedName>
    <definedName name="_Glob_MedDisc_PerM2_15">GlobBerMedDisc!$BS$16</definedName>
    <definedName name="_Glob_MedDisc_PerM2_16">GlobBerMedDisc!$BS$17</definedName>
    <definedName name="_Glob_MedDisc_PerM2_17">GlobBerMedDisc!$BS$18</definedName>
    <definedName name="_Glob_MedDisc_PerM2_18">GlobBerMedDisc!$BS$19</definedName>
    <definedName name="_Glob_MedDisc_PerM2_19">GlobBerMedDisc!$BS$20</definedName>
    <definedName name="_Glob_MedDisc_PerM2_20">GlobBerMedDisc!$BS$21</definedName>
    <definedName name="_Glob_MedDisc_PerM2_21">GlobBerMedDisc!$BS$22</definedName>
    <definedName name="_Glob_MedDisc_PerM2_22">GlobBerMedDisc!$BS$23</definedName>
    <definedName name="_Glob_MedDisc_PerM2_23">GlobBerMedDisc!$BS$24</definedName>
    <definedName name="_Glob_MedDisc_PerM2_24">GlobBerMedDisc!$BS$25</definedName>
    <definedName name="_Glob_MedDisc_PerM2_25">GlobBerMedDisc!$BS$26</definedName>
    <definedName name="_Glob_MedDisc_PerM2_26">GlobBerMedDisc!$BS$27</definedName>
    <definedName name="_Glob_MedDisc_PerM2_27">GlobBerMedDisc!$BS$28</definedName>
    <definedName name="_Glob_MedDisc_PerM2_28">GlobBerMedDisc!$BS$29</definedName>
    <definedName name="_Glob_MedDisc_PerM2_29">GlobBerMedDisc!$BS$30</definedName>
    <definedName name="_Glob_MedDisc_PerM2_30">GlobBerMedDisc!$BS$31</definedName>
    <definedName name="_Glob_MedDisc_PRN_01">GlobBerMedDisc!$AH$2</definedName>
    <definedName name="_Glob_MedDisc_PRN_02">GlobBerMedDisc!$AH$3</definedName>
    <definedName name="_Glob_MedDisc_PRN_03">GlobBerMedDisc!$AH$4</definedName>
    <definedName name="_Glob_MedDisc_PRN_04">GlobBerMedDisc!$AH$5</definedName>
    <definedName name="_Glob_MedDisc_PRN_05">GlobBerMedDisc!$AH$6</definedName>
    <definedName name="_Glob_MedDisc_PRN_06">GlobBerMedDisc!$AH$7</definedName>
    <definedName name="_Glob_MedDisc_PRN_07">GlobBerMedDisc!$AH$8</definedName>
    <definedName name="_Glob_MedDisc_PRN_08">GlobBerMedDisc!$AH$9</definedName>
    <definedName name="_Glob_MedDisc_PRN_09">GlobBerMedDisc!$AH$10</definedName>
    <definedName name="_Glob_MedDisc_PRN_10">GlobBerMedDisc!$AH$11</definedName>
    <definedName name="_Glob_MedDisc_PRN_11">GlobBerMedDisc!$AH$12</definedName>
    <definedName name="_Glob_MedDisc_PRN_12">GlobBerMedDisc!$AH$13</definedName>
    <definedName name="_Glob_MedDisc_PRN_13">GlobBerMedDisc!$AH$14</definedName>
    <definedName name="_Glob_MedDisc_PRN_14">GlobBerMedDisc!$AH$15</definedName>
    <definedName name="_Glob_MedDisc_PRN_15">GlobBerMedDisc!$AH$16</definedName>
    <definedName name="_Glob_MedDisc_PRN_16">GlobBerMedDisc!$AH$17</definedName>
    <definedName name="_Glob_MedDisc_PRN_17">GlobBerMedDisc!$AH$18</definedName>
    <definedName name="_Glob_MedDisc_PRN_18">GlobBerMedDisc!$AH$19</definedName>
    <definedName name="_Glob_MedDisc_PRN_19">GlobBerMedDisc!$AH$20</definedName>
    <definedName name="_Glob_MedDisc_PRN_20">GlobBerMedDisc!$AH$21</definedName>
    <definedName name="_Glob_MedDisc_PRN_21">GlobBerMedDisc!$AH$22</definedName>
    <definedName name="_Glob_MedDisc_PRN_22">GlobBerMedDisc!$AH$23</definedName>
    <definedName name="_Glob_MedDisc_PRN_23">GlobBerMedDisc!$AH$24</definedName>
    <definedName name="_Glob_MedDisc_PRN_24">GlobBerMedDisc!$AH$25</definedName>
    <definedName name="_Glob_MedDisc_PRN_25">GlobBerMedDisc!$AH$26</definedName>
    <definedName name="_Glob_MedDisc_PRN_26">GlobBerMedDisc!$AH$27</definedName>
    <definedName name="_Glob_MedDisc_PRN_27">GlobBerMedDisc!$AH$28</definedName>
    <definedName name="_Glob_MedDisc_PRN_28">GlobBerMedDisc!$AH$29</definedName>
    <definedName name="_Glob_MedDisc_PRN_29">GlobBerMedDisc!$AH$30</definedName>
    <definedName name="_Glob_MedDisc_PRN_30">GlobBerMedDisc!$AH$31</definedName>
    <definedName name="_Glob_MedDisc_PRNText_01">GlobBerMedDisc!$AI$2</definedName>
    <definedName name="_Glob_MedDisc_PRNText_02">GlobBerMedDisc!$AI$3</definedName>
    <definedName name="_Glob_MedDisc_PRNText_03">GlobBerMedDisc!$AI$4</definedName>
    <definedName name="_Glob_MedDisc_PRNText_04">GlobBerMedDisc!$AI$5</definedName>
    <definedName name="_Glob_MedDisc_PRNText_05">GlobBerMedDisc!$AI$6</definedName>
    <definedName name="_Glob_MedDisc_PRNText_06">GlobBerMedDisc!$AI$7</definedName>
    <definedName name="_Glob_MedDisc_PRNText_07">GlobBerMedDisc!$AI$8</definedName>
    <definedName name="_Glob_MedDisc_PRNText_08">GlobBerMedDisc!$AI$9</definedName>
    <definedName name="_Glob_MedDisc_PRNText_09">GlobBerMedDisc!$AI$10</definedName>
    <definedName name="_Glob_MedDisc_PRNText_10">GlobBerMedDisc!$AI$11</definedName>
    <definedName name="_Glob_MedDisc_PRNText_11">GlobBerMedDisc!$AI$12</definedName>
    <definedName name="_Glob_MedDisc_PRNText_12">GlobBerMedDisc!$AI$13</definedName>
    <definedName name="_Glob_MedDisc_PRNText_13">GlobBerMedDisc!$AI$14</definedName>
    <definedName name="_Glob_MedDisc_PRNText_14">GlobBerMedDisc!$AI$15</definedName>
    <definedName name="_Glob_MedDisc_PRNText_15">GlobBerMedDisc!$AI$16</definedName>
    <definedName name="_Glob_MedDisc_PRNText_16">GlobBerMedDisc!$AI$17</definedName>
    <definedName name="_Glob_MedDisc_PRNText_17">GlobBerMedDisc!$AI$18</definedName>
    <definedName name="_Glob_MedDisc_PRNText_18">GlobBerMedDisc!$AI$19</definedName>
    <definedName name="_Glob_MedDisc_PRNText_19">GlobBerMedDisc!$AI$20</definedName>
    <definedName name="_Glob_MedDisc_PRNText_20">GlobBerMedDisc!$AI$21</definedName>
    <definedName name="_Glob_MedDisc_PRNText_21">GlobBerMedDisc!$AI$22</definedName>
    <definedName name="_Glob_MedDisc_PRNText_22">GlobBerMedDisc!$AI$23</definedName>
    <definedName name="_Glob_MedDisc_PRNText_23">GlobBerMedDisc!$AI$24</definedName>
    <definedName name="_Glob_MedDisc_PRNText_24">GlobBerMedDisc!$AI$25</definedName>
    <definedName name="_Glob_MedDisc_PRNText_25">GlobBerMedDisc!$AI$26</definedName>
    <definedName name="_Glob_MedDisc_PRNText_26">GlobBerMedDisc!$AI$27</definedName>
    <definedName name="_Glob_MedDisc_PRNText_27">GlobBerMedDisc!$AI$28</definedName>
    <definedName name="_Glob_MedDisc_PRNText_28">GlobBerMedDisc!$AI$29</definedName>
    <definedName name="_Glob_MedDisc_PRNText_29">GlobBerMedDisc!$AI$30</definedName>
    <definedName name="_Glob_MedDisc_PRNText_30">GlobBerMedDisc!$AI$31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GlobBerMedDisc!$AK$2</definedName>
    <definedName name="_Glob_MedDisc_Sterkte_02">GlobBerMedDisc!$AK$3</definedName>
    <definedName name="_Glob_MedDisc_Sterkte_03">GlobBerMedDisc!$AK$4</definedName>
    <definedName name="_Glob_MedDisc_Sterkte_04">GlobBerMedDisc!$AK$5</definedName>
    <definedName name="_Glob_MedDisc_Sterkte_05">GlobBerMedDisc!$AK$6</definedName>
    <definedName name="_Glob_MedDisc_Sterkte_06">GlobBerMedDisc!$AK$7</definedName>
    <definedName name="_Glob_MedDisc_Sterkte_07">GlobBerMedDisc!$AK$8</definedName>
    <definedName name="_Glob_MedDisc_Sterkte_08">GlobBerMedDisc!$AK$9</definedName>
    <definedName name="_Glob_MedDisc_Sterkte_09">GlobBerMedDisc!$AK$10</definedName>
    <definedName name="_Glob_MedDisc_Sterkte_10">GlobBerMedDisc!$AK$11</definedName>
    <definedName name="_Glob_MedDisc_Sterkte_11">GlobBerMedDisc!$AK$12</definedName>
    <definedName name="_Glob_MedDisc_Sterkte_12">GlobBerMedDisc!$AK$13</definedName>
    <definedName name="_Glob_MedDisc_Sterkte_13">GlobBerMedDisc!$AK$14</definedName>
    <definedName name="_Glob_MedDisc_Sterkte_14">GlobBerMedDisc!$AK$15</definedName>
    <definedName name="_Glob_MedDisc_Sterkte_15">GlobBerMedDisc!$AK$16</definedName>
    <definedName name="_Glob_MedDisc_Sterkte_16">GlobBerMedDisc!$AK$17</definedName>
    <definedName name="_Glob_MedDisc_Sterkte_17">GlobBerMedDisc!$AK$18</definedName>
    <definedName name="_Glob_MedDisc_Sterkte_18">GlobBerMedDisc!$AK$19</definedName>
    <definedName name="_Glob_MedDisc_Sterkte_19">GlobBerMedDisc!$AK$20</definedName>
    <definedName name="_Glob_MedDisc_Sterkte_20">GlobBerMedDisc!$AK$21</definedName>
    <definedName name="_Glob_MedDisc_Sterkte_21">GlobBerMedDisc!$AK$22</definedName>
    <definedName name="_Glob_MedDisc_Sterkte_22">GlobBerMedDisc!$AK$23</definedName>
    <definedName name="_Glob_MedDisc_Sterkte_23">GlobBerMedDisc!$AK$24</definedName>
    <definedName name="_Glob_MedDisc_Sterkte_24">GlobBerMedDisc!$AK$25</definedName>
    <definedName name="_Glob_MedDisc_Sterkte_25">GlobBerMedDisc!$AK$26</definedName>
    <definedName name="_Glob_MedDisc_Sterkte_26">GlobBerMedDisc!$AK$27</definedName>
    <definedName name="_Glob_MedDisc_Sterkte_27">GlobBerMedDisc!$AK$28</definedName>
    <definedName name="_Glob_MedDisc_Sterkte_28">GlobBerMedDisc!$AK$29</definedName>
    <definedName name="_Glob_MedDisc_Sterkte_29">GlobBerMedDisc!$AK$30</definedName>
    <definedName name="_Glob_MedDisc_Sterkte_30">GlobBerMedDisc!$AK$31</definedName>
    <definedName name="_Glob_MedDisc_SterkteEenh_01">GlobBerMedDisc!$AL$2</definedName>
    <definedName name="_Glob_MedDisc_SterkteEenh_02">GlobBerMedDisc!$AL$3</definedName>
    <definedName name="_Glob_MedDisc_SterkteEenh_03">GlobBerMedDisc!$AL$4</definedName>
    <definedName name="_Glob_MedDisc_SterkteEenh_04">GlobBerMedDisc!$AL$5</definedName>
    <definedName name="_Glob_MedDisc_SterkteEenh_05">GlobBerMedDisc!$AL$6</definedName>
    <definedName name="_Glob_MedDisc_SterkteEenh_06">GlobBerMedDisc!$AL$7</definedName>
    <definedName name="_Glob_MedDisc_SterkteEenh_07">GlobBerMedDisc!$AL$8</definedName>
    <definedName name="_Glob_MedDisc_SterkteEenh_08">GlobBerMedDisc!$AL$9</definedName>
    <definedName name="_Glob_MedDisc_SterkteEenh_09">GlobBerMedDisc!$AL$10</definedName>
    <definedName name="_Glob_MedDisc_SterkteEenh_10">GlobBerMedDisc!$AL$11</definedName>
    <definedName name="_Glob_MedDisc_SterkteEenh_11">GlobBerMedDisc!$AL$12</definedName>
    <definedName name="_Glob_MedDisc_SterkteEenh_12">GlobBerMedDisc!$AL$13</definedName>
    <definedName name="_Glob_MedDisc_SterkteEenh_13">GlobBerMedDisc!$AL$14</definedName>
    <definedName name="_Glob_MedDisc_SterkteEenh_14">GlobBerMedDisc!$AL$15</definedName>
    <definedName name="_Glob_MedDisc_SterkteEenh_15">GlobBerMedDisc!$AL$16</definedName>
    <definedName name="_Glob_MedDisc_SterkteEenh_16">GlobBerMedDisc!$AL$17</definedName>
    <definedName name="_Glob_MedDisc_SterkteEenh_17">GlobBerMedDisc!$AL$18</definedName>
    <definedName name="_Glob_MedDisc_SterkteEenh_18">GlobBerMedDisc!$AL$19</definedName>
    <definedName name="_Glob_MedDisc_SterkteEenh_19">GlobBerMedDisc!$AL$20</definedName>
    <definedName name="_Glob_MedDisc_SterkteEenh_20">GlobBerMedDisc!$AL$21</definedName>
    <definedName name="_Glob_MedDisc_SterkteEenh_21">GlobBerMedDisc!$AL$22</definedName>
    <definedName name="_Glob_MedDisc_SterkteEenh_22">GlobBerMedDisc!$AL$23</definedName>
    <definedName name="_Glob_MedDisc_SterkteEenh_23">GlobBerMedDisc!$AL$24</definedName>
    <definedName name="_Glob_MedDisc_SterkteEenh_24">GlobBerMedDisc!$AL$25</definedName>
    <definedName name="_Glob_MedDisc_SterkteEenh_25">GlobBerMedDisc!$AL$26</definedName>
    <definedName name="_Glob_MedDisc_SterkteEenh_26">GlobBerMedDisc!$AL$27</definedName>
    <definedName name="_Glob_MedDisc_SterkteEenh_27">GlobBerMedDisc!$AL$28</definedName>
    <definedName name="_Glob_MedDisc_SterkteEenh_28">GlobBerMedDisc!$AL$29</definedName>
    <definedName name="_Glob_MedDisc_SterkteEenh_29">GlobBerMedDisc!$AL$30</definedName>
    <definedName name="_Glob_MedDisc_SterkteEenh_30">GlobBerMedDisc!$AL$31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NeoBerAfspr!$J$30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Afhanged">NeoBerAfspr!$J$12</definedName>
    <definedName name="_Neo_AfsprB_MaagsondeOpenHoog">NeoBerAfspr!$J$13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NeoBerAfspr!$J$16</definedName>
    <definedName name="_Neo_AfsprB_OntslagInOverleg">NeoBerAfspr!$J$14</definedName>
    <definedName name="_Neo_AfsprB_OntslagNaVisite">NeoBerAfspr!$J$15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NeoBerAfspr!$J$17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NeoBerAfspr!$J$18</definedName>
    <definedName name="_Neo_AfsprB_RS">NeoBerAfspr!$J$19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NeoBerAfspr!$J$20</definedName>
    <definedName name="_Neo_AfsprB_Verliezen">NeoBerAfspr!$J$21</definedName>
    <definedName name="_Neo_AfsprB_VerliezenFFP">NeoBerAfspr!$L$24</definedName>
    <definedName name="_Neo_AfsprB_VerliezenNaCl">NeoBerAfspr!$L$23</definedName>
    <definedName name="_Neo_AfsprB_VerliezenRingerslactaat">NeoBerAfspr!$L$22</definedName>
    <definedName name="_Neo_AfsprB_Verwijderen">NeoBerAfspr!$J$25</definedName>
    <definedName name="_Neo_AfsprB_VerwijderenCAD">NeoBerAfspr!$L$25</definedName>
    <definedName name="_Neo_AfsprB_VerwijderenNVL">NeoBerAfspr!$L$26</definedName>
    <definedName name="_Neo_AfsprB_VerwijderenPAL">NeoBerAfspr!$L$27</definedName>
    <definedName name="_Neo_AfsprB_VerwijderenSilastic">NeoBerAfspr!$L$28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NeoBerAfspr!$K$30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OverigTekst">NeoBerAfspr!$J$31</definedName>
    <definedName name="_Neo_AfsprD_Rickhamdd">NeoBerAfspr!$K$18</definedName>
    <definedName name="_Neo_AfsprD_Rickhamml">NeoBerAfspr!$L$18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NeoBerAfspr!$K$21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PatDetails!$B$9</definedName>
    <definedName name="_Pat_Geslacht">PatDetails!$B$8</definedName>
    <definedName name="_Pat_GestDagen">PatDetails!$B$11</definedName>
    <definedName name="_Pat_GestWeken">PatDetails!$B$12</definedName>
    <definedName name="_Pat_Gewicht">PatDetails!$B$6</definedName>
    <definedName name="_Pat_Lengte">PatDetails!$B$7</definedName>
    <definedName name="_Pat_OpnDatum">PatDetails!$B$10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Keuze">PedBerTPN!$B$17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User_FirstName">PatDetails!$B$36</definedName>
    <definedName name="_User_LastName">PatDetails!$B$37</definedName>
    <definedName name="_User_Login">PatDetails!$B$35</definedName>
    <definedName name="_User_Type">PatDetails!$B$38</definedName>
    <definedName name="_xlnm.Print_Area" localSheetId="60">NeoGuiAcuut!$B$2:$G$31</definedName>
    <definedName name="_xlnm.Print_Area" localSheetId="61">NeoPrtAfspr!$A$1:$S$67</definedName>
    <definedName name="_xlnm.Print_Area" localSheetId="62">NeoPrtApoth!$A$1:$Q$61</definedName>
    <definedName name="_xlnm.Print_Area" localSheetId="63">NeoPrtMedDisc!$B$2:$AF$35</definedName>
    <definedName name="_xlnm.Print_Area" localSheetId="51">NeoPrtWerkbr!$A$1:$P$56</definedName>
    <definedName name="_xlnm.Print_Area" localSheetId="52">NeoTblMedIV!$A$1:$W$40</definedName>
    <definedName name="_xlnm.Print_Area" localSheetId="37">PedGuiAcuut!$B$2:$G$44</definedName>
    <definedName name="_xlnm.Print_Area" localSheetId="40">PedPrtAfspr!$A$2:$J$106</definedName>
    <definedName name="_xlnm.Print_Area" localSheetId="41">PedPrtMedDisc!$B$2:$AF$35</definedName>
    <definedName name="_xlnm.Print_Area" localSheetId="44">PedPrtTPN16tot30!$A$1:$H$43</definedName>
    <definedName name="_xlnm.Print_Area" localSheetId="42">PedPrtTPN2tot6!$A$1:$H$44</definedName>
    <definedName name="_xlnm.Print_Area" localSheetId="45">PedPrtTPN31tot50!$A$1:$H$43</definedName>
    <definedName name="_xlnm.Print_Area" localSheetId="46">PedPrtTPN50!$A$1:$H$43</definedName>
    <definedName name="_xlnm.Print_Area" localSheetId="43">PedPrtTPN7tot15!$A$1:$H$44</definedName>
    <definedName name="DB_DatabaseBusy">GlobSettings!$T$2</definedName>
    <definedName name="Setting_MVMed">GlobSettings!#REF!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SettingUseDatabase">GlobSettings!$B$11</definedName>
    <definedName name="Tbl_Admin_NeoMedCont">NeoTblMedIV!$B$4:$T$26</definedName>
    <definedName name="Tbl_Admin_ParEnt">GlobTblParEnt!$A$6:$N$47</definedName>
    <definedName name="Tbl_Admin_PedMedCont">PedTblMedIV!$B$5:$S$35</definedName>
    <definedName name="Tbl_Glob_BerPoeder">GlobTblEnt!$O$45:$AA$70</definedName>
    <definedName name="Tbl_Glob_BerVoeding">GlobTblEnt!$O$3:$AA$39</definedName>
    <definedName name="Tbl_Glob_Conv_EenhCont">GlobBerConv!$J$2:$P$13</definedName>
    <definedName name="Tbl_Glob_Conversie">GlobBerConv!$A$2:$C$13</definedName>
    <definedName name="Tbl_Glob_Lab">GlobBerLab!$A$1:$B$14</definedName>
    <definedName name="Tbl_Glob_MedDisc_OplVl">GlobTblMedDisc!$A$33:$A$36</definedName>
    <definedName name="Tbl_Glob_MedFreq">GlobTblMedDisc!$A$3:$AY$29</definedName>
    <definedName name="Tbl_Glob_MedOpdr">GlobTblMedOpdr!$A$1:$A$967</definedName>
    <definedName name="Tbl_Glob_ParEnt">GlobTblParEnt!$A$5:$N$47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NeoTblMedIV!$B$3:$V$26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alidContMed">NeoBerInfB!$AE$23:$AF$32</definedName>
    <definedName name="Tbl_Neo_Voed">NeoTblEnt!$A$4:$M$20</definedName>
    <definedName name="Tbl_NeoInfB_ValidTPN">NeoBerInfB!$AE$50</definedName>
    <definedName name="Tbl_Ped_aEEG">PedTblAfspr!$A$2:$A$5</definedName>
    <definedName name="Tbl_Ped_Beds">GlobSettings!$D$2:$D$35</definedName>
    <definedName name="Tbl_Ped_BerMedCont">PedBerMedIV!$A$5:$AN$19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PedTblIV!$A$2:$E$34</definedName>
    <definedName name="Tbl_Ped_LijnenVerw">PedTblAfspr!$F$2:$F$6</definedName>
    <definedName name="Tbl_Ped_Lipid">PedTblParEnt!$B$29:$N$30</definedName>
    <definedName name="Tbl_Ped_LiquorDrain">PedTblAfspr!$J$2:$J$5</definedName>
    <definedName name="Tbl_Ped_MedContIV">PedTblMedIV!$B$4:$X$35</definedName>
    <definedName name="Tbl_Ped_MedContIV_OplVl">PedTblMedIV!$Z$4:$Z$7</definedName>
    <definedName name="Tbl_Ped_NIBD">PedTblAfspr!$E$2:$E$6</definedName>
    <definedName name="Tbl_Ped_Periode">PedTblAfspr!$I$2:$I$5</definedName>
    <definedName name="Tbl_Ped_PM_Modus">PedTblIV!$G$2:$G$5</definedName>
    <definedName name="Tbl_Ped_PM_Positie">PedTblIV!$F$2:$F$5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PatDetails!$B$18</definedName>
    <definedName name="Txt_Pat_Bed">PatDetails!$B$30</definedName>
    <definedName name="Txt_Pat_FullName">PatDetails!$B$25</definedName>
    <definedName name="Txt_Pat_GebGew">PatDetails!$B$31</definedName>
    <definedName name="Txt_Pat_GeboorteDat">PatDetails!$B$20</definedName>
    <definedName name="Txt_Pat_Geslacht">PatDetails!$B$33</definedName>
    <definedName name="Txt_Pat_GestAge">PatDetails!$B$32</definedName>
    <definedName name="Txt_Pat_Gewicht">PatDetails!$B$27</definedName>
    <definedName name="Txt_Pat_Leeftijd">PatDetails!$B$24</definedName>
    <definedName name="Txt_Pat_Lengte">PatDetails!$B$28</definedName>
    <definedName name="Txt_Pat_OpnameDag">PatDetails!$B$26</definedName>
    <definedName name="Txt_Pat_OpnameDat">PatDetails!$B$19</definedName>
    <definedName name="Txt_Pat_Oppervlak">PatDetails!$B$29</definedName>
    <definedName name="Txt_Pat_PatNo">PatDetails!$B$21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PatDetails!$B$15</definedName>
    <definedName name="Var_Glob_AppVersie">GlobGuiFront!$G$13</definedName>
    <definedName name="Var_Glob_Versie">PatDetails!$B$16</definedName>
    <definedName name="Var_MedDisc_FreqText_01">GlobBerMedDisc!$X$2</definedName>
    <definedName name="Var_MedDisc_FreqText_02">GlobBerMedDisc!$X$3</definedName>
    <definedName name="Var_MedDisc_FreqText_03">GlobBerMedDisc!$X$4</definedName>
    <definedName name="Var_MedDisc_FreqText_04">GlobBerMedDisc!$X$5</definedName>
    <definedName name="Var_MedDisc_FreqText_05">GlobBerMedDisc!$X$6</definedName>
    <definedName name="Var_MedDisc_FreqText_06">GlobBerMedDisc!$X$7</definedName>
    <definedName name="Var_MedDisc_FreqText_07">GlobBerMedDisc!$X$8</definedName>
    <definedName name="Var_MedDisc_FreqText_08">GlobBerMedDisc!$X$9</definedName>
    <definedName name="Var_MedDisc_FreqText_09">GlobBerMedDisc!$X$10</definedName>
    <definedName name="Var_MedDisc_FreqText_10">GlobBerMedDisc!$X$11</definedName>
    <definedName name="Var_MedDisc_FreqText_11">GlobBerMedDisc!$X$12</definedName>
    <definedName name="Var_MedDisc_FreqText_12">GlobBerMedDisc!$X$13</definedName>
    <definedName name="Var_MedDisc_FreqText_13">GlobBerMedDisc!$X$14</definedName>
    <definedName name="Var_MedDisc_FreqText_14">GlobBerMedDisc!$X$15</definedName>
    <definedName name="Var_MedDisc_FreqText_15">GlobBerMedDisc!$X$16</definedName>
    <definedName name="Var_MedDisc_FreqText_16">GlobBerMedDisc!$X$17</definedName>
    <definedName name="Var_MedDisc_FreqText_17">GlobBerMedDisc!$X$18</definedName>
    <definedName name="Var_MedDisc_FreqText_18">GlobBerMedDisc!$X$19</definedName>
    <definedName name="Var_MedDisc_FreqText_19">GlobBerMedDisc!$X$20</definedName>
    <definedName name="Var_MedDisc_FreqText_20">GlobBerMedDisc!$X$21</definedName>
    <definedName name="Var_MedDisc_FreqText_21">GlobBerMedDisc!$X$22</definedName>
    <definedName name="Var_MedDisc_FreqText_22">GlobBerMedDisc!$X$23</definedName>
    <definedName name="Var_MedDisc_FreqText_23">GlobBerMedDisc!$X$24</definedName>
    <definedName name="Var_MedDisc_FreqText_24">GlobBerMedDisc!$X$25</definedName>
    <definedName name="Var_MedDisc_FreqText_25">GlobBerMedDisc!$X$26</definedName>
    <definedName name="Var_MedDisc_FreqText_26">GlobBerMedDisc!$X$27</definedName>
    <definedName name="Var_MedDisc_FreqText_27">GlobBerMedDisc!$X$28</definedName>
    <definedName name="Var_MedDisc_FreqText_28">GlobBerMedDisc!$X$29</definedName>
    <definedName name="Var_MedDisc_FreqText_29">GlobBerMedDisc!$X$30</definedName>
    <definedName name="Var_MedDisc_FreqText_30">GlobBerMedDisc!$X$31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MedCont_VerdunningTekst">NeoTblMedIV!$B$30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NeoDataInfB!$B$114</definedName>
    <definedName name="Var_Neo_SSTBAdv">NeoBerInfB!$B$49</definedName>
    <definedName name="Var_Ped_TotVocht">GlobBerMedDisc!$Q$33</definedName>
    <definedName name="Z_33CCADFA_0D48_46A6_8927_2B2144029216_.wvu.FilterData" localSheetId="14" hidden="1">GlobTemp!$A$2:$B$437</definedName>
    <definedName name="Z_33CCADFA_0D48_46A6_8927_2B2144029216_.wvu.FilterData" localSheetId="17" hidden="1">PatData!$A$1:$P$793</definedName>
    <definedName name="Z_33CCADFA_0D48_46A6_8927_2B2144029216_.wvu.PrintArea" localSheetId="60" hidden="1">NeoGuiAcuut!$B$2:$G$31</definedName>
    <definedName name="Z_33CCADFA_0D48_46A6_8927_2B2144029216_.wvu.PrintArea" localSheetId="63" hidden="1">NeoPrtMedDisc!$B$2:$AF$23</definedName>
    <definedName name="Z_33CCADFA_0D48_46A6_8927_2B2144029216_.wvu.PrintArea" localSheetId="37" hidden="1">PedGuiAcuut!$B$2:$G$44</definedName>
    <definedName name="Z_33CCADFA_0D48_46A6_8927_2B2144029216_.wvu.PrintArea" localSheetId="40" hidden="1">PedPrtAfspr!$A$2:$J$106</definedName>
    <definedName name="Z_33CCADFA_0D48_46A6_8927_2B2144029216_.wvu.PrintArea" localSheetId="41" hidden="1">PedPrtMedDisc!$B$2:$AF$23</definedName>
    <definedName name="Z_33CCADFA_0D48_46A6_8927_2B2144029216_.wvu.PrintArea" localSheetId="44" hidden="1">PedPrtTPN16tot30!$A$1:$H$43</definedName>
    <definedName name="Z_33CCADFA_0D48_46A6_8927_2B2144029216_.wvu.PrintArea" localSheetId="42" hidden="1">PedPrtTPN2tot6!$A$1:$H$44</definedName>
    <definedName name="Z_33CCADFA_0D48_46A6_8927_2B2144029216_.wvu.PrintArea" localSheetId="45" hidden="1">PedPrtTPN31tot50!$A$1:$H$43</definedName>
    <definedName name="Z_33CCADFA_0D48_46A6_8927_2B2144029216_.wvu.PrintArea" localSheetId="46" hidden="1">PedPrtTPN50!$A$1:$H$49</definedName>
    <definedName name="Z_33CCADFA_0D48_46A6_8927_2B2144029216_.wvu.PrintArea" localSheetId="43" hidden="1">PedPrtTPN7tot15!$A$1:$H$44</definedName>
  </definedNames>
  <calcPr calcId="145621" concurrentCalc="0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5" i="6" l="1"/>
  <c r="D1" i="71"/>
  <c r="E1" i="71"/>
  <c r="F1" i="71"/>
  <c r="G1" i="71"/>
  <c r="H1" i="71"/>
  <c r="I1" i="71"/>
  <c r="J1" i="71"/>
  <c r="K1" i="71"/>
  <c r="L1" i="71"/>
  <c r="M1" i="71"/>
  <c r="N1" i="71"/>
  <c r="O1" i="71"/>
  <c r="P1" i="71"/>
  <c r="Q1" i="71"/>
  <c r="R1" i="71"/>
  <c r="S1" i="71"/>
  <c r="T1" i="71"/>
  <c r="C1" i="71"/>
  <c r="G13" i="82"/>
  <c r="B3" i="9"/>
  <c r="C3" i="9"/>
  <c r="B4" i="9"/>
  <c r="C4" i="9"/>
  <c r="B5" i="9"/>
  <c r="C5" i="9"/>
  <c r="B6" i="9"/>
  <c r="C6" i="9"/>
  <c r="B7" i="9"/>
  <c r="C7" i="9"/>
  <c r="B8" i="9"/>
  <c r="C8" i="9"/>
  <c r="B9" i="9"/>
  <c r="C9" i="9"/>
  <c r="B13" i="6"/>
  <c r="B10" i="9"/>
  <c r="C10" i="9"/>
  <c r="B11" i="9"/>
  <c r="C11" i="9"/>
  <c r="B12" i="9"/>
  <c r="C12" i="9"/>
  <c r="B13" i="9"/>
  <c r="C13" i="9"/>
  <c r="B14" i="9"/>
  <c r="C14" i="9"/>
  <c r="B15" i="9"/>
  <c r="C15" i="9"/>
  <c r="B16" i="9"/>
  <c r="C16" i="9"/>
  <c r="B17" i="9"/>
  <c r="C17" i="9"/>
  <c r="AK18" i="9"/>
  <c r="AI18" i="9"/>
  <c r="AG18" i="9"/>
  <c r="AE18" i="9"/>
  <c r="G18" i="9"/>
  <c r="I18" i="9"/>
  <c r="K18" i="9"/>
  <c r="M18" i="9"/>
  <c r="X2" i="14"/>
  <c r="O18" i="9"/>
  <c r="J2" i="14"/>
  <c r="H2" i="14"/>
  <c r="K2" i="14"/>
  <c r="Y2" i="14"/>
  <c r="Q18" i="9"/>
  <c r="Z2" i="14"/>
  <c r="S18" i="9"/>
  <c r="M2" i="14"/>
  <c r="N2" i="14"/>
  <c r="AO2" i="14"/>
  <c r="U18" i="9"/>
  <c r="Q2" i="14"/>
  <c r="AA2" i="14"/>
  <c r="W18" i="9"/>
  <c r="AB2" i="14"/>
  <c r="Y18" i="9"/>
  <c r="AC2" i="14"/>
  <c r="AA18" i="9"/>
  <c r="AC18" i="9"/>
  <c r="B18" i="9"/>
  <c r="C18" i="9"/>
  <c r="AK19" i="9"/>
  <c r="AI19" i="9"/>
  <c r="AG19" i="9"/>
  <c r="AE19" i="9"/>
  <c r="G19" i="9"/>
  <c r="I19" i="9"/>
  <c r="K19" i="9"/>
  <c r="M19" i="9"/>
  <c r="X3" i="14"/>
  <c r="O19" i="9"/>
  <c r="J3" i="14"/>
  <c r="H3" i="14"/>
  <c r="K3" i="14"/>
  <c r="Y3" i="14"/>
  <c r="Q19" i="9"/>
  <c r="Z3" i="14"/>
  <c r="S19" i="9"/>
  <c r="M3" i="14"/>
  <c r="N3" i="14"/>
  <c r="AO3" i="14"/>
  <c r="U19" i="9"/>
  <c r="Q3" i="14"/>
  <c r="AA3" i="14"/>
  <c r="W19" i="9"/>
  <c r="AB3" i="14"/>
  <c r="Y19" i="9"/>
  <c r="AC3" i="14"/>
  <c r="AA19" i="9"/>
  <c r="AC19" i="9"/>
  <c r="B19" i="9"/>
  <c r="C19" i="9"/>
  <c r="AK20" i="9"/>
  <c r="AI20" i="9"/>
  <c r="AG20" i="9"/>
  <c r="AE20" i="9"/>
  <c r="G20" i="9"/>
  <c r="I20" i="9"/>
  <c r="K20" i="9"/>
  <c r="M20" i="9"/>
  <c r="X4" i="14"/>
  <c r="O20" i="9"/>
  <c r="J4" i="14"/>
  <c r="H4" i="14"/>
  <c r="K4" i="14"/>
  <c r="Y4" i="14"/>
  <c r="Q20" i="9"/>
  <c r="Z4" i="14"/>
  <c r="S20" i="9"/>
  <c r="M4" i="14"/>
  <c r="N4" i="14"/>
  <c r="AO4" i="14"/>
  <c r="U20" i="9"/>
  <c r="Q4" i="14"/>
  <c r="AA4" i="14"/>
  <c r="W20" i="9"/>
  <c r="AB4" i="14"/>
  <c r="Y20" i="9"/>
  <c r="AC4" i="14"/>
  <c r="AA20" i="9"/>
  <c r="AC20" i="9"/>
  <c r="B20" i="9"/>
  <c r="C20" i="9"/>
  <c r="AK21" i="9"/>
  <c r="AI21" i="9"/>
  <c r="AG21" i="9"/>
  <c r="AE21" i="9"/>
  <c r="G21" i="9"/>
  <c r="I21" i="9"/>
  <c r="K21" i="9"/>
  <c r="M21" i="9"/>
  <c r="X5" i="14"/>
  <c r="O21" i="9"/>
  <c r="J5" i="14"/>
  <c r="H5" i="14"/>
  <c r="K5" i="14"/>
  <c r="Y5" i="14"/>
  <c r="Q21" i="9"/>
  <c r="Z5" i="14"/>
  <c r="S21" i="9"/>
  <c r="AO5" i="14"/>
  <c r="U21" i="9"/>
  <c r="Q5" i="14"/>
  <c r="AA5" i="14"/>
  <c r="W21" i="9"/>
  <c r="AB5" i="14"/>
  <c r="Y21" i="9"/>
  <c r="AC5" i="14"/>
  <c r="AA21" i="9"/>
  <c r="AC21" i="9"/>
  <c r="B21" i="9"/>
  <c r="C21" i="9"/>
  <c r="AK22" i="9"/>
  <c r="AI22" i="9"/>
  <c r="AG22" i="9"/>
  <c r="AE22" i="9"/>
  <c r="G22" i="9"/>
  <c r="I22" i="9"/>
  <c r="K22" i="9"/>
  <c r="M22" i="9"/>
  <c r="X6" i="14"/>
  <c r="O22" i="9"/>
  <c r="J6" i="14"/>
  <c r="H6" i="14"/>
  <c r="K6" i="14"/>
  <c r="Y6" i="14"/>
  <c r="Q22" i="9"/>
  <c r="Z6" i="14"/>
  <c r="S22" i="9"/>
  <c r="AO6" i="14"/>
  <c r="U22" i="9"/>
  <c r="Q6" i="14"/>
  <c r="AA6" i="14"/>
  <c r="W22" i="9"/>
  <c r="AB6" i="14"/>
  <c r="Y22" i="9"/>
  <c r="AC6" i="14"/>
  <c r="AA22" i="9"/>
  <c r="AC22" i="9"/>
  <c r="B22" i="9"/>
  <c r="C22" i="9"/>
  <c r="AK23" i="9"/>
  <c r="AI23" i="9"/>
  <c r="AG23" i="9"/>
  <c r="AE23" i="9"/>
  <c r="G23" i="9"/>
  <c r="I23" i="9"/>
  <c r="K23" i="9"/>
  <c r="M23" i="9"/>
  <c r="X7" i="14"/>
  <c r="O23" i="9"/>
  <c r="J7" i="14"/>
  <c r="H7" i="14"/>
  <c r="K7" i="14"/>
  <c r="Y7" i="14"/>
  <c r="Q23" i="9"/>
  <c r="Z7" i="14"/>
  <c r="S23" i="9"/>
  <c r="AO7" i="14"/>
  <c r="U23" i="9"/>
  <c r="Q7" i="14"/>
  <c r="AA7" i="14"/>
  <c r="W23" i="9"/>
  <c r="AB7" i="14"/>
  <c r="Y23" i="9"/>
  <c r="AC7" i="14"/>
  <c r="AA23" i="9"/>
  <c r="AC23" i="9"/>
  <c r="B23" i="9"/>
  <c r="C23" i="9"/>
  <c r="AK24" i="9"/>
  <c r="AI24" i="9"/>
  <c r="AG24" i="9"/>
  <c r="AE24" i="9"/>
  <c r="G24" i="9"/>
  <c r="I24" i="9"/>
  <c r="K24" i="9"/>
  <c r="M24" i="9"/>
  <c r="X8" i="14"/>
  <c r="O24" i="9"/>
  <c r="J8" i="14"/>
  <c r="H8" i="14"/>
  <c r="K8" i="14"/>
  <c r="Y8" i="14"/>
  <c r="Q24" i="9"/>
  <c r="Z8" i="14"/>
  <c r="S24" i="9"/>
  <c r="AO8" i="14"/>
  <c r="U24" i="9"/>
  <c r="Q8" i="14"/>
  <c r="AA8" i="14"/>
  <c r="W24" i="9"/>
  <c r="AB8" i="14"/>
  <c r="Y24" i="9"/>
  <c r="AC8" i="14"/>
  <c r="AA24" i="9"/>
  <c r="AC24" i="9"/>
  <c r="B24" i="9"/>
  <c r="C24" i="9"/>
  <c r="AK25" i="9"/>
  <c r="AI25" i="9"/>
  <c r="AG25" i="9"/>
  <c r="AE25" i="9"/>
  <c r="G25" i="9"/>
  <c r="I25" i="9"/>
  <c r="K25" i="9"/>
  <c r="M25" i="9"/>
  <c r="X9" i="14"/>
  <c r="O25" i="9"/>
  <c r="J9" i="14"/>
  <c r="H9" i="14"/>
  <c r="K9" i="14"/>
  <c r="Y9" i="14"/>
  <c r="Q25" i="9"/>
  <c r="Z9" i="14"/>
  <c r="S25" i="9"/>
  <c r="AO9" i="14"/>
  <c r="U25" i="9"/>
  <c r="Q9" i="14"/>
  <c r="AA9" i="14"/>
  <c r="W25" i="9"/>
  <c r="AB9" i="14"/>
  <c r="Y25" i="9"/>
  <c r="AC9" i="14"/>
  <c r="AA25" i="9"/>
  <c r="AC25" i="9"/>
  <c r="B25" i="9"/>
  <c r="C25" i="9"/>
  <c r="AK26" i="9"/>
  <c r="AI26" i="9"/>
  <c r="AG26" i="9"/>
  <c r="AE26" i="9"/>
  <c r="G26" i="9"/>
  <c r="I26" i="9"/>
  <c r="K26" i="9"/>
  <c r="M26" i="9"/>
  <c r="X10" i="14"/>
  <c r="O26" i="9"/>
  <c r="J10" i="14"/>
  <c r="H10" i="14"/>
  <c r="K10" i="14"/>
  <c r="Y10" i="14"/>
  <c r="Q26" i="9"/>
  <c r="Z10" i="14"/>
  <c r="S26" i="9"/>
  <c r="AO10" i="14"/>
  <c r="U26" i="9"/>
  <c r="Q10" i="14"/>
  <c r="AA10" i="14"/>
  <c r="W26" i="9"/>
  <c r="AB10" i="14"/>
  <c r="Y26" i="9"/>
  <c r="AC10" i="14"/>
  <c r="AA26" i="9"/>
  <c r="AC26" i="9"/>
  <c r="B26" i="9"/>
  <c r="C26" i="9"/>
  <c r="AK27" i="9"/>
  <c r="AI27" i="9"/>
  <c r="AG27" i="9"/>
  <c r="AE27" i="9"/>
  <c r="G27" i="9"/>
  <c r="I27" i="9"/>
  <c r="K27" i="9"/>
  <c r="M27" i="9"/>
  <c r="X11" i="14"/>
  <c r="O27" i="9"/>
  <c r="J11" i="14"/>
  <c r="H11" i="14"/>
  <c r="K11" i="14"/>
  <c r="Y11" i="14"/>
  <c r="Q27" i="9"/>
  <c r="Z11" i="14"/>
  <c r="S27" i="9"/>
  <c r="AO11" i="14"/>
  <c r="U27" i="9"/>
  <c r="Q11" i="14"/>
  <c r="AA11" i="14"/>
  <c r="W27" i="9"/>
  <c r="AB11" i="14"/>
  <c r="Y27" i="9"/>
  <c r="AC11" i="14"/>
  <c r="AA27" i="9"/>
  <c r="AC27" i="9"/>
  <c r="B27" i="9"/>
  <c r="C27" i="9"/>
  <c r="AK28" i="9"/>
  <c r="AI28" i="9"/>
  <c r="AG28" i="9"/>
  <c r="AE28" i="9"/>
  <c r="G28" i="9"/>
  <c r="I28" i="9"/>
  <c r="K28" i="9"/>
  <c r="M28" i="9"/>
  <c r="X12" i="14"/>
  <c r="O28" i="9"/>
  <c r="J12" i="14"/>
  <c r="H12" i="14"/>
  <c r="K12" i="14"/>
  <c r="Y12" i="14"/>
  <c r="Q28" i="9"/>
  <c r="Z12" i="14"/>
  <c r="S28" i="9"/>
  <c r="AO12" i="14"/>
  <c r="U28" i="9"/>
  <c r="Q12" i="14"/>
  <c r="AA12" i="14"/>
  <c r="W28" i="9"/>
  <c r="AB12" i="14"/>
  <c r="Y28" i="9"/>
  <c r="AC12" i="14"/>
  <c r="AA28" i="9"/>
  <c r="AC28" i="9"/>
  <c r="B28" i="9"/>
  <c r="C28" i="9"/>
  <c r="AK29" i="9"/>
  <c r="AI29" i="9"/>
  <c r="AG29" i="9"/>
  <c r="AE29" i="9"/>
  <c r="G29" i="9"/>
  <c r="I29" i="9"/>
  <c r="K29" i="9"/>
  <c r="M29" i="9"/>
  <c r="X13" i="14"/>
  <c r="O29" i="9"/>
  <c r="J13" i="14"/>
  <c r="H13" i="14"/>
  <c r="K13" i="14"/>
  <c r="Y13" i="14"/>
  <c r="Q29" i="9"/>
  <c r="Z13" i="14"/>
  <c r="S29" i="9"/>
  <c r="AO13" i="14"/>
  <c r="U29" i="9"/>
  <c r="Q13" i="14"/>
  <c r="AA13" i="14"/>
  <c r="W29" i="9"/>
  <c r="AB13" i="14"/>
  <c r="Y29" i="9"/>
  <c r="AC13" i="14"/>
  <c r="AA29" i="9"/>
  <c r="AC29" i="9"/>
  <c r="B29" i="9"/>
  <c r="C29" i="9"/>
  <c r="AK30" i="9"/>
  <c r="AI30" i="9"/>
  <c r="AG30" i="9"/>
  <c r="AE30" i="9"/>
  <c r="G30" i="9"/>
  <c r="I30" i="9"/>
  <c r="K30" i="9"/>
  <c r="M30" i="9"/>
  <c r="X14" i="14"/>
  <c r="O30" i="9"/>
  <c r="J14" i="14"/>
  <c r="H14" i="14"/>
  <c r="K14" i="14"/>
  <c r="Y14" i="14"/>
  <c r="Q30" i="9"/>
  <c r="Z14" i="14"/>
  <c r="S30" i="9"/>
  <c r="AO14" i="14"/>
  <c r="U30" i="9"/>
  <c r="Q14" i="14"/>
  <c r="AA14" i="14"/>
  <c r="W30" i="9"/>
  <c r="AB14" i="14"/>
  <c r="Y30" i="9"/>
  <c r="AC14" i="14"/>
  <c r="AA30" i="9"/>
  <c r="AC30" i="9"/>
  <c r="B30" i="9"/>
  <c r="C30" i="9"/>
  <c r="AK31" i="9"/>
  <c r="AI31" i="9"/>
  <c r="AG31" i="9"/>
  <c r="AE31" i="9"/>
  <c r="G31" i="9"/>
  <c r="I31" i="9"/>
  <c r="K31" i="9"/>
  <c r="M31" i="9"/>
  <c r="X15" i="14"/>
  <c r="O31" i="9"/>
  <c r="J15" i="14"/>
  <c r="H15" i="14"/>
  <c r="K15" i="14"/>
  <c r="Y15" i="14"/>
  <c r="Q31" i="9"/>
  <c r="Z15" i="14"/>
  <c r="S31" i="9"/>
  <c r="AO15" i="14"/>
  <c r="U31" i="9"/>
  <c r="Q15" i="14"/>
  <c r="AA15" i="14"/>
  <c r="W31" i="9"/>
  <c r="AB15" i="14"/>
  <c r="Y31" i="9"/>
  <c r="AC15" i="14"/>
  <c r="AA31" i="9"/>
  <c r="AC31" i="9"/>
  <c r="B31" i="9"/>
  <c r="C31" i="9"/>
  <c r="AK32" i="9"/>
  <c r="AI32" i="9"/>
  <c r="AG32" i="9"/>
  <c r="AE32" i="9"/>
  <c r="G32" i="9"/>
  <c r="I32" i="9"/>
  <c r="K32" i="9"/>
  <c r="M32" i="9"/>
  <c r="X16" i="14"/>
  <c r="O32" i="9"/>
  <c r="J16" i="14"/>
  <c r="H16" i="14"/>
  <c r="K16" i="14"/>
  <c r="Y16" i="14"/>
  <c r="Q32" i="9"/>
  <c r="Z16" i="14"/>
  <c r="S32" i="9"/>
  <c r="AO16" i="14"/>
  <c r="U32" i="9"/>
  <c r="Q16" i="14"/>
  <c r="AA16" i="14"/>
  <c r="W32" i="9"/>
  <c r="AB16" i="14"/>
  <c r="Y32" i="9"/>
  <c r="AC16" i="14"/>
  <c r="AA32" i="9"/>
  <c r="AC32" i="9"/>
  <c r="B32" i="9"/>
  <c r="C32" i="9"/>
  <c r="AK33" i="9"/>
  <c r="AI33" i="9"/>
  <c r="AG33" i="9"/>
  <c r="AE33" i="9"/>
  <c r="G33" i="9"/>
  <c r="I33" i="9"/>
  <c r="K33" i="9"/>
  <c r="M33" i="9"/>
  <c r="X17" i="14"/>
  <c r="O33" i="9"/>
  <c r="J17" i="14"/>
  <c r="H17" i="14"/>
  <c r="K17" i="14"/>
  <c r="Y17" i="14"/>
  <c r="Q33" i="9"/>
  <c r="Z17" i="14"/>
  <c r="S33" i="9"/>
  <c r="AO17" i="14"/>
  <c r="U33" i="9"/>
  <c r="Q17" i="14"/>
  <c r="AA17" i="14"/>
  <c r="W33" i="9"/>
  <c r="AB17" i="14"/>
  <c r="Y33" i="9"/>
  <c r="AC17" i="14"/>
  <c r="AA33" i="9"/>
  <c r="AC33" i="9"/>
  <c r="B33" i="9"/>
  <c r="C33" i="9"/>
  <c r="AK34" i="9"/>
  <c r="AI34" i="9"/>
  <c r="AG34" i="9"/>
  <c r="AE34" i="9"/>
  <c r="G34" i="9"/>
  <c r="I34" i="9"/>
  <c r="K34" i="9"/>
  <c r="M34" i="9"/>
  <c r="X18" i="14"/>
  <c r="O34" i="9"/>
  <c r="J18" i="14"/>
  <c r="H18" i="14"/>
  <c r="K18" i="14"/>
  <c r="Y18" i="14"/>
  <c r="Q34" i="9"/>
  <c r="Z18" i="14"/>
  <c r="S34" i="9"/>
  <c r="AO18" i="14"/>
  <c r="U34" i="9"/>
  <c r="Q18" i="14"/>
  <c r="AA18" i="14"/>
  <c r="W34" i="9"/>
  <c r="AB18" i="14"/>
  <c r="Y34" i="9"/>
  <c r="AC18" i="14"/>
  <c r="AA34" i="9"/>
  <c r="AC34" i="9"/>
  <c r="B34" i="9"/>
  <c r="C34" i="9"/>
  <c r="AK35" i="9"/>
  <c r="AI35" i="9"/>
  <c r="AG35" i="9"/>
  <c r="AE35" i="9"/>
  <c r="G35" i="9"/>
  <c r="I35" i="9"/>
  <c r="K35" i="9"/>
  <c r="M35" i="9"/>
  <c r="X19" i="14"/>
  <c r="O35" i="9"/>
  <c r="J19" i="14"/>
  <c r="H19" i="14"/>
  <c r="K19" i="14"/>
  <c r="Y19" i="14"/>
  <c r="Q35" i="9"/>
  <c r="Z19" i="14"/>
  <c r="S35" i="9"/>
  <c r="AO19" i="14"/>
  <c r="U35" i="9"/>
  <c r="Q19" i="14"/>
  <c r="AA19" i="14"/>
  <c r="W35" i="9"/>
  <c r="AB19" i="14"/>
  <c r="Y35" i="9"/>
  <c r="AC19" i="14"/>
  <c r="AA35" i="9"/>
  <c r="AC35" i="9"/>
  <c r="B35" i="9"/>
  <c r="C35" i="9"/>
  <c r="AK36" i="9"/>
  <c r="AI36" i="9"/>
  <c r="AG36" i="9"/>
  <c r="AE36" i="9"/>
  <c r="G36" i="9"/>
  <c r="I36" i="9"/>
  <c r="K36" i="9"/>
  <c r="M36" i="9"/>
  <c r="X20" i="14"/>
  <c r="O36" i="9"/>
  <c r="J20" i="14"/>
  <c r="H20" i="14"/>
  <c r="K20" i="14"/>
  <c r="Y20" i="14"/>
  <c r="Q36" i="9"/>
  <c r="Z20" i="14"/>
  <c r="S36" i="9"/>
  <c r="AO20" i="14"/>
  <c r="U36" i="9"/>
  <c r="Q20" i="14"/>
  <c r="AA20" i="14"/>
  <c r="W36" i="9"/>
  <c r="AB20" i="14"/>
  <c r="Y36" i="9"/>
  <c r="AC20" i="14"/>
  <c r="AA36" i="9"/>
  <c r="AC36" i="9"/>
  <c r="B36" i="9"/>
  <c r="C36" i="9"/>
  <c r="AK37" i="9"/>
  <c r="AI37" i="9"/>
  <c r="AG37" i="9"/>
  <c r="AE37" i="9"/>
  <c r="G37" i="9"/>
  <c r="I37" i="9"/>
  <c r="K37" i="9"/>
  <c r="M37" i="9"/>
  <c r="X21" i="14"/>
  <c r="O37" i="9"/>
  <c r="J21" i="14"/>
  <c r="H21" i="14"/>
  <c r="K21" i="14"/>
  <c r="Y21" i="14"/>
  <c r="Q37" i="9"/>
  <c r="Z21" i="14"/>
  <c r="S37" i="9"/>
  <c r="AO21" i="14"/>
  <c r="U37" i="9"/>
  <c r="Q21" i="14"/>
  <c r="AA21" i="14"/>
  <c r="W37" i="9"/>
  <c r="AB21" i="14"/>
  <c r="Y37" i="9"/>
  <c r="AC21" i="14"/>
  <c r="AA37" i="9"/>
  <c r="AC37" i="9"/>
  <c r="B37" i="9"/>
  <c r="C37" i="9"/>
  <c r="AK38" i="9"/>
  <c r="AI38" i="9"/>
  <c r="AG38" i="9"/>
  <c r="AE38" i="9"/>
  <c r="G38" i="9"/>
  <c r="I38" i="9"/>
  <c r="K38" i="9"/>
  <c r="M38" i="9"/>
  <c r="X22" i="14"/>
  <c r="O38" i="9"/>
  <c r="J22" i="14"/>
  <c r="H22" i="14"/>
  <c r="K22" i="14"/>
  <c r="Y22" i="14"/>
  <c r="Q38" i="9"/>
  <c r="Z22" i="14"/>
  <c r="S38" i="9"/>
  <c r="AO22" i="14"/>
  <c r="U38" i="9"/>
  <c r="Q22" i="14"/>
  <c r="AA22" i="14"/>
  <c r="W38" i="9"/>
  <c r="AB22" i="14"/>
  <c r="Y38" i="9"/>
  <c r="AC22" i="14"/>
  <c r="AA38" i="9"/>
  <c r="AC38" i="9"/>
  <c r="B38" i="9"/>
  <c r="C38" i="9"/>
  <c r="AK39" i="9"/>
  <c r="AI39" i="9"/>
  <c r="AG39" i="9"/>
  <c r="AE39" i="9"/>
  <c r="G39" i="9"/>
  <c r="I39" i="9"/>
  <c r="K39" i="9"/>
  <c r="M39" i="9"/>
  <c r="X23" i="14"/>
  <c r="O39" i="9"/>
  <c r="J23" i="14"/>
  <c r="H23" i="14"/>
  <c r="K23" i="14"/>
  <c r="Y23" i="14"/>
  <c r="Q39" i="9"/>
  <c r="Z23" i="14"/>
  <c r="S39" i="9"/>
  <c r="AO23" i="14"/>
  <c r="U39" i="9"/>
  <c r="Q23" i="14"/>
  <c r="AA23" i="14"/>
  <c r="W39" i="9"/>
  <c r="AB23" i="14"/>
  <c r="Y39" i="9"/>
  <c r="AC23" i="14"/>
  <c r="AA39" i="9"/>
  <c r="AC39" i="9"/>
  <c r="B39" i="9"/>
  <c r="C39" i="9"/>
  <c r="AK40" i="9"/>
  <c r="AI40" i="9"/>
  <c r="AG40" i="9"/>
  <c r="AE40" i="9"/>
  <c r="G40" i="9"/>
  <c r="I40" i="9"/>
  <c r="K40" i="9"/>
  <c r="M40" i="9"/>
  <c r="X24" i="14"/>
  <c r="O40" i="9"/>
  <c r="J24" i="14"/>
  <c r="H24" i="14"/>
  <c r="K24" i="14"/>
  <c r="Y24" i="14"/>
  <c r="Q40" i="9"/>
  <c r="Z24" i="14"/>
  <c r="S40" i="9"/>
  <c r="AO24" i="14"/>
  <c r="U40" i="9"/>
  <c r="Q24" i="14"/>
  <c r="AA24" i="14"/>
  <c r="W40" i="9"/>
  <c r="AB24" i="14"/>
  <c r="Y40" i="9"/>
  <c r="AC24" i="14"/>
  <c r="AA40" i="9"/>
  <c r="AC40" i="9"/>
  <c r="B40" i="9"/>
  <c r="C40" i="9"/>
  <c r="AK41" i="9"/>
  <c r="AI41" i="9"/>
  <c r="AG41" i="9"/>
  <c r="AE41" i="9"/>
  <c r="G41" i="9"/>
  <c r="I41" i="9"/>
  <c r="K41" i="9"/>
  <c r="M41" i="9"/>
  <c r="X25" i="14"/>
  <c r="O41" i="9"/>
  <c r="J25" i="14"/>
  <c r="H25" i="14"/>
  <c r="K25" i="14"/>
  <c r="Y25" i="14"/>
  <c r="Q41" i="9"/>
  <c r="Z25" i="14"/>
  <c r="S41" i="9"/>
  <c r="AO25" i="14"/>
  <c r="U41" i="9"/>
  <c r="Q25" i="14"/>
  <c r="AA25" i="14"/>
  <c r="W41" i="9"/>
  <c r="AB25" i="14"/>
  <c r="Y41" i="9"/>
  <c r="AC25" i="14"/>
  <c r="AA41" i="9"/>
  <c r="AC41" i="9"/>
  <c r="B41" i="9"/>
  <c r="C41" i="9"/>
  <c r="AK42" i="9"/>
  <c r="AI42" i="9"/>
  <c r="AG42" i="9"/>
  <c r="AE42" i="9"/>
  <c r="G42" i="9"/>
  <c r="I42" i="9"/>
  <c r="K42" i="9"/>
  <c r="M42" i="9"/>
  <c r="X26" i="14"/>
  <c r="O42" i="9"/>
  <c r="J26" i="14"/>
  <c r="H26" i="14"/>
  <c r="K26" i="14"/>
  <c r="Y26" i="14"/>
  <c r="Q42" i="9"/>
  <c r="Z26" i="14"/>
  <c r="S42" i="9"/>
  <c r="AO26" i="14"/>
  <c r="U42" i="9"/>
  <c r="Q26" i="14"/>
  <c r="AA26" i="14"/>
  <c r="W42" i="9"/>
  <c r="AB26" i="14"/>
  <c r="Y42" i="9"/>
  <c r="AC26" i="14"/>
  <c r="AA42" i="9"/>
  <c r="AC42" i="9"/>
  <c r="B42" i="9"/>
  <c r="C42" i="9"/>
  <c r="AK43" i="9"/>
  <c r="AI43" i="9"/>
  <c r="AG43" i="9"/>
  <c r="AE43" i="9"/>
  <c r="G43" i="9"/>
  <c r="I43" i="9"/>
  <c r="K43" i="9"/>
  <c r="M43" i="9"/>
  <c r="X27" i="14"/>
  <c r="O43" i="9"/>
  <c r="J27" i="14"/>
  <c r="H27" i="14"/>
  <c r="K27" i="14"/>
  <c r="Y27" i="14"/>
  <c r="Q43" i="9"/>
  <c r="Z27" i="14"/>
  <c r="S43" i="9"/>
  <c r="AO27" i="14"/>
  <c r="U43" i="9"/>
  <c r="Q27" i="14"/>
  <c r="AA27" i="14"/>
  <c r="W43" i="9"/>
  <c r="AB27" i="14"/>
  <c r="Y43" i="9"/>
  <c r="AC27" i="14"/>
  <c r="AA43" i="9"/>
  <c r="AC43" i="9"/>
  <c r="B43" i="9"/>
  <c r="C43" i="9"/>
  <c r="AK44" i="9"/>
  <c r="AI44" i="9"/>
  <c r="AG44" i="9"/>
  <c r="AE44" i="9"/>
  <c r="G44" i="9"/>
  <c r="I44" i="9"/>
  <c r="K44" i="9"/>
  <c r="M44" i="9"/>
  <c r="X28" i="14"/>
  <c r="O44" i="9"/>
  <c r="J28" i="14"/>
  <c r="H28" i="14"/>
  <c r="K28" i="14"/>
  <c r="Y28" i="14"/>
  <c r="Q44" i="9"/>
  <c r="Z28" i="14"/>
  <c r="S44" i="9"/>
  <c r="AO28" i="14"/>
  <c r="U44" i="9"/>
  <c r="Q28" i="14"/>
  <c r="AA28" i="14"/>
  <c r="W44" i="9"/>
  <c r="AB28" i="14"/>
  <c r="Y44" i="9"/>
  <c r="AC28" i="14"/>
  <c r="AA44" i="9"/>
  <c r="AC44" i="9"/>
  <c r="B44" i="9"/>
  <c r="C44" i="9"/>
  <c r="AK45" i="9"/>
  <c r="AI45" i="9"/>
  <c r="AG45" i="9"/>
  <c r="AE45" i="9"/>
  <c r="G45" i="9"/>
  <c r="I45" i="9"/>
  <c r="K45" i="9"/>
  <c r="M45" i="9"/>
  <c r="X29" i="14"/>
  <c r="O45" i="9"/>
  <c r="J29" i="14"/>
  <c r="H29" i="14"/>
  <c r="K29" i="14"/>
  <c r="Y29" i="14"/>
  <c r="Q45" i="9"/>
  <c r="Z29" i="14"/>
  <c r="S45" i="9"/>
  <c r="AO29" i="14"/>
  <c r="U45" i="9"/>
  <c r="Q29" i="14"/>
  <c r="AA29" i="14"/>
  <c r="W45" i="9"/>
  <c r="AB29" i="14"/>
  <c r="Y45" i="9"/>
  <c r="AC29" i="14"/>
  <c r="AA45" i="9"/>
  <c r="AC45" i="9"/>
  <c r="B45" i="9"/>
  <c r="C45" i="9"/>
  <c r="AK46" i="9"/>
  <c r="AI46" i="9"/>
  <c r="AG46" i="9"/>
  <c r="AE46" i="9"/>
  <c r="G46" i="9"/>
  <c r="I46" i="9"/>
  <c r="K46" i="9"/>
  <c r="M46" i="9"/>
  <c r="X30" i="14"/>
  <c r="O46" i="9"/>
  <c r="J30" i="14"/>
  <c r="H30" i="14"/>
  <c r="K30" i="14"/>
  <c r="Y30" i="14"/>
  <c r="Q46" i="9"/>
  <c r="Z30" i="14"/>
  <c r="S46" i="9"/>
  <c r="AO30" i="14"/>
  <c r="U46" i="9"/>
  <c r="Q30" i="14"/>
  <c r="AA30" i="14"/>
  <c r="W46" i="9"/>
  <c r="AB30" i="14"/>
  <c r="Y46" i="9"/>
  <c r="AC30" i="14"/>
  <c r="AA46" i="9"/>
  <c r="AC46" i="9"/>
  <c r="B46" i="9"/>
  <c r="C46" i="9"/>
  <c r="AK47" i="9"/>
  <c r="AI47" i="9"/>
  <c r="AG47" i="9"/>
  <c r="AE47" i="9"/>
  <c r="G47" i="9"/>
  <c r="I47" i="9"/>
  <c r="K47" i="9"/>
  <c r="M47" i="9"/>
  <c r="X31" i="14"/>
  <c r="O47" i="9"/>
  <c r="J31" i="14"/>
  <c r="H31" i="14"/>
  <c r="K31" i="14"/>
  <c r="Y31" i="14"/>
  <c r="Q47" i="9"/>
  <c r="Z31" i="14"/>
  <c r="S47" i="9"/>
  <c r="AO31" i="14"/>
  <c r="U47" i="9"/>
  <c r="Q31" i="14"/>
  <c r="AA31" i="14"/>
  <c r="W47" i="9"/>
  <c r="AB31" i="14"/>
  <c r="Y47" i="9"/>
  <c r="AC31" i="14"/>
  <c r="AA47" i="9"/>
  <c r="AC47" i="9"/>
  <c r="B47" i="9"/>
  <c r="C47" i="9"/>
  <c r="T11" i="11"/>
  <c r="T6" i="11"/>
  <c r="T10" i="11"/>
  <c r="T18" i="11"/>
  <c r="T20" i="11"/>
  <c r="AN5" i="12"/>
  <c r="U48" i="9"/>
  <c r="AF5" i="12"/>
  <c r="U5" i="11"/>
  <c r="U11" i="11"/>
  <c r="U6" i="11"/>
  <c r="U10" i="11"/>
  <c r="U18" i="11"/>
  <c r="U20" i="11"/>
  <c r="H5" i="12"/>
  <c r="V5" i="11"/>
  <c r="V11" i="11"/>
  <c r="V6" i="11"/>
  <c r="V10" i="11"/>
  <c r="V18" i="11"/>
  <c r="V20" i="11"/>
  <c r="I5" i="12"/>
  <c r="X11" i="11"/>
  <c r="X6" i="11"/>
  <c r="X10" i="11"/>
  <c r="X18" i="11"/>
  <c r="X20" i="11"/>
  <c r="J5" i="12"/>
  <c r="AK5" i="12"/>
  <c r="AL5" i="12"/>
  <c r="Q48" i="9"/>
  <c r="AH5" i="12"/>
  <c r="K48" i="9"/>
  <c r="AG5" i="12"/>
  <c r="I48" i="9"/>
  <c r="G48" i="9"/>
  <c r="AM5" i="12"/>
  <c r="S48" i="9"/>
  <c r="AJ5" i="12"/>
  <c r="O48" i="9"/>
  <c r="AI5" i="12"/>
  <c r="M48" i="9"/>
  <c r="B48" i="9"/>
  <c r="C48" i="9"/>
  <c r="T27" i="11"/>
  <c r="T19" i="11"/>
  <c r="T16" i="11"/>
  <c r="T22" i="11"/>
  <c r="AN6" i="12"/>
  <c r="U49" i="9"/>
  <c r="AF6" i="12"/>
  <c r="U25" i="11"/>
  <c r="U27" i="11"/>
  <c r="U19" i="11"/>
  <c r="U9" i="11"/>
  <c r="U16" i="11"/>
  <c r="U22" i="11"/>
  <c r="H6" i="12"/>
  <c r="V25" i="11"/>
  <c r="V27" i="11"/>
  <c r="V19" i="11"/>
  <c r="V9" i="11"/>
  <c r="V16" i="11"/>
  <c r="V22" i="11"/>
  <c r="I6" i="12"/>
  <c r="X27" i="11"/>
  <c r="X19" i="11"/>
  <c r="X16" i="11"/>
  <c r="X22" i="11"/>
  <c r="J6" i="12"/>
  <c r="AK6" i="12"/>
  <c r="AL6" i="12"/>
  <c r="Q49" i="9"/>
  <c r="AH6" i="12"/>
  <c r="K49" i="9"/>
  <c r="AG6" i="12"/>
  <c r="I49" i="9"/>
  <c r="G49" i="9"/>
  <c r="AM6" i="12"/>
  <c r="S49" i="9"/>
  <c r="AJ6" i="12"/>
  <c r="O49" i="9"/>
  <c r="AI6" i="12"/>
  <c r="M49" i="9"/>
  <c r="B49" i="9"/>
  <c r="C49" i="9"/>
  <c r="T25" i="11"/>
  <c r="T32" i="11"/>
  <c r="AN7" i="12"/>
  <c r="U50" i="9"/>
  <c r="AF7" i="12"/>
  <c r="U26" i="11"/>
  <c r="U32" i="11"/>
  <c r="H7" i="12"/>
  <c r="V26" i="11"/>
  <c r="V32" i="11"/>
  <c r="I7" i="12"/>
  <c r="X25" i="11"/>
  <c r="X32" i="11"/>
  <c r="J7" i="12"/>
  <c r="AK7" i="12"/>
  <c r="AL7" i="12"/>
  <c r="Q50" i="9"/>
  <c r="AH7" i="12"/>
  <c r="K50" i="9"/>
  <c r="AG7" i="12"/>
  <c r="I50" i="9"/>
  <c r="G50" i="9"/>
  <c r="AM7" i="12"/>
  <c r="S50" i="9"/>
  <c r="AJ7" i="12"/>
  <c r="O50" i="9"/>
  <c r="AI7" i="12"/>
  <c r="M50" i="9"/>
  <c r="B50" i="9"/>
  <c r="C50" i="9"/>
  <c r="T26" i="11"/>
  <c r="AN8" i="12"/>
  <c r="U51" i="9"/>
  <c r="AF8" i="12"/>
  <c r="I8" i="12"/>
  <c r="H8" i="12"/>
  <c r="X26" i="11"/>
  <c r="J8" i="12"/>
  <c r="AK8" i="12"/>
  <c r="AL8" i="12"/>
  <c r="Q51" i="9"/>
  <c r="AH8" i="12"/>
  <c r="K51" i="9"/>
  <c r="AG8" i="12"/>
  <c r="I51" i="9"/>
  <c r="G51" i="9"/>
  <c r="AM8" i="12"/>
  <c r="S51" i="9"/>
  <c r="AJ8" i="12"/>
  <c r="O51" i="9"/>
  <c r="AI8" i="12"/>
  <c r="M51" i="9"/>
  <c r="B51" i="9"/>
  <c r="C51" i="9"/>
  <c r="T31" i="11"/>
  <c r="AN9" i="12"/>
  <c r="U52" i="9"/>
  <c r="AF9" i="12"/>
  <c r="U31" i="11"/>
  <c r="H9" i="12"/>
  <c r="V31" i="11"/>
  <c r="I9" i="12"/>
  <c r="X31" i="11"/>
  <c r="J9" i="12"/>
  <c r="AK9" i="12"/>
  <c r="AL9" i="12"/>
  <c r="Q52" i="9"/>
  <c r="AH9" i="12"/>
  <c r="K52" i="9"/>
  <c r="AG9" i="12"/>
  <c r="I52" i="9"/>
  <c r="G52" i="9"/>
  <c r="AM9" i="12"/>
  <c r="S52" i="9"/>
  <c r="AJ9" i="12"/>
  <c r="O52" i="9"/>
  <c r="AI9" i="12"/>
  <c r="M52" i="9"/>
  <c r="B52" i="9"/>
  <c r="C52" i="9"/>
  <c r="T34" i="11"/>
  <c r="T30" i="11"/>
  <c r="AN10" i="12"/>
  <c r="U53" i="9"/>
  <c r="AF10" i="12"/>
  <c r="U34" i="11"/>
  <c r="U30" i="11"/>
  <c r="H10" i="12"/>
  <c r="V34" i="11"/>
  <c r="V30" i="11"/>
  <c r="I10" i="12"/>
  <c r="X34" i="11"/>
  <c r="X30" i="11"/>
  <c r="J10" i="12"/>
  <c r="AK10" i="12"/>
  <c r="AL10" i="12"/>
  <c r="Q53" i="9"/>
  <c r="AH10" i="12"/>
  <c r="K53" i="9"/>
  <c r="AG10" i="12"/>
  <c r="I53" i="9"/>
  <c r="G53" i="9"/>
  <c r="AM10" i="12"/>
  <c r="S53" i="9"/>
  <c r="AJ10" i="12"/>
  <c r="O53" i="9"/>
  <c r="AI10" i="12"/>
  <c r="M53" i="9"/>
  <c r="B53" i="9"/>
  <c r="C53" i="9"/>
  <c r="AN11" i="12"/>
  <c r="U54" i="9"/>
  <c r="J11" i="12"/>
  <c r="AK11" i="12"/>
  <c r="AL11" i="12"/>
  <c r="Q54" i="9"/>
  <c r="I11" i="12"/>
  <c r="AH11" i="12"/>
  <c r="K54" i="9"/>
  <c r="AG11" i="12"/>
  <c r="I54" i="9"/>
  <c r="AF11" i="12"/>
  <c r="G54" i="9"/>
  <c r="AM11" i="12"/>
  <c r="S54" i="9"/>
  <c r="AJ11" i="12"/>
  <c r="O54" i="9"/>
  <c r="AI11" i="12"/>
  <c r="M54" i="9"/>
  <c r="B54" i="9"/>
  <c r="C54" i="9"/>
  <c r="AN12" i="12"/>
  <c r="U55" i="9"/>
  <c r="J12" i="12"/>
  <c r="AK12" i="12"/>
  <c r="AL12" i="12"/>
  <c r="Q55" i="9"/>
  <c r="I12" i="12"/>
  <c r="AH12" i="12"/>
  <c r="K55" i="9"/>
  <c r="AG12" i="12"/>
  <c r="I55" i="9"/>
  <c r="AF12" i="12"/>
  <c r="G55" i="9"/>
  <c r="AM12" i="12"/>
  <c r="S55" i="9"/>
  <c r="AJ12" i="12"/>
  <c r="O55" i="9"/>
  <c r="AI12" i="12"/>
  <c r="M55" i="9"/>
  <c r="B55" i="9"/>
  <c r="C55" i="9"/>
  <c r="AN13" i="12"/>
  <c r="U56" i="9"/>
  <c r="J13" i="12"/>
  <c r="AK13" i="12"/>
  <c r="AL13" i="12"/>
  <c r="Q56" i="9"/>
  <c r="I13" i="12"/>
  <c r="AH13" i="12"/>
  <c r="K56" i="9"/>
  <c r="AG13" i="12"/>
  <c r="I56" i="9"/>
  <c r="AF13" i="12"/>
  <c r="G56" i="9"/>
  <c r="AM13" i="12"/>
  <c r="S56" i="9"/>
  <c r="AJ13" i="12"/>
  <c r="O56" i="9"/>
  <c r="AI13" i="12"/>
  <c r="M56" i="9"/>
  <c r="B56" i="9"/>
  <c r="C56" i="9"/>
  <c r="AN14" i="12"/>
  <c r="U57" i="9"/>
  <c r="J14" i="12"/>
  <c r="AK14" i="12"/>
  <c r="AL14" i="12"/>
  <c r="Q57" i="9"/>
  <c r="I14" i="12"/>
  <c r="AH14" i="12"/>
  <c r="K57" i="9"/>
  <c r="AG14" i="12"/>
  <c r="I57" i="9"/>
  <c r="AF14" i="12"/>
  <c r="G57" i="9"/>
  <c r="AM14" i="12"/>
  <c r="S57" i="9"/>
  <c r="AJ14" i="12"/>
  <c r="O57" i="9"/>
  <c r="AI14" i="12"/>
  <c r="M57" i="9"/>
  <c r="B57" i="9"/>
  <c r="C57" i="9"/>
  <c r="AN15" i="12"/>
  <c r="U58" i="9"/>
  <c r="J15" i="12"/>
  <c r="AK15" i="12"/>
  <c r="AL15" i="12"/>
  <c r="Q58" i="9"/>
  <c r="I15" i="12"/>
  <c r="AH15" i="12"/>
  <c r="K58" i="9"/>
  <c r="AG15" i="12"/>
  <c r="I58" i="9"/>
  <c r="AF15" i="12"/>
  <c r="G58" i="9"/>
  <c r="AM15" i="12"/>
  <c r="S58" i="9"/>
  <c r="AJ15" i="12"/>
  <c r="O58" i="9"/>
  <c r="AI15" i="12"/>
  <c r="M58" i="9"/>
  <c r="B58" i="9"/>
  <c r="C58" i="9"/>
  <c r="AN16" i="12"/>
  <c r="U59" i="9"/>
  <c r="J16" i="12"/>
  <c r="AK16" i="12"/>
  <c r="AL16" i="12"/>
  <c r="Q59" i="9"/>
  <c r="I16" i="12"/>
  <c r="AH16" i="12"/>
  <c r="K59" i="9"/>
  <c r="AG16" i="12"/>
  <c r="I59" i="9"/>
  <c r="AF16" i="12"/>
  <c r="G59" i="9"/>
  <c r="AM16" i="12"/>
  <c r="S59" i="9"/>
  <c r="AJ16" i="12"/>
  <c r="O59" i="9"/>
  <c r="AI16" i="12"/>
  <c r="M59" i="9"/>
  <c r="B59" i="9"/>
  <c r="C59" i="9"/>
  <c r="AN17" i="12"/>
  <c r="U60" i="9"/>
  <c r="J17" i="12"/>
  <c r="AK17" i="12"/>
  <c r="AL17" i="12"/>
  <c r="Q60" i="9"/>
  <c r="I17" i="12"/>
  <c r="AH17" i="12"/>
  <c r="K60" i="9"/>
  <c r="AG17" i="12"/>
  <c r="I60" i="9"/>
  <c r="AF17" i="12"/>
  <c r="G60" i="9"/>
  <c r="AM17" i="12"/>
  <c r="S60" i="9"/>
  <c r="AJ17" i="12"/>
  <c r="O60" i="9"/>
  <c r="AI17" i="12"/>
  <c r="M60" i="9"/>
  <c r="B60" i="9"/>
  <c r="C60" i="9"/>
  <c r="AN18" i="12"/>
  <c r="U61" i="9"/>
  <c r="J18" i="12"/>
  <c r="AK18" i="12"/>
  <c r="AL18" i="12"/>
  <c r="Q61" i="9"/>
  <c r="I18" i="12"/>
  <c r="AH18" i="12"/>
  <c r="K61" i="9"/>
  <c r="AG18" i="12"/>
  <c r="I61" i="9"/>
  <c r="AF18" i="12"/>
  <c r="G61" i="9"/>
  <c r="AM18" i="12"/>
  <c r="S61" i="9"/>
  <c r="AJ18" i="12"/>
  <c r="O61" i="9"/>
  <c r="AI18" i="12"/>
  <c r="M61" i="9"/>
  <c r="B61" i="9"/>
  <c r="C61" i="9"/>
  <c r="AN19" i="12"/>
  <c r="U62" i="9"/>
  <c r="J19" i="12"/>
  <c r="AK19" i="12"/>
  <c r="AL19" i="12"/>
  <c r="Q62" i="9"/>
  <c r="I19" i="12"/>
  <c r="AH19" i="12"/>
  <c r="K62" i="9"/>
  <c r="AG19" i="12"/>
  <c r="I62" i="9"/>
  <c r="AF19" i="12"/>
  <c r="G62" i="9"/>
  <c r="AM19" i="12"/>
  <c r="S62" i="9"/>
  <c r="AJ19" i="12"/>
  <c r="O62" i="9"/>
  <c r="AI19" i="12"/>
  <c r="M62" i="9"/>
  <c r="B62" i="9"/>
  <c r="C62" i="9"/>
  <c r="AM21" i="12"/>
  <c r="S63" i="9"/>
  <c r="K21" i="12"/>
  <c r="L21" i="12"/>
  <c r="AK21" i="12"/>
  <c r="Q63" i="9"/>
  <c r="AJ21" i="12"/>
  <c r="O63" i="9"/>
  <c r="AI21" i="12"/>
  <c r="M63" i="9"/>
  <c r="AF21" i="12"/>
  <c r="G63" i="9"/>
  <c r="AG21" i="12"/>
  <c r="I63" i="9"/>
  <c r="AH21" i="12"/>
  <c r="K63" i="9"/>
  <c r="B63" i="9"/>
  <c r="C63" i="9"/>
  <c r="AM22" i="12"/>
  <c r="S64" i="9"/>
  <c r="K22" i="12"/>
  <c r="L22" i="12"/>
  <c r="AK22" i="12"/>
  <c r="Q64" i="9"/>
  <c r="AJ22" i="12"/>
  <c r="O64" i="9"/>
  <c r="AI22" i="12"/>
  <c r="M64" i="9"/>
  <c r="AF22" i="12"/>
  <c r="G64" i="9"/>
  <c r="AG22" i="12"/>
  <c r="I64" i="9"/>
  <c r="AH22" i="12"/>
  <c r="K64" i="9"/>
  <c r="B64" i="9"/>
  <c r="C64" i="9"/>
  <c r="AM23" i="12"/>
  <c r="S65" i="9"/>
  <c r="K23" i="12"/>
  <c r="L23" i="12"/>
  <c r="AK23" i="12"/>
  <c r="Q65" i="9"/>
  <c r="AJ23" i="12"/>
  <c r="O65" i="9"/>
  <c r="AI23" i="12"/>
  <c r="M65" i="9"/>
  <c r="AF23" i="12"/>
  <c r="G65" i="9"/>
  <c r="AG23" i="12"/>
  <c r="I65" i="9"/>
  <c r="AH23" i="12"/>
  <c r="K65" i="9"/>
  <c r="B65" i="9"/>
  <c r="C65" i="9"/>
  <c r="AM24" i="12"/>
  <c r="S66" i="9"/>
  <c r="K24" i="12"/>
  <c r="L24" i="12"/>
  <c r="AK24" i="12"/>
  <c r="Q66" i="9"/>
  <c r="AJ24" i="12"/>
  <c r="O66" i="9"/>
  <c r="AI24" i="12"/>
  <c r="M66" i="9"/>
  <c r="AF24" i="12"/>
  <c r="G66" i="9"/>
  <c r="AG24" i="12"/>
  <c r="I66" i="9"/>
  <c r="AH24" i="12"/>
  <c r="K66" i="9"/>
  <c r="B66" i="9"/>
  <c r="C66" i="9"/>
  <c r="AM25" i="12"/>
  <c r="S67" i="9"/>
  <c r="K25" i="12"/>
  <c r="L25" i="12"/>
  <c r="AK25" i="12"/>
  <c r="Q67" i="9"/>
  <c r="AJ25" i="12"/>
  <c r="O67" i="9"/>
  <c r="AI25" i="12"/>
  <c r="M67" i="9"/>
  <c r="AF25" i="12"/>
  <c r="G67" i="9"/>
  <c r="AG25" i="12"/>
  <c r="I67" i="9"/>
  <c r="AH25" i="12"/>
  <c r="K67" i="9"/>
  <c r="B67" i="9"/>
  <c r="C67" i="9"/>
  <c r="F68" i="9"/>
  <c r="B68" i="9"/>
  <c r="C68" i="9"/>
  <c r="K3" i="27"/>
  <c r="B69" i="9"/>
  <c r="C69" i="9"/>
  <c r="D4" i="27"/>
  <c r="E4" i="27"/>
  <c r="J4" i="27"/>
  <c r="M70" i="9"/>
  <c r="I4" i="27"/>
  <c r="K70" i="9"/>
  <c r="H4" i="27"/>
  <c r="I70" i="9"/>
  <c r="K4" i="27"/>
  <c r="G70" i="9"/>
  <c r="B70" i="9"/>
  <c r="C70" i="9"/>
  <c r="D5" i="27"/>
  <c r="E5" i="27"/>
  <c r="J5" i="27"/>
  <c r="M71" i="9"/>
  <c r="I5" i="27"/>
  <c r="K71" i="9"/>
  <c r="H5" i="27"/>
  <c r="I71" i="9"/>
  <c r="K5" i="27"/>
  <c r="G71" i="9"/>
  <c r="B71" i="9"/>
  <c r="C71" i="9"/>
  <c r="D6" i="27"/>
  <c r="E6" i="27"/>
  <c r="J6" i="27"/>
  <c r="M72" i="9"/>
  <c r="I6" i="27"/>
  <c r="K72" i="9"/>
  <c r="H6" i="27"/>
  <c r="I72" i="9"/>
  <c r="K6" i="27"/>
  <c r="G72" i="9"/>
  <c r="B72" i="9"/>
  <c r="C72" i="9"/>
  <c r="J7" i="27"/>
  <c r="M73" i="9"/>
  <c r="D7" i="27"/>
  <c r="I7" i="27"/>
  <c r="K73" i="9"/>
  <c r="E7" i="27"/>
  <c r="H7" i="27"/>
  <c r="I73" i="9"/>
  <c r="K7" i="27"/>
  <c r="G73" i="9"/>
  <c r="B73" i="9"/>
  <c r="C73" i="9"/>
  <c r="B74" i="9"/>
  <c r="C74" i="9"/>
  <c r="H8" i="21"/>
  <c r="F3" i="21"/>
  <c r="D6" i="21"/>
  <c r="G6" i="21"/>
  <c r="D5" i="21"/>
  <c r="G5" i="21"/>
  <c r="G9" i="21"/>
  <c r="G10" i="21"/>
  <c r="J2" i="18"/>
  <c r="J3" i="18"/>
  <c r="J4" i="18"/>
  <c r="J5" i="18"/>
  <c r="J6" i="18"/>
  <c r="J7" i="18"/>
  <c r="K2" i="18"/>
  <c r="E10" i="21"/>
  <c r="D11" i="21"/>
  <c r="G12" i="21"/>
  <c r="G13" i="21"/>
  <c r="G3" i="21"/>
  <c r="G8" i="21"/>
  <c r="W8" i="21"/>
  <c r="B33" i="21"/>
  <c r="H5" i="21"/>
  <c r="W5" i="21"/>
  <c r="B31" i="21"/>
  <c r="H13" i="21"/>
  <c r="B37" i="21"/>
  <c r="H12" i="21"/>
  <c r="B36" i="21"/>
  <c r="H10" i="21"/>
  <c r="W10" i="21"/>
  <c r="B35" i="21"/>
  <c r="H9" i="21"/>
  <c r="W9" i="21"/>
  <c r="B34" i="21"/>
  <c r="H6" i="21"/>
  <c r="B32" i="21"/>
  <c r="B38" i="21"/>
  <c r="G75" i="9"/>
  <c r="W3" i="21"/>
  <c r="X3" i="21"/>
  <c r="K75" i="9"/>
  <c r="V3" i="21"/>
  <c r="I75" i="9"/>
  <c r="B75" i="9"/>
  <c r="C75" i="9"/>
  <c r="C36" i="21"/>
  <c r="C35" i="21"/>
  <c r="F21" i="21"/>
  <c r="H21" i="21"/>
  <c r="C31" i="21"/>
  <c r="C33" i="21"/>
  <c r="C32" i="21"/>
  <c r="C38" i="21"/>
  <c r="G76" i="9"/>
  <c r="V21" i="21"/>
  <c r="X21" i="21"/>
  <c r="K76" i="9"/>
  <c r="I76" i="9"/>
  <c r="B76" i="9"/>
  <c r="C76" i="9"/>
  <c r="D31" i="21"/>
  <c r="D38" i="21"/>
  <c r="G77" i="9"/>
  <c r="F5" i="21"/>
  <c r="V5" i="21"/>
  <c r="I77" i="9"/>
  <c r="K77" i="9"/>
  <c r="B77" i="9"/>
  <c r="C77" i="9"/>
  <c r="F6" i="21"/>
  <c r="V6" i="21"/>
  <c r="I78" i="9"/>
  <c r="K78" i="9"/>
  <c r="G7" i="21"/>
  <c r="H7" i="21"/>
  <c r="E32" i="21"/>
  <c r="E31" i="21"/>
  <c r="E38" i="21"/>
  <c r="G78" i="9"/>
  <c r="B78" i="9"/>
  <c r="C78" i="9"/>
  <c r="G11" i="21"/>
  <c r="F11" i="21"/>
  <c r="V11" i="21"/>
  <c r="I79" i="9"/>
  <c r="K79" i="9"/>
  <c r="F33" i="21"/>
  <c r="F32" i="21"/>
  <c r="H11" i="21"/>
  <c r="F31" i="21"/>
  <c r="F38" i="21"/>
  <c r="G79" i="9"/>
  <c r="B79" i="9"/>
  <c r="C79" i="9"/>
  <c r="G15" i="21"/>
  <c r="G14" i="21"/>
  <c r="F14" i="21"/>
  <c r="V14" i="21"/>
  <c r="I80" i="9"/>
  <c r="K80" i="9"/>
  <c r="H15" i="21"/>
  <c r="G32" i="21"/>
  <c r="H14" i="21"/>
  <c r="G31" i="21"/>
  <c r="G38" i="21"/>
  <c r="G80" i="9"/>
  <c r="B80" i="9"/>
  <c r="C80" i="9"/>
  <c r="F16" i="21"/>
  <c r="G16" i="21"/>
  <c r="G18" i="21"/>
  <c r="G19" i="21"/>
  <c r="G17" i="21"/>
  <c r="H17" i="21"/>
  <c r="W17" i="21"/>
  <c r="H31" i="21"/>
  <c r="H19" i="21"/>
  <c r="H33" i="21"/>
  <c r="H18" i="21"/>
  <c r="W18" i="21"/>
  <c r="H32" i="21"/>
  <c r="H38" i="21"/>
  <c r="G81" i="9"/>
  <c r="V16" i="21"/>
  <c r="I81" i="9"/>
  <c r="X16" i="21"/>
  <c r="K81" i="9"/>
  <c r="B81" i="9"/>
  <c r="C81" i="9"/>
  <c r="B82" i="9"/>
  <c r="C82" i="9"/>
  <c r="I2" i="18"/>
  <c r="B83" i="9"/>
  <c r="C83" i="9"/>
  <c r="I3" i="18"/>
  <c r="B84" i="9"/>
  <c r="C84" i="9"/>
  <c r="I4" i="18"/>
  <c r="B85" i="9"/>
  <c r="C85" i="9"/>
  <c r="I5" i="18"/>
  <c r="B86" i="9"/>
  <c r="C86" i="9"/>
  <c r="I6" i="18"/>
  <c r="B87" i="9"/>
  <c r="C87" i="9"/>
  <c r="I7" i="18"/>
  <c r="B88" i="9"/>
  <c r="C88" i="9"/>
  <c r="I9" i="18"/>
  <c r="B89" i="9"/>
  <c r="C89" i="9"/>
  <c r="E31" i="17"/>
  <c r="I20" i="18"/>
  <c r="E30" i="17"/>
  <c r="I19" i="18"/>
  <c r="E28" i="17"/>
  <c r="I18" i="18"/>
  <c r="E26" i="17"/>
  <c r="I17" i="18"/>
  <c r="I13" i="18"/>
  <c r="I14" i="18"/>
  <c r="E23" i="17"/>
  <c r="I15" i="18"/>
  <c r="E25" i="17"/>
  <c r="I16" i="18"/>
  <c r="I21" i="18"/>
  <c r="B90" i="9"/>
  <c r="C90" i="9"/>
  <c r="B35" i="57"/>
  <c r="B34" i="57"/>
  <c r="B33" i="57"/>
  <c r="B32" i="57"/>
  <c r="B4" i="57"/>
  <c r="B5" i="57"/>
  <c r="B6" i="57"/>
  <c r="B7" i="57"/>
  <c r="B8" i="57"/>
  <c r="B9" i="57"/>
  <c r="B10" i="57"/>
  <c r="B11" i="57"/>
  <c r="B12" i="57"/>
  <c r="B13" i="57"/>
  <c r="B14" i="57"/>
  <c r="B15" i="57"/>
  <c r="B16" i="57"/>
  <c r="B17" i="57"/>
  <c r="B18" i="57"/>
  <c r="B19" i="57"/>
  <c r="B20" i="57"/>
  <c r="B21" i="57"/>
  <c r="B22" i="57"/>
  <c r="B23" i="57"/>
  <c r="B24" i="57"/>
  <c r="B25" i="57"/>
  <c r="B26" i="57"/>
  <c r="B27" i="57"/>
  <c r="B28" i="57"/>
  <c r="B29" i="57"/>
  <c r="B30" i="57"/>
  <c r="B31" i="57"/>
  <c r="B39" i="57"/>
  <c r="B91" i="9"/>
  <c r="C91" i="9"/>
  <c r="D34" i="57"/>
  <c r="D33" i="57"/>
  <c r="D32" i="57"/>
  <c r="D31" i="57"/>
  <c r="D4" i="57"/>
  <c r="D5" i="57"/>
  <c r="D6" i="57"/>
  <c r="D7" i="57"/>
  <c r="D8" i="57"/>
  <c r="D9" i="57"/>
  <c r="D10" i="57"/>
  <c r="D11" i="57"/>
  <c r="D12" i="57"/>
  <c r="D13" i="57"/>
  <c r="D14" i="57"/>
  <c r="D15" i="57"/>
  <c r="D16" i="57"/>
  <c r="D17" i="57"/>
  <c r="D18" i="57"/>
  <c r="D19" i="57"/>
  <c r="D20" i="57"/>
  <c r="D21" i="57"/>
  <c r="D22" i="57"/>
  <c r="D23" i="57"/>
  <c r="D24" i="57"/>
  <c r="D25" i="57"/>
  <c r="D26" i="57"/>
  <c r="D27" i="57"/>
  <c r="D28" i="57"/>
  <c r="D29" i="57"/>
  <c r="D30" i="57"/>
  <c r="B40" i="57"/>
  <c r="B92" i="9"/>
  <c r="C92" i="9"/>
  <c r="F34" i="57"/>
  <c r="F33" i="57"/>
  <c r="F32" i="57"/>
  <c r="F31" i="57"/>
  <c r="F4" i="57"/>
  <c r="F5" i="57"/>
  <c r="F6" i="57"/>
  <c r="F7" i="57"/>
  <c r="F8" i="57"/>
  <c r="F9" i="57"/>
  <c r="F10" i="57"/>
  <c r="F11" i="57"/>
  <c r="F12" i="57"/>
  <c r="F13" i="57"/>
  <c r="F14" i="57"/>
  <c r="F15" i="57"/>
  <c r="F16" i="57"/>
  <c r="F17" i="57"/>
  <c r="F18" i="57"/>
  <c r="F19" i="57"/>
  <c r="F20" i="57"/>
  <c r="F21" i="57"/>
  <c r="F22" i="57"/>
  <c r="F23" i="57"/>
  <c r="F24" i="57"/>
  <c r="F25" i="57"/>
  <c r="F26" i="57"/>
  <c r="F27" i="57"/>
  <c r="F28" i="57"/>
  <c r="F29" i="57"/>
  <c r="F30" i="57"/>
  <c r="B41" i="57"/>
  <c r="B93" i="9"/>
  <c r="C93" i="9"/>
  <c r="H34" i="57"/>
  <c r="H33" i="57"/>
  <c r="H32" i="57"/>
  <c r="H31" i="57"/>
  <c r="H4" i="57"/>
  <c r="H5" i="57"/>
  <c r="H6" i="57"/>
  <c r="H7" i="57"/>
  <c r="H8" i="57"/>
  <c r="H9" i="57"/>
  <c r="H10" i="57"/>
  <c r="H11" i="57"/>
  <c r="H12" i="57"/>
  <c r="H13" i="57"/>
  <c r="H14" i="57"/>
  <c r="H15" i="57"/>
  <c r="H16" i="57"/>
  <c r="H17" i="57"/>
  <c r="H18" i="57"/>
  <c r="H19" i="57"/>
  <c r="H20" i="57"/>
  <c r="H21" i="57"/>
  <c r="H22" i="57"/>
  <c r="H23" i="57"/>
  <c r="H24" i="57"/>
  <c r="H25" i="57"/>
  <c r="H26" i="57"/>
  <c r="H27" i="57"/>
  <c r="H28" i="57"/>
  <c r="H29" i="57"/>
  <c r="H30" i="57"/>
  <c r="B42" i="57"/>
  <c r="B94" i="9"/>
  <c r="C94" i="9"/>
  <c r="K34" i="57"/>
  <c r="K33" i="57"/>
  <c r="K32" i="57"/>
  <c r="K31" i="57"/>
  <c r="K4" i="57"/>
  <c r="K5" i="57"/>
  <c r="K6" i="57"/>
  <c r="K7" i="57"/>
  <c r="K8" i="57"/>
  <c r="K9" i="57"/>
  <c r="K10" i="57"/>
  <c r="K11" i="57"/>
  <c r="K12" i="57"/>
  <c r="K13" i="57"/>
  <c r="K14" i="57"/>
  <c r="K15" i="57"/>
  <c r="K16" i="57"/>
  <c r="K17" i="57"/>
  <c r="K18" i="57"/>
  <c r="K19" i="57"/>
  <c r="K20" i="57"/>
  <c r="K21" i="57"/>
  <c r="K22" i="57"/>
  <c r="K23" i="57"/>
  <c r="K24" i="57"/>
  <c r="K25" i="57"/>
  <c r="K26" i="57"/>
  <c r="K27" i="57"/>
  <c r="K28" i="57"/>
  <c r="K29" i="57"/>
  <c r="K30" i="57"/>
  <c r="B43" i="57"/>
  <c r="B95" i="9"/>
  <c r="C95" i="9"/>
  <c r="B96" i="9"/>
  <c r="C96" i="9"/>
  <c r="B47" i="59"/>
  <c r="B97" i="9"/>
  <c r="C97" i="9"/>
  <c r="B48" i="59"/>
  <c r="B98" i="9"/>
  <c r="C98" i="9"/>
  <c r="C27" i="59"/>
  <c r="C28" i="59"/>
  <c r="C29" i="59"/>
  <c r="C39" i="59"/>
  <c r="B49" i="59"/>
  <c r="B99" i="9"/>
  <c r="C99" i="9"/>
  <c r="B50" i="59"/>
  <c r="B100" i="9"/>
  <c r="C100" i="9"/>
  <c r="N5" i="12"/>
  <c r="O5" i="12"/>
  <c r="N6" i="12"/>
  <c r="O6" i="12"/>
  <c r="N7" i="12"/>
  <c r="O7" i="12"/>
  <c r="N8" i="12"/>
  <c r="O8" i="12"/>
  <c r="N9" i="12"/>
  <c r="O9" i="12"/>
  <c r="N10" i="12"/>
  <c r="O10" i="12"/>
  <c r="N11" i="12"/>
  <c r="O11" i="12"/>
  <c r="N12" i="12"/>
  <c r="O12" i="12"/>
  <c r="N13" i="12"/>
  <c r="O13" i="12"/>
  <c r="N14" i="12"/>
  <c r="O14" i="12"/>
  <c r="N15" i="12"/>
  <c r="O15" i="12"/>
  <c r="N16" i="12"/>
  <c r="O16" i="12"/>
  <c r="N17" i="12"/>
  <c r="O17" i="12"/>
  <c r="N18" i="12"/>
  <c r="O18" i="12"/>
  <c r="N19" i="12"/>
  <c r="O19" i="12"/>
  <c r="N21" i="12"/>
  <c r="O21" i="12"/>
  <c r="N22" i="12"/>
  <c r="O22" i="12"/>
  <c r="N23" i="12"/>
  <c r="O23" i="12"/>
  <c r="N24" i="12"/>
  <c r="O24" i="12"/>
  <c r="N25" i="12"/>
  <c r="O25" i="12"/>
  <c r="O27" i="12"/>
  <c r="C5" i="24"/>
  <c r="E9" i="10"/>
  <c r="M5" i="12"/>
  <c r="T5" i="12"/>
  <c r="E10" i="10"/>
  <c r="M6" i="12"/>
  <c r="T6" i="12"/>
  <c r="E11" i="10"/>
  <c r="M7" i="12"/>
  <c r="T7" i="12"/>
  <c r="E12" i="10"/>
  <c r="M8" i="12"/>
  <c r="T8" i="12"/>
  <c r="E13" i="10"/>
  <c r="M9" i="12"/>
  <c r="T9" i="12"/>
  <c r="E14" i="10"/>
  <c r="M10" i="12"/>
  <c r="T10" i="12"/>
  <c r="E15" i="10"/>
  <c r="M11" i="12"/>
  <c r="T11" i="12"/>
  <c r="E16" i="10"/>
  <c r="M12" i="12"/>
  <c r="T12" i="12"/>
  <c r="E17" i="10"/>
  <c r="M13" i="12"/>
  <c r="T13" i="12"/>
  <c r="E18" i="10"/>
  <c r="M14" i="12"/>
  <c r="T14" i="12"/>
  <c r="E19" i="10"/>
  <c r="M15" i="12"/>
  <c r="T15" i="12"/>
  <c r="E20" i="10"/>
  <c r="M16" i="12"/>
  <c r="T16" i="12"/>
  <c r="E21" i="10"/>
  <c r="M17" i="12"/>
  <c r="T17" i="12"/>
  <c r="E22" i="10"/>
  <c r="M18" i="12"/>
  <c r="T18" i="12"/>
  <c r="E23" i="10"/>
  <c r="M19" i="12"/>
  <c r="T19" i="12"/>
  <c r="T21" i="12"/>
  <c r="T22" i="12"/>
  <c r="T23" i="12"/>
  <c r="T24" i="12"/>
  <c r="T25" i="12"/>
  <c r="T27" i="12"/>
  <c r="C6" i="24"/>
  <c r="U5" i="12"/>
  <c r="U6" i="12"/>
  <c r="U7" i="12"/>
  <c r="U8" i="12"/>
  <c r="U9" i="12"/>
  <c r="U10" i="12"/>
  <c r="U11" i="12"/>
  <c r="U12" i="12"/>
  <c r="U13" i="12"/>
  <c r="U14" i="12"/>
  <c r="U15" i="12"/>
  <c r="U16" i="12"/>
  <c r="U17" i="12"/>
  <c r="U18" i="12"/>
  <c r="U19" i="12"/>
  <c r="U21" i="12"/>
  <c r="U22" i="12"/>
  <c r="U23" i="12"/>
  <c r="U24" i="12"/>
  <c r="U25" i="12"/>
  <c r="U27" i="12"/>
  <c r="C7" i="24"/>
  <c r="C3" i="24"/>
  <c r="T2" i="14"/>
  <c r="U2" i="14"/>
  <c r="T3" i="14"/>
  <c r="U3" i="14"/>
  <c r="T4" i="14"/>
  <c r="U4" i="14"/>
  <c r="T5" i="14"/>
  <c r="U5" i="14"/>
  <c r="T6" i="14"/>
  <c r="U6" i="14"/>
  <c r="T7" i="14"/>
  <c r="U7" i="14"/>
  <c r="T8" i="14"/>
  <c r="U8" i="14"/>
  <c r="T9" i="14"/>
  <c r="U9" i="14"/>
  <c r="T10" i="14"/>
  <c r="U10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T21" i="14"/>
  <c r="U21" i="14"/>
  <c r="T22" i="14"/>
  <c r="U22" i="14"/>
  <c r="T23" i="14"/>
  <c r="U23" i="14"/>
  <c r="T24" i="14"/>
  <c r="U24" i="14"/>
  <c r="T25" i="14"/>
  <c r="U25" i="14"/>
  <c r="T26" i="14"/>
  <c r="U26" i="14"/>
  <c r="T27" i="14"/>
  <c r="U27" i="14"/>
  <c r="T28" i="14"/>
  <c r="U28" i="14"/>
  <c r="T29" i="14"/>
  <c r="U29" i="14"/>
  <c r="T30" i="14"/>
  <c r="U30" i="14"/>
  <c r="T31" i="14"/>
  <c r="U31" i="14"/>
  <c r="T33" i="14"/>
  <c r="D5" i="24"/>
  <c r="D3" i="24"/>
  <c r="F13" i="26"/>
  <c r="F5" i="26"/>
  <c r="L4" i="27"/>
  <c r="L5" i="27"/>
  <c r="L6" i="27"/>
  <c r="L7" i="27"/>
  <c r="L8" i="27"/>
  <c r="F3" i="24"/>
  <c r="I5" i="21"/>
  <c r="I6" i="21"/>
  <c r="I7" i="21"/>
  <c r="I8" i="21"/>
  <c r="I9" i="21"/>
  <c r="I10" i="21"/>
  <c r="I11" i="21"/>
  <c r="I12" i="21"/>
  <c r="I13" i="21"/>
  <c r="I14" i="21"/>
  <c r="I15" i="21"/>
  <c r="I17" i="21"/>
  <c r="I18" i="21"/>
  <c r="I19" i="21"/>
  <c r="H22" i="21"/>
  <c r="G23" i="21"/>
  <c r="G24" i="21"/>
  <c r="E24" i="21"/>
  <c r="G21" i="21"/>
  <c r="G22" i="21"/>
  <c r="I22" i="21"/>
  <c r="H23" i="21"/>
  <c r="I23" i="21"/>
  <c r="H24" i="21"/>
  <c r="I24" i="21"/>
  <c r="I26" i="21"/>
  <c r="G3" i="24"/>
  <c r="H3" i="24"/>
  <c r="I3" i="24"/>
  <c r="M3" i="24"/>
  <c r="B101" i="9"/>
  <c r="C101" i="9"/>
  <c r="E25" i="10"/>
  <c r="M21" i="12"/>
  <c r="E26" i="10"/>
  <c r="M22" i="12"/>
  <c r="E27" i="10"/>
  <c r="M23" i="12"/>
  <c r="E28" i="10"/>
  <c r="M24" i="12"/>
  <c r="E29" i="10"/>
  <c r="M25" i="12"/>
  <c r="M27" i="12"/>
  <c r="C4" i="24"/>
  <c r="Q33" i="14"/>
  <c r="D4" i="24"/>
  <c r="G2" i="18"/>
  <c r="G3" i="18"/>
  <c r="G4" i="18"/>
  <c r="G5" i="18"/>
  <c r="G6" i="18"/>
  <c r="G7" i="18"/>
  <c r="G9" i="18"/>
  <c r="E4" i="24"/>
  <c r="E8" i="27"/>
  <c r="X8" i="27"/>
  <c r="F4" i="24"/>
  <c r="G26" i="21"/>
  <c r="U26" i="21"/>
  <c r="G4" i="24"/>
  <c r="H4" i="24"/>
  <c r="I4" i="24"/>
  <c r="M4" i="24"/>
  <c r="B102" i="9"/>
  <c r="C102" i="9"/>
  <c r="H13" i="26"/>
  <c r="H5" i="26"/>
  <c r="N4" i="27"/>
  <c r="N5" i="27"/>
  <c r="N6" i="27"/>
  <c r="N7" i="27"/>
  <c r="N8" i="27"/>
  <c r="F5" i="24"/>
  <c r="K5" i="21"/>
  <c r="K6" i="21"/>
  <c r="K7" i="21"/>
  <c r="K8" i="21"/>
  <c r="K9" i="21"/>
  <c r="K10" i="21"/>
  <c r="K11" i="21"/>
  <c r="K12" i="21"/>
  <c r="K13" i="21"/>
  <c r="K14" i="21"/>
  <c r="K15" i="21"/>
  <c r="K17" i="21"/>
  <c r="K18" i="21"/>
  <c r="K19" i="21"/>
  <c r="K22" i="21"/>
  <c r="K23" i="21"/>
  <c r="K24" i="21"/>
  <c r="K26" i="21"/>
  <c r="G5" i="24"/>
  <c r="H5" i="24"/>
  <c r="I5" i="24"/>
  <c r="M5" i="24"/>
  <c r="B103" i="9"/>
  <c r="C103" i="9"/>
  <c r="G13" i="26"/>
  <c r="G5" i="26"/>
  <c r="M4" i="27"/>
  <c r="M5" i="27"/>
  <c r="M6" i="27"/>
  <c r="M7" i="27"/>
  <c r="M8" i="27"/>
  <c r="F6" i="24"/>
  <c r="J5" i="21"/>
  <c r="J6" i="21"/>
  <c r="J7" i="21"/>
  <c r="J8" i="21"/>
  <c r="J9" i="21"/>
  <c r="J10" i="21"/>
  <c r="J11" i="21"/>
  <c r="J12" i="21"/>
  <c r="J13" i="21"/>
  <c r="J14" i="21"/>
  <c r="J15" i="21"/>
  <c r="J17" i="21"/>
  <c r="J18" i="21"/>
  <c r="J19" i="21"/>
  <c r="J22" i="21"/>
  <c r="J23" i="21"/>
  <c r="J24" i="21"/>
  <c r="J26" i="21"/>
  <c r="G6" i="24"/>
  <c r="H6" i="24"/>
  <c r="I6" i="24"/>
  <c r="M6" i="24"/>
  <c r="B104" i="9"/>
  <c r="C104" i="9"/>
  <c r="I13" i="26"/>
  <c r="I5" i="26"/>
  <c r="O4" i="27"/>
  <c r="O5" i="27"/>
  <c r="O6" i="27"/>
  <c r="O7" i="27"/>
  <c r="O8" i="27"/>
  <c r="F7" i="24"/>
  <c r="L5" i="21"/>
  <c r="L6" i="21"/>
  <c r="L7" i="21"/>
  <c r="L8" i="21"/>
  <c r="L9" i="21"/>
  <c r="L10" i="21"/>
  <c r="L11" i="21"/>
  <c r="L12" i="21"/>
  <c r="L13" i="21"/>
  <c r="L14" i="21"/>
  <c r="L15" i="21"/>
  <c r="L17" i="21"/>
  <c r="L18" i="21"/>
  <c r="L19" i="21"/>
  <c r="L22" i="21"/>
  <c r="L23" i="21"/>
  <c r="L24" i="21"/>
  <c r="L26" i="21"/>
  <c r="G7" i="24"/>
  <c r="H7" i="24"/>
  <c r="I7" i="24"/>
  <c r="M7" i="24"/>
  <c r="B105" i="9"/>
  <c r="C105" i="9"/>
  <c r="P5" i="12"/>
  <c r="Q5" i="12"/>
  <c r="P6" i="12"/>
  <c r="Q6" i="12"/>
  <c r="P7" i="12"/>
  <c r="Q7" i="12"/>
  <c r="P8" i="12"/>
  <c r="Q8" i="12"/>
  <c r="P9" i="12"/>
  <c r="Q9" i="12"/>
  <c r="P10" i="12"/>
  <c r="Q10" i="12"/>
  <c r="P11" i="12"/>
  <c r="Q11" i="12"/>
  <c r="P12" i="12"/>
  <c r="Q12" i="12"/>
  <c r="P13" i="12"/>
  <c r="Q13" i="12"/>
  <c r="P14" i="12"/>
  <c r="Q14" i="12"/>
  <c r="P15" i="12"/>
  <c r="Q15" i="12"/>
  <c r="P16" i="12"/>
  <c r="Q16" i="12"/>
  <c r="P17" i="12"/>
  <c r="Q17" i="12"/>
  <c r="P18" i="12"/>
  <c r="Q18" i="12"/>
  <c r="P19" i="12"/>
  <c r="Q19" i="12"/>
  <c r="P21" i="12"/>
  <c r="Q21" i="12"/>
  <c r="P22" i="12"/>
  <c r="Q22" i="12"/>
  <c r="P23" i="12"/>
  <c r="Q23" i="12"/>
  <c r="P24" i="12"/>
  <c r="Q24" i="12"/>
  <c r="P25" i="12"/>
  <c r="Q25" i="12"/>
  <c r="Q27" i="12"/>
  <c r="C8" i="24"/>
  <c r="S2" i="14"/>
  <c r="S3" i="14"/>
  <c r="S4" i="14"/>
  <c r="S5" i="14"/>
  <c r="S6" i="14"/>
  <c r="S7" i="14"/>
  <c r="S8" i="14"/>
  <c r="S9" i="14"/>
  <c r="S10" i="14"/>
  <c r="S11" i="14"/>
  <c r="S12" i="14"/>
  <c r="S13" i="14"/>
  <c r="S14" i="14"/>
  <c r="S15" i="14"/>
  <c r="S16" i="14"/>
  <c r="S17" i="14"/>
  <c r="S18" i="14"/>
  <c r="S19" i="14"/>
  <c r="S20" i="14"/>
  <c r="S21" i="14"/>
  <c r="S22" i="14"/>
  <c r="S23" i="14"/>
  <c r="S24" i="14"/>
  <c r="S25" i="14"/>
  <c r="S26" i="14"/>
  <c r="S27" i="14"/>
  <c r="S28" i="14"/>
  <c r="S29" i="14"/>
  <c r="S30" i="14"/>
  <c r="S31" i="14"/>
  <c r="S33" i="14"/>
  <c r="D8" i="24"/>
  <c r="E2" i="18"/>
  <c r="E3" i="18"/>
  <c r="E4" i="18"/>
  <c r="E5" i="18"/>
  <c r="E6" i="18"/>
  <c r="E7" i="18"/>
  <c r="E9" i="18"/>
  <c r="E8" i="24"/>
  <c r="J13" i="26"/>
  <c r="J5" i="26"/>
  <c r="P4" i="27"/>
  <c r="P5" i="27"/>
  <c r="P6" i="27"/>
  <c r="P7" i="27"/>
  <c r="P8" i="27"/>
  <c r="F8" i="24"/>
  <c r="M5" i="21"/>
  <c r="M6" i="21"/>
  <c r="M7" i="21"/>
  <c r="M8" i="21"/>
  <c r="M9" i="21"/>
  <c r="M10" i="21"/>
  <c r="M11" i="21"/>
  <c r="M12" i="21"/>
  <c r="M13" i="21"/>
  <c r="M14" i="21"/>
  <c r="M15" i="21"/>
  <c r="M17" i="21"/>
  <c r="M18" i="21"/>
  <c r="M19" i="21"/>
  <c r="M22" i="21"/>
  <c r="M23" i="21"/>
  <c r="M24" i="21"/>
  <c r="M26" i="21"/>
  <c r="G8" i="24"/>
  <c r="H8" i="24"/>
  <c r="I8" i="24"/>
  <c r="M8" i="24"/>
  <c r="B106" i="9"/>
  <c r="C106" i="9"/>
  <c r="S5" i="12"/>
  <c r="S6" i="12"/>
  <c r="S7" i="12"/>
  <c r="S8" i="12"/>
  <c r="S9" i="12"/>
  <c r="S10" i="12"/>
  <c r="S11" i="12"/>
  <c r="S12" i="12"/>
  <c r="S13" i="12"/>
  <c r="S14" i="12"/>
  <c r="S15" i="12"/>
  <c r="S16" i="12"/>
  <c r="S17" i="12"/>
  <c r="S18" i="12"/>
  <c r="S19" i="12"/>
  <c r="S21" i="12"/>
  <c r="S22" i="12"/>
  <c r="S23" i="12"/>
  <c r="S24" i="12"/>
  <c r="S25" i="12"/>
  <c r="S27" i="12"/>
  <c r="C9" i="24"/>
  <c r="K13" i="26"/>
  <c r="K5" i="26"/>
  <c r="Q4" i="27"/>
  <c r="Q5" i="27"/>
  <c r="Q6" i="27"/>
  <c r="Q7" i="27"/>
  <c r="Q8" i="27"/>
  <c r="F9" i="24"/>
  <c r="N5" i="21"/>
  <c r="N6" i="21"/>
  <c r="N7" i="21"/>
  <c r="N8" i="21"/>
  <c r="N9" i="21"/>
  <c r="N10" i="21"/>
  <c r="N11" i="21"/>
  <c r="N12" i="21"/>
  <c r="N13" i="21"/>
  <c r="N14" i="21"/>
  <c r="N15" i="21"/>
  <c r="N17" i="21"/>
  <c r="N18" i="21"/>
  <c r="N19" i="21"/>
  <c r="N22" i="21"/>
  <c r="N23" i="21"/>
  <c r="N24" i="21"/>
  <c r="N26" i="21"/>
  <c r="G9" i="24"/>
  <c r="H9" i="24"/>
  <c r="I9" i="24"/>
  <c r="M9" i="24"/>
  <c r="B107" i="9"/>
  <c r="C107" i="9"/>
  <c r="R5" i="12"/>
  <c r="R6" i="12"/>
  <c r="R7" i="12"/>
  <c r="R8" i="12"/>
  <c r="R9" i="12"/>
  <c r="R10" i="12"/>
  <c r="R11" i="12"/>
  <c r="R12" i="12"/>
  <c r="R13" i="12"/>
  <c r="R14" i="12"/>
  <c r="R15" i="12"/>
  <c r="R16" i="12"/>
  <c r="R17" i="12"/>
  <c r="R18" i="12"/>
  <c r="R19" i="12"/>
  <c r="R21" i="12"/>
  <c r="R22" i="12"/>
  <c r="R23" i="12"/>
  <c r="R24" i="12"/>
  <c r="R25" i="12"/>
  <c r="R27" i="12"/>
  <c r="C10" i="24"/>
  <c r="F2" i="18"/>
  <c r="F3" i="18"/>
  <c r="F4" i="18"/>
  <c r="F5" i="18"/>
  <c r="F6" i="18"/>
  <c r="F7" i="18"/>
  <c r="F9" i="18"/>
  <c r="E10" i="24"/>
  <c r="Q13" i="26"/>
  <c r="Q5" i="26"/>
  <c r="W4" i="27"/>
  <c r="W5" i="27"/>
  <c r="W6" i="27"/>
  <c r="W7" i="27"/>
  <c r="W8" i="27"/>
  <c r="F10" i="24"/>
  <c r="T5" i="21"/>
  <c r="T6" i="21"/>
  <c r="T7" i="21"/>
  <c r="T8" i="21"/>
  <c r="T9" i="21"/>
  <c r="T10" i="21"/>
  <c r="T11" i="21"/>
  <c r="T12" i="21"/>
  <c r="T13" i="21"/>
  <c r="T14" i="21"/>
  <c r="T15" i="21"/>
  <c r="T17" i="21"/>
  <c r="T18" i="21"/>
  <c r="T19" i="21"/>
  <c r="T22" i="21"/>
  <c r="T23" i="21"/>
  <c r="T24" i="21"/>
  <c r="T26" i="21"/>
  <c r="G10" i="24"/>
  <c r="H10" i="24"/>
  <c r="I10" i="24"/>
  <c r="M10" i="24"/>
  <c r="B108" i="9"/>
  <c r="C108" i="9"/>
  <c r="L13" i="26"/>
  <c r="L5" i="26"/>
  <c r="R4" i="27"/>
  <c r="R5" i="27"/>
  <c r="R6" i="27"/>
  <c r="R7" i="27"/>
  <c r="R8" i="27"/>
  <c r="F11" i="24"/>
  <c r="O5" i="21"/>
  <c r="O6" i="21"/>
  <c r="O7" i="21"/>
  <c r="O8" i="21"/>
  <c r="O9" i="21"/>
  <c r="O10" i="21"/>
  <c r="O11" i="21"/>
  <c r="O12" i="21"/>
  <c r="O13" i="21"/>
  <c r="O14" i="21"/>
  <c r="O15" i="21"/>
  <c r="O17" i="21"/>
  <c r="O18" i="21"/>
  <c r="O19" i="21"/>
  <c r="O22" i="21"/>
  <c r="O23" i="21"/>
  <c r="O24" i="21"/>
  <c r="O26" i="21"/>
  <c r="G11" i="24"/>
  <c r="H11" i="24"/>
  <c r="I11" i="24"/>
  <c r="M11" i="24"/>
  <c r="B109" i="9"/>
  <c r="C109" i="9"/>
  <c r="M13" i="26"/>
  <c r="M5" i="26"/>
  <c r="S4" i="27"/>
  <c r="S5" i="27"/>
  <c r="S6" i="27"/>
  <c r="S7" i="27"/>
  <c r="S8" i="27"/>
  <c r="F12" i="24"/>
  <c r="P5" i="21"/>
  <c r="P6" i="21"/>
  <c r="P7" i="21"/>
  <c r="P8" i="21"/>
  <c r="P9" i="21"/>
  <c r="P10" i="21"/>
  <c r="P11" i="21"/>
  <c r="P12" i="21"/>
  <c r="P13" i="21"/>
  <c r="P14" i="21"/>
  <c r="P15" i="21"/>
  <c r="P17" i="21"/>
  <c r="P18" i="21"/>
  <c r="P19" i="21"/>
  <c r="P22" i="21"/>
  <c r="P23" i="21"/>
  <c r="P24" i="21"/>
  <c r="P26" i="21"/>
  <c r="G12" i="24"/>
  <c r="H12" i="24"/>
  <c r="I12" i="24"/>
  <c r="M12" i="24"/>
  <c r="B110" i="9"/>
  <c r="C110" i="9"/>
  <c r="N13" i="26"/>
  <c r="N5" i="26"/>
  <c r="T4" i="27"/>
  <c r="T5" i="27"/>
  <c r="T6" i="27"/>
  <c r="T7" i="27"/>
  <c r="T8" i="27"/>
  <c r="F13" i="24"/>
  <c r="Q5" i="21"/>
  <c r="Q6" i="21"/>
  <c r="Q7" i="21"/>
  <c r="Q8" i="21"/>
  <c r="Q9" i="21"/>
  <c r="Q10" i="21"/>
  <c r="Q11" i="21"/>
  <c r="Q12" i="21"/>
  <c r="Q13" i="21"/>
  <c r="Q14" i="21"/>
  <c r="Q15" i="21"/>
  <c r="Q17" i="21"/>
  <c r="Q18" i="21"/>
  <c r="Q19" i="21"/>
  <c r="Q22" i="21"/>
  <c r="Q23" i="21"/>
  <c r="Q24" i="21"/>
  <c r="Q26" i="21"/>
  <c r="G13" i="24"/>
  <c r="H13" i="24"/>
  <c r="I13" i="24"/>
  <c r="M13" i="24"/>
  <c r="B111" i="9"/>
  <c r="C111" i="9"/>
  <c r="O13" i="26"/>
  <c r="O5" i="26"/>
  <c r="U4" i="27"/>
  <c r="U5" i="27"/>
  <c r="U6" i="27"/>
  <c r="U7" i="27"/>
  <c r="U8" i="27"/>
  <c r="F14" i="24"/>
  <c r="R5" i="21"/>
  <c r="R6" i="21"/>
  <c r="R7" i="21"/>
  <c r="R8" i="21"/>
  <c r="R9" i="21"/>
  <c r="R10" i="21"/>
  <c r="R11" i="21"/>
  <c r="R12" i="21"/>
  <c r="R13" i="21"/>
  <c r="R14" i="21"/>
  <c r="R15" i="21"/>
  <c r="R17" i="21"/>
  <c r="R18" i="21"/>
  <c r="R19" i="21"/>
  <c r="R22" i="21"/>
  <c r="R23" i="21"/>
  <c r="R24" i="21"/>
  <c r="R26" i="21"/>
  <c r="G14" i="24"/>
  <c r="H14" i="24"/>
  <c r="I14" i="24"/>
  <c r="M14" i="24"/>
  <c r="B112" i="9"/>
  <c r="C112" i="9"/>
  <c r="S5" i="21"/>
  <c r="S6" i="21"/>
  <c r="S7" i="21"/>
  <c r="S8" i="21"/>
  <c r="S9" i="21"/>
  <c r="S10" i="21"/>
  <c r="S11" i="21"/>
  <c r="S12" i="21"/>
  <c r="S13" i="21"/>
  <c r="S14" i="21"/>
  <c r="S15" i="21"/>
  <c r="S17" i="21"/>
  <c r="S18" i="21"/>
  <c r="S19" i="21"/>
  <c r="S22" i="21"/>
  <c r="S23" i="21"/>
  <c r="S24" i="21"/>
  <c r="S26" i="21"/>
  <c r="G15" i="24"/>
  <c r="P13" i="26"/>
  <c r="P5" i="26"/>
  <c r="V4" i="27"/>
  <c r="V5" i="27"/>
  <c r="V6" i="27"/>
  <c r="V7" i="27"/>
  <c r="V8" i="27"/>
  <c r="F15" i="24"/>
  <c r="H15" i="24"/>
  <c r="M15" i="24"/>
  <c r="B113" i="9"/>
  <c r="C113" i="9"/>
  <c r="B114" i="9"/>
  <c r="C114" i="9"/>
  <c r="O9" i="45"/>
  <c r="K115" i="9"/>
  <c r="I115" i="9"/>
  <c r="P9" i="45"/>
  <c r="G115" i="9"/>
  <c r="B115" i="9"/>
  <c r="C115" i="9"/>
  <c r="O10" i="45"/>
  <c r="K116" i="9"/>
  <c r="I116" i="9"/>
  <c r="G116" i="9"/>
  <c r="B116" i="9"/>
  <c r="C116" i="9"/>
  <c r="H11" i="45"/>
  <c r="M11" i="45"/>
  <c r="I117" i="9"/>
  <c r="G117" i="9"/>
  <c r="K117" i="9"/>
  <c r="B117" i="9"/>
  <c r="C117" i="9"/>
  <c r="O12" i="45"/>
  <c r="K118" i="9"/>
  <c r="H12" i="45"/>
  <c r="M12" i="45"/>
  <c r="I118" i="9"/>
  <c r="P12" i="45"/>
  <c r="G118" i="9"/>
  <c r="B118" i="9"/>
  <c r="C118" i="9"/>
  <c r="O13" i="45"/>
  <c r="K119" i="9"/>
  <c r="H13" i="45"/>
  <c r="M13" i="45"/>
  <c r="I119" i="9"/>
  <c r="P13" i="45"/>
  <c r="G119" i="9"/>
  <c r="B119" i="9"/>
  <c r="C119" i="9"/>
  <c r="O14" i="45"/>
  <c r="K120" i="9"/>
  <c r="H14" i="45"/>
  <c r="M14" i="45"/>
  <c r="I120" i="9"/>
  <c r="P14" i="45"/>
  <c r="G120" i="9"/>
  <c r="B120" i="9"/>
  <c r="C120" i="9"/>
  <c r="O15" i="45"/>
  <c r="K121" i="9"/>
  <c r="H15" i="45"/>
  <c r="M15" i="45"/>
  <c r="I121" i="9"/>
  <c r="P15" i="45"/>
  <c r="G121" i="9"/>
  <c r="B121" i="9"/>
  <c r="C121" i="9"/>
  <c r="O16" i="45"/>
  <c r="K122" i="9"/>
  <c r="H16" i="45"/>
  <c r="M16" i="45"/>
  <c r="I122" i="9"/>
  <c r="P16" i="45"/>
  <c r="G122" i="9"/>
  <c r="B122" i="9"/>
  <c r="C122" i="9"/>
  <c r="O17" i="45"/>
  <c r="K123" i="9"/>
  <c r="H17" i="45"/>
  <c r="M17" i="45"/>
  <c r="I123" i="9"/>
  <c r="P17" i="45"/>
  <c r="G123" i="9"/>
  <c r="B123" i="9"/>
  <c r="C123" i="9"/>
  <c r="O18" i="45"/>
  <c r="K124" i="9"/>
  <c r="H18" i="45"/>
  <c r="M18" i="45"/>
  <c r="I124" i="9"/>
  <c r="P18" i="45"/>
  <c r="G124" i="9"/>
  <c r="B124" i="9"/>
  <c r="C124" i="9"/>
  <c r="O19" i="45"/>
  <c r="K125" i="9"/>
  <c r="H19" i="45"/>
  <c r="M19" i="45"/>
  <c r="I125" i="9"/>
  <c r="P19" i="45"/>
  <c r="G125" i="9"/>
  <c r="B125" i="9"/>
  <c r="C125" i="9"/>
  <c r="K126" i="9"/>
  <c r="I126" i="9"/>
  <c r="G126" i="9"/>
  <c r="B126" i="9"/>
  <c r="C126" i="9"/>
  <c r="J23" i="45"/>
  <c r="G127" i="9"/>
  <c r="AZ23" i="45"/>
  <c r="AY23" i="45"/>
  <c r="Z23" i="45"/>
  <c r="Y127" i="9"/>
  <c r="W127" i="9"/>
  <c r="S23" i="45"/>
  <c r="U127" i="9"/>
  <c r="AL23" i="45"/>
  <c r="S127" i="9"/>
  <c r="M23" i="45"/>
  <c r="I127" i="9"/>
  <c r="O23" i="45"/>
  <c r="K127" i="9"/>
  <c r="A24" i="74"/>
  <c r="M26" i="74"/>
  <c r="N26" i="74"/>
  <c r="K24" i="74"/>
  <c r="I24" i="74"/>
  <c r="G24" i="74"/>
  <c r="M24" i="74"/>
  <c r="N24" i="74"/>
  <c r="M25" i="74"/>
  <c r="P23" i="45"/>
  <c r="M127" i="9"/>
  <c r="Q23" i="45"/>
  <c r="O127" i="9"/>
  <c r="U26" i="71"/>
  <c r="H23" i="45"/>
  <c r="G23" i="45"/>
  <c r="R23" i="45"/>
  <c r="Q127" i="9"/>
  <c r="B127" i="9"/>
  <c r="C127" i="9"/>
  <c r="J24" i="45"/>
  <c r="G128" i="9"/>
  <c r="AZ24" i="45"/>
  <c r="AY24" i="45"/>
  <c r="Z24" i="45"/>
  <c r="Y128" i="9"/>
  <c r="W128" i="9"/>
  <c r="S24" i="45"/>
  <c r="U128" i="9"/>
  <c r="AL24" i="45"/>
  <c r="S128" i="9"/>
  <c r="M24" i="45"/>
  <c r="I128" i="9"/>
  <c r="O24" i="45"/>
  <c r="K128" i="9"/>
  <c r="A27" i="74"/>
  <c r="M29" i="74"/>
  <c r="N29" i="74"/>
  <c r="K27" i="74"/>
  <c r="I27" i="74"/>
  <c r="G27" i="74"/>
  <c r="M27" i="74"/>
  <c r="N27" i="74"/>
  <c r="M28" i="74"/>
  <c r="P24" i="45"/>
  <c r="M128" i="9"/>
  <c r="Q24" i="45"/>
  <c r="O128" i="9"/>
  <c r="G24" i="45"/>
  <c r="R24" i="45"/>
  <c r="Q128" i="9"/>
  <c r="B128" i="9"/>
  <c r="C128" i="9"/>
  <c r="J25" i="45"/>
  <c r="G129" i="9"/>
  <c r="AZ25" i="45"/>
  <c r="AY25" i="45"/>
  <c r="Z25" i="45"/>
  <c r="Y129" i="9"/>
  <c r="W129" i="9"/>
  <c r="S25" i="45"/>
  <c r="U129" i="9"/>
  <c r="AL25" i="45"/>
  <c r="S129" i="9"/>
  <c r="M25" i="45"/>
  <c r="I129" i="9"/>
  <c r="O25" i="45"/>
  <c r="K129" i="9"/>
  <c r="A30" i="74"/>
  <c r="M32" i="74"/>
  <c r="N32" i="74"/>
  <c r="K30" i="74"/>
  <c r="I30" i="74"/>
  <c r="G30" i="74"/>
  <c r="M30" i="74"/>
  <c r="N30" i="74"/>
  <c r="M31" i="74"/>
  <c r="P25" i="45"/>
  <c r="M129" i="9"/>
  <c r="Q25" i="45"/>
  <c r="O129" i="9"/>
  <c r="G25" i="45"/>
  <c r="R25" i="45"/>
  <c r="Q129" i="9"/>
  <c r="B129" i="9"/>
  <c r="C129" i="9"/>
  <c r="J26" i="45"/>
  <c r="G130" i="9"/>
  <c r="Y130" i="9"/>
  <c r="W130" i="9"/>
  <c r="U130" i="9"/>
  <c r="S130" i="9"/>
  <c r="I130" i="9"/>
  <c r="K130" i="9"/>
  <c r="M130" i="9"/>
  <c r="O130" i="9"/>
  <c r="Q130" i="9"/>
  <c r="B130" i="9"/>
  <c r="C130" i="9"/>
  <c r="J27" i="45"/>
  <c r="G131" i="9"/>
  <c r="Y131" i="9"/>
  <c r="W131" i="9"/>
  <c r="U131" i="9"/>
  <c r="S131" i="9"/>
  <c r="I131" i="9"/>
  <c r="K131" i="9"/>
  <c r="M131" i="9"/>
  <c r="O131" i="9"/>
  <c r="Q131" i="9"/>
  <c r="B131" i="9"/>
  <c r="C131" i="9"/>
  <c r="J28" i="45"/>
  <c r="G132" i="9"/>
  <c r="Y132" i="9"/>
  <c r="W132" i="9"/>
  <c r="U132" i="9"/>
  <c r="S132" i="9"/>
  <c r="I132" i="9"/>
  <c r="K132" i="9"/>
  <c r="M132" i="9"/>
  <c r="O132" i="9"/>
  <c r="Q132" i="9"/>
  <c r="B132" i="9"/>
  <c r="C132" i="9"/>
  <c r="J29" i="45"/>
  <c r="G133" i="9"/>
  <c r="Y133" i="9"/>
  <c r="W133" i="9"/>
  <c r="U133" i="9"/>
  <c r="S133" i="9"/>
  <c r="I133" i="9"/>
  <c r="K133" i="9"/>
  <c r="M133" i="9"/>
  <c r="O133" i="9"/>
  <c r="Q133" i="9"/>
  <c r="B133" i="9"/>
  <c r="C133" i="9"/>
  <c r="J30" i="45"/>
  <c r="G134" i="9"/>
  <c r="Y134" i="9"/>
  <c r="W134" i="9"/>
  <c r="U134" i="9"/>
  <c r="S134" i="9"/>
  <c r="I134" i="9"/>
  <c r="K134" i="9"/>
  <c r="M134" i="9"/>
  <c r="O134" i="9"/>
  <c r="Q134" i="9"/>
  <c r="B134" i="9"/>
  <c r="C134" i="9"/>
  <c r="J31" i="45"/>
  <c r="G135" i="9"/>
  <c r="Y135" i="9"/>
  <c r="W135" i="9"/>
  <c r="U135" i="9"/>
  <c r="S135" i="9"/>
  <c r="I135" i="9"/>
  <c r="K135" i="9"/>
  <c r="M135" i="9"/>
  <c r="O135" i="9"/>
  <c r="Q135" i="9"/>
  <c r="B135" i="9"/>
  <c r="C135" i="9"/>
  <c r="J32" i="45"/>
  <c r="G136" i="9"/>
  <c r="Y136" i="9"/>
  <c r="W136" i="9"/>
  <c r="U136" i="9"/>
  <c r="S136" i="9"/>
  <c r="I136" i="9"/>
  <c r="K136" i="9"/>
  <c r="M136" i="9"/>
  <c r="O136" i="9"/>
  <c r="Q136" i="9"/>
  <c r="B136" i="9"/>
  <c r="C136" i="9"/>
  <c r="B137" i="9"/>
  <c r="C137" i="9"/>
  <c r="B138" i="9"/>
  <c r="C138" i="9"/>
  <c r="P33" i="45"/>
  <c r="G139" i="9"/>
  <c r="M139" i="9"/>
  <c r="AL33" i="45"/>
  <c r="K139" i="9"/>
  <c r="Q33" i="45"/>
  <c r="I139" i="9"/>
  <c r="B139" i="9"/>
  <c r="C139" i="9"/>
  <c r="P34" i="45"/>
  <c r="G140" i="9"/>
  <c r="M140" i="9"/>
  <c r="AL34" i="45"/>
  <c r="K140" i="9"/>
  <c r="Q34" i="45"/>
  <c r="I140" i="9"/>
  <c r="B140" i="9"/>
  <c r="C140" i="9"/>
  <c r="P35" i="45"/>
  <c r="G141" i="9"/>
  <c r="M141" i="9"/>
  <c r="AL35" i="45"/>
  <c r="K141" i="9"/>
  <c r="Q35" i="45"/>
  <c r="I141" i="9"/>
  <c r="B141" i="9"/>
  <c r="C141" i="9"/>
  <c r="C40" i="45"/>
  <c r="Q40" i="45"/>
  <c r="I142" i="9"/>
  <c r="G142" i="9"/>
  <c r="K142" i="9"/>
  <c r="B142" i="9"/>
  <c r="C142" i="9"/>
  <c r="AL50" i="45"/>
  <c r="O50" i="45"/>
  <c r="O68" i="45"/>
  <c r="AL49" i="45"/>
  <c r="O49" i="45"/>
  <c r="O67" i="45"/>
  <c r="C48" i="45"/>
  <c r="AL48" i="45"/>
  <c r="O48" i="45"/>
  <c r="O66" i="45"/>
  <c r="C47" i="45"/>
  <c r="AL47" i="45"/>
  <c r="O47" i="45"/>
  <c r="O65" i="45"/>
  <c r="AL42" i="45"/>
  <c r="O42" i="45"/>
  <c r="O60" i="45"/>
  <c r="AL43" i="45"/>
  <c r="O43" i="45"/>
  <c r="O61" i="45"/>
  <c r="AL44" i="45"/>
  <c r="O44" i="45"/>
  <c r="O62" i="45"/>
  <c r="AL45" i="45"/>
  <c r="O45" i="45"/>
  <c r="O63" i="45"/>
  <c r="AL46" i="45"/>
  <c r="O46" i="45"/>
  <c r="O64" i="45"/>
  <c r="O69" i="45"/>
  <c r="G143" i="9"/>
  <c r="K143" i="9"/>
  <c r="I143" i="9"/>
  <c r="B143" i="9"/>
  <c r="C143" i="9"/>
  <c r="AL22" i="45"/>
  <c r="AL26" i="45"/>
  <c r="AL27" i="45"/>
  <c r="AL28" i="45"/>
  <c r="AL29" i="45"/>
  <c r="AL30" i="45"/>
  <c r="AL31" i="45"/>
  <c r="AL32" i="45"/>
  <c r="AL40" i="45"/>
  <c r="AL53" i="45"/>
  <c r="AL9" i="45"/>
  <c r="AL52" i="45"/>
  <c r="AL54" i="45"/>
  <c r="AL58" i="45"/>
  <c r="B144" i="9"/>
  <c r="C144" i="9"/>
  <c r="AU9" i="45"/>
  <c r="G11" i="45"/>
  <c r="AU11" i="45"/>
  <c r="G12" i="45"/>
  <c r="AU12" i="45"/>
  <c r="G13" i="45"/>
  <c r="AU13" i="45"/>
  <c r="G14" i="45"/>
  <c r="AU14" i="45"/>
  <c r="G15" i="45"/>
  <c r="AU15" i="45"/>
  <c r="G16" i="45"/>
  <c r="AU16" i="45"/>
  <c r="G17" i="45"/>
  <c r="AU17" i="45"/>
  <c r="G18" i="45"/>
  <c r="AU18" i="45"/>
  <c r="G19" i="45"/>
  <c r="AU19" i="45"/>
  <c r="AU52" i="45"/>
  <c r="C50" i="45"/>
  <c r="AU50" i="45"/>
  <c r="AU23" i="45"/>
  <c r="AU24" i="45"/>
  <c r="AU25" i="45"/>
  <c r="A33" i="74"/>
  <c r="M34" i="74"/>
  <c r="P26" i="45"/>
  <c r="AU26" i="45"/>
  <c r="A36" i="74"/>
  <c r="M37" i="74"/>
  <c r="P27" i="45"/>
  <c r="AU27" i="45"/>
  <c r="A39" i="74"/>
  <c r="M40" i="74"/>
  <c r="P28" i="45"/>
  <c r="AU28" i="45"/>
  <c r="A42" i="74"/>
  <c r="M43" i="74"/>
  <c r="P29" i="45"/>
  <c r="AU29" i="45"/>
  <c r="A45" i="74"/>
  <c r="M46" i="74"/>
  <c r="P30" i="45"/>
  <c r="AU30" i="45"/>
  <c r="A48" i="74"/>
  <c r="M49" i="74"/>
  <c r="P31" i="45"/>
  <c r="AU31" i="45"/>
  <c r="A51" i="74"/>
  <c r="M52" i="74"/>
  <c r="P32" i="45"/>
  <c r="AU32" i="45"/>
  <c r="AU22" i="45"/>
  <c r="AU33" i="45"/>
  <c r="AU34" i="45"/>
  <c r="AU35" i="45"/>
  <c r="AU40" i="45"/>
  <c r="C42" i="45"/>
  <c r="AU42" i="45"/>
  <c r="C43" i="45"/>
  <c r="AU43" i="45"/>
  <c r="C44" i="45"/>
  <c r="AU44" i="45"/>
  <c r="C45" i="45"/>
  <c r="AU45" i="45"/>
  <c r="C46" i="45"/>
  <c r="AU46" i="45"/>
  <c r="AU47" i="45"/>
  <c r="AU48" i="45"/>
  <c r="C49" i="45"/>
  <c r="AU49" i="45"/>
  <c r="AU53" i="45"/>
  <c r="AU54" i="45"/>
  <c r="AU58" i="45"/>
  <c r="B145" i="9"/>
  <c r="C145" i="9"/>
  <c r="AS9" i="45"/>
  <c r="AS11" i="45"/>
  <c r="AS12" i="45"/>
  <c r="AS13" i="45"/>
  <c r="AS14" i="45"/>
  <c r="AS15" i="45"/>
  <c r="AS16" i="45"/>
  <c r="AS17" i="45"/>
  <c r="AS18" i="45"/>
  <c r="AS19" i="45"/>
  <c r="AS52" i="45"/>
  <c r="AS50" i="45"/>
  <c r="AS23" i="45"/>
  <c r="AS24" i="45"/>
  <c r="AS25" i="45"/>
  <c r="AS26" i="45"/>
  <c r="AS27" i="45"/>
  <c r="AS28" i="45"/>
  <c r="AS29" i="45"/>
  <c r="AS30" i="45"/>
  <c r="AS31" i="45"/>
  <c r="AS32" i="45"/>
  <c r="AS22" i="45"/>
  <c r="AS33" i="45"/>
  <c r="AS34" i="45"/>
  <c r="AS35" i="45"/>
  <c r="AS40" i="45"/>
  <c r="AS42" i="45"/>
  <c r="AS43" i="45"/>
  <c r="AS44" i="45"/>
  <c r="AS45" i="45"/>
  <c r="AS46" i="45"/>
  <c r="AS47" i="45"/>
  <c r="AS48" i="45"/>
  <c r="AS49" i="45"/>
  <c r="AS53" i="45"/>
  <c r="AS54" i="45"/>
  <c r="AS58" i="45"/>
  <c r="B146" i="9"/>
  <c r="C146" i="9"/>
  <c r="AR9" i="45"/>
  <c r="AR11" i="45"/>
  <c r="AR12" i="45"/>
  <c r="AR13" i="45"/>
  <c r="AR14" i="45"/>
  <c r="AR15" i="45"/>
  <c r="AR16" i="45"/>
  <c r="AR17" i="45"/>
  <c r="AR18" i="45"/>
  <c r="AR19" i="45"/>
  <c r="AR52" i="45"/>
  <c r="AR50" i="45"/>
  <c r="AR23" i="45"/>
  <c r="AR24" i="45"/>
  <c r="AR25" i="45"/>
  <c r="AR26" i="45"/>
  <c r="AR27" i="45"/>
  <c r="AR28" i="45"/>
  <c r="AR29" i="45"/>
  <c r="AR30" i="45"/>
  <c r="AR31" i="45"/>
  <c r="AR32" i="45"/>
  <c r="AR22" i="45"/>
  <c r="AR33" i="45"/>
  <c r="AR34" i="45"/>
  <c r="AR35" i="45"/>
  <c r="AR40" i="45"/>
  <c r="AR42" i="45"/>
  <c r="AR43" i="45"/>
  <c r="AR44" i="45"/>
  <c r="AR45" i="45"/>
  <c r="AR46" i="45"/>
  <c r="AR47" i="45"/>
  <c r="AR48" i="45"/>
  <c r="AR49" i="45"/>
  <c r="AR53" i="45"/>
  <c r="AR54" i="45"/>
  <c r="AR58" i="45"/>
  <c r="B147" i="9"/>
  <c r="C147" i="9"/>
  <c r="AT9" i="45"/>
  <c r="AT11" i="45"/>
  <c r="AT12" i="45"/>
  <c r="AT13" i="45"/>
  <c r="AT14" i="45"/>
  <c r="AT15" i="45"/>
  <c r="AT16" i="45"/>
  <c r="AT17" i="45"/>
  <c r="AT18" i="45"/>
  <c r="AT19" i="45"/>
  <c r="AT52" i="45"/>
  <c r="AT50" i="45"/>
  <c r="AT23" i="45"/>
  <c r="AT24" i="45"/>
  <c r="AT25" i="45"/>
  <c r="AT26" i="45"/>
  <c r="AT27" i="45"/>
  <c r="AT28" i="45"/>
  <c r="AT29" i="45"/>
  <c r="AT30" i="45"/>
  <c r="AT31" i="45"/>
  <c r="AT32" i="45"/>
  <c r="AT22" i="45"/>
  <c r="AT33" i="45"/>
  <c r="AT34" i="45"/>
  <c r="AT35" i="45"/>
  <c r="AT40" i="45"/>
  <c r="AT42" i="45"/>
  <c r="AT43" i="45"/>
  <c r="AT44" i="45"/>
  <c r="AT45" i="45"/>
  <c r="AT46" i="45"/>
  <c r="AT47" i="45"/>
  <c r="AT48" i="45"/>
  <c r="AT49" i="45"/>
  <c r="AT53" i="45"/>
  <c r="AT54" i="45"/>
  <c r="AT58" i="45"/>
  <c r="B148" i="9"/>
  <c r="C148" i="9"/>
  <c r="AW9" i="45"/>
  <c r="AW11" i="45"/>
  <c r="AW12" i="45"/>
  <c r="AW13" i="45"/>
  <c r="AW14" i="45"/>
  <c r="AW15" i="45"/>
  <c r="AW16" i="45"/>
  <c r="AW17" i="45"/>
  <c r="AW18" i="45"/>
  <c r="AW19" i="45"/>
  <c r="AW52" i="45"/>
  <c r="AW50" i="45"/>
  <c r="AW23" i="45"/>
  <c r="AW24" i="45"/>
  <c r="AW25" i="45"/>
  <c r="AW26" i="45"/>
  <c r="AW27" i="45"/>
  <c r="AW28" i="45"/>
  <c r="AW29" i="45"/>
  <c r="AW30" i="45"/>
  <c r="AW31" i="45"/>
  <c r="AW32" i="45"/>
  <c r="AW22" i="45"/>
  <c r="AW33" i="45"/>
  <c r="AW34" i="45"/>
  <c r="AW35" i="45"/>
  <c r="AW40" i="45"/>
  <c r="AW42" i="45"/>
  <c r="AW43" i="45"/>
  <c r="AW44" i="45"/>
  <c r="AW45" i="45"/>
  <c r="AW46" i="45"/>
  <c r="AW47" i="45"/>
  <c r="AW48" i="45"/>
  <c r="AW49" i="45"/>
  <c r="AW53" i="45"/>
  <c r="AW54" i="45"/>
  <c r="AW58" i="45"/>
  <c r="B149" i="9"/>
  <c r="C149" i="9"/>
  <c r="AX9" i="45"/>
  <c r="AX11" i="45"/>
  <c r="AX12" i="45"/>
  <c r="AX13" i="45"/>
  <c r="AX14" i="45"/>
  <c r="AX15" i="45"/>
  <c r="AX16" i="45"/>
  <c r="AX17" i="45"/>
  <c r="AX18" i="45"/>
  <c r="AX19" i="45"/>
  <c r="AX52" i="45"/>
  <c r="AX50" i="45"/>
  <c r="AX23" i="45"/>
  <c r="AX24" i="45"/>
  <c r="AX25" i="45"/>
  <c r="AX26" i="45"/>
  <c r="AX27" i="45"/>
  <c r="AX28" i="45"/>
  <c r="AX29" i="45"/>
  <c r="AX30" i="45"/>
  <c r="AX31" i="45"/>
  <c r="AX32" i="45"/>
  <c r="AX22" i="45"/>
  <c r="AX33" i="45"/>
  <c r="AX34" i="45"/>
  <c r="AX35" i="45"/>
  <c r="AX40" i="45"/>
  <c r="AX42" i="45"/>
  <c r="AX43" i="45"/>
  <c r="AX44" i="45"/>
  <c r="AX45" i="45"/>
  <c r="AX46" i="45"/>
  <c r="AX47" i="45"/>
  <c r="AX48" i="45"/>
  <c r="AX49" i="45"/>
  <c r="AX53" i="45"/>
  <c r="AX54" i="45"/>
  <c r="AX58" i="45"/>
  <c r="B150" i="9"/>
  <c r="C150" i="9"/>
  <c r="AM9" i="45"/>
  <c r="AM11" i="45"/>
  <c r="AM12" i="45"/>
  <c r="AM13" i="45"/>
  <c r="AM14" i="45"/>
  <c r="AM15" i="45"/>
  <c r="AM16" i="45"/>
  <c r="AM17" i="45"/>
  <c r="AM18" i="45"/>
  <c r="AM19" i="45"/>
  <c r="AM52" i="45"/>
  <c r="AM50" i="45"/>
  <c r="AM23" i="45"/>
  <c r="AM24" i="45"/>
  <c r="AM25" i="45"/>
  <c r="AM26" i="45"/>
  <c r="AM27" i="45"/>
  <c r="AM28" i="45"/>
  <c r="AM29" i="45"/>
  <c r="AM30" i="45"/>
  <c r="AM31" i="45"/>
  <c r="AM32" i="45"/>
  <c r="AM22" i="45"/>
  <c r="AM33" i="45"/>
  <c r="AM34" i="45"/>
  <c r="AM35" i="45"/>
  <c r="AM40" i="45"/>
  <c r="AM42" i="45"/>
  <c r="AM43" i="45"/>
  <c r="AM44" i="45"/>
  <c r="AM45" i="45"/>
  <c r="AM46" i="45"/>
  <c r="AM47" i="45"/>
  <c r="AM48" i="45"/>
  <c r="AM49" i="45"/>
  <c r="AM53" i="45"/>
  <c r="AM54" i="45"/>
  <c r="AM58" i="45"/>
  <c r="B151" i="9"/>
  <c r="C151" i="9"/>
  <c r="AV9" i="45"/>
  <c r="AV11" i="45"/>
  <c r="AV12" i="45"/>
  <c r="AV13" i="45"/>
  <c r="AV14" i="45"/>
  <c r="AV15" i="45"/>
  <c r="AV16" i="45"/>
  <c r="AV17" i="45"/>
  <c r="AV18" i="45"/>
  <c r="AV19" i="45"/>
  <c r="AV52" i="45"/>
  <c r="AV50" i="45"/>
  <c r="AV23" i="45"/>
  <c r="AV24" i="45"/>
  <c r="AV25" i="45"/>
  <c r="AV26" i="45"/>
  <c r="AV27" i="45"/>
  <c r="AV28" i="45"/>
  <c r="AV29" i="45"/>
  <c r="AV30" i="45"/>
  <c r="AV31" i="45"/>
  <c r="AV32" i="45"/>
  <c r="AV22" i="45"/>
  <c r="AV33" i="45"/>
  <c r="AV34" i="45"/>
  <c r="AV35" i="45"/>
  <c r="AV40" i="45"/>
  <c r="AV42" i="45"/>
  <c r="AV43" i="45"/>
  <c r="AV44" i="45"/>
  <c r="AV45" i="45"/>
  <c r="AV46" i="45"/>
  <c r="AV47" i="45"/>
  <c r="AV48" i="45"/>
  <c r="AV49" i="45"/>
  <c r="AV53" i="45"/>
  <c r="AV54" i="45"/>
  <c r="AV58" i="45"/>
  <c r="B152" i="9"/>
  <c r="C152" i="9"/>
  <c r="AO9" i="45"/>
  <c r="AO11" i="45"/>
  <c r="AO12" i="45"/>
  <c r="AO13" i="45"/>
  <c r="AO14" i="45"/>
  <c r="AO15" i="45"/>
  <c r="AO16" i="45"/>
  <c r="AO17" i="45"/>
  <c r="AO18" i="45"/>
  <c r="AO19" i="45"/>
  <c r="AO52" i="45"/>
  <c r="AO50" i="45"/>
  <c r="AO23" i="45"/>
  <c r="AO24" i="45"/>
  <c r="AO25" i="45"/>
  <c r="AO26" i="45"/>
  <c r="AO27" i="45"/>
  <c r="AO28" i="45"/>
  <c r="AO29" i="45"/>
  <c r="AO30" i="45"/>
  <c r="AO31" i="45"/>
  <c r="AO32" i="45"/>
  <c r="AO22" i="45"/>
  <c r="AO33" i="45"/>
  <c r="AO34" i="45"/>
  <c r="AO35" i="45"/>
  <c r="AO40" i="45"/>
  <c r="AO42" i="45"/>
  <c r="AO43" i="45"/>
  <c r="AO44" i="45"/>
  <c r="AO45" i="45"/>
  <c r="AO46" i="45"/>
  <c r="AO47" i="45"/>
  <c r="AO48" i="45"/>
  <c r="AO49" i="45"/>
  <c r="AO53" i="45"/>
  <c r="AO54" i="45"/>
  <c r="AO58" i="45"/>
  <c r="B153" i="9"/>
  <c r="C153" i="9"/>
  <c r="AP9" i="45"/>
  <c r="AP11" i="45"/>
  <c r="AP12" i="45"/>
  <c r="AP13" i="45"/>
  <c r="AP14" i="45"/>
  <c r="AP15" i="45"/>
  <c r="AP16" i="45"/>
  <c r="AP17" i="45"/>
  <c r="AP18" i="45"/>
  <c r="AP19" i="45"/>
  <c r="AP52" i="45"/>
  <c r="AP50" i="45"/>
  <c r="AP23" i="45"/>
  <c r="AP24" i="45"/>
  <c r="AP25" i="45"/>
  <c r="AP26" i="45"/>
  <c r="AP27" i="45"/>
  <c r="AP28" i="45"/>
  <c r="AP29" i="45"/>
  <c r="AP30" i="45"/>
  <c r="AP31" i="45"/>
  <c r="AP32" i="45"/>
  <c r="AP22" i="45"/>
  <c r="AP33" i="45"/>
  <c r="AP34" i="45"/>
  <c r="AP35" i="45"/>
  <c r="AP40" i="45"/>
  <c r="AP42" i="45"/>
  <c r="AP43" i="45"/>
  <c r="AP44" i="45"/>
  <c r="AP45" i="45"/>
  <c r="AP46" i="45"/>
  <c r="AP47" i="45"/>
  <c r="AP48" i="45"/>
  <c r="AP49" i="45"/>
  <c r="AP53" i="45"/>
  <c r="AP54" i="45"/>
  <c r="AP58" i="45"/>
  <c r="B154" i="9"/>
  <c r="C154" i="9"/>
  <c r="AQ9" i="45"/>
  <c r="AQ11" i="45"/>
  <c r="AQ12" i="45"/>
  <c r="AQ13" i="45"/>
  <c r="AQ14" i="45"/>
  <c r="AQ15" i="45"/>
  <c r="AQ16" i="45"/>
  <c r="AQ17" i="45"/>
  <c r="AQ18" i="45"/>
  <c r="AQ19" i="45"/>
  <c r="AQ52" i="45"/>
  <c r="AQ50" i="45"/>
  <c r="AQ23" i="45"/>
  <c r="AQ24" i="45"/>
  <c r="AQ25" i="45"/>
  <c r="AQ26" i="45"/>
  <c r="AQ27" i="45"/>
  <c r="AQ28" i="45"/>
  <c r="AQ29" i="45"/>
  <c r="AQ30" i="45"/>
  <c r="AQ31" i="45"/>
  <c r="AQ32" i="45"/>
  <c r="AQ22" i="45"/>
  <c r="AQ33" i="45"/>
  <c r="AQ34" i="45"/>
  <c r="AQ35" i="45"/>
  <c r="AQ40" i="45"/>
  <c r="AQ42" i="45"/>
  <c r="AQ43" i="45"/>
  <c r="AQ44" i="45"/>
  <c r="AQ45" i="45"/>
  <c r="AQ46" i="45"/>
  <c r="AQ47" i="45"/>
  <c r="AQ48" i="45"/>
  <c r="AQ49" i="45"/>
  <c r="AQ53" i="45"/>
  <c r="AQ54" i="45"/>
  <c r="AQ58" i="45"/>
  <c r="B155" i="9"/>
  <c r="C155" i="9"/>
  <c r="B4" i="55"/>
  <c r="B5" i="55"/>
  <c r="B6" i="55"/>
  <c r="B7" i="55"/>
  <c r="B8" i="55"/>
  <c r="B9" i="55"/>
  <c r="B10" i="55"/>
  <c r="B11" i="55"/>
  <c r="B12" i="55"/>
  <c r="B13" i="55"/>
  <c r="B14" i="55"/>
  <c r="B15" i="55"/>
  <c r="B16" i="55"/>
  <c r="B17" i="55"/>
  <c r="B18" i="55"/>
  <c r="B19" i="55"/>
  <c r="B20" i="55"/>
  <c r="B21" i="55"/>
  <c r="B22" i="55"/>
  <c r="B23" i="55"/>
  <c r="B24" i="55"/>
  <c r="B25" i="55"/>
  <c r="B26" i="55"/>
  <c r="B27" i="55"/>
  <c r="B28" i="55"/>
  <c r="B29" i="55"/>
  <c r="B30" i="55"/>
  <c r="B31" i="55"/>
  <c r="B32" i="55"/>
  <c r="B33" i="55"/>
  <c r="B34" i="55"/>
  <c r="B35" i="55"/>
  <c r="F62" i="39"/>
  <c r="B156" i="9"/>
  <c r="C156" i="9"/>
  <c r="D4" i="55"/>
  <c r="D5" i="55"/>
  <c r="D6" i="55"/>
  <c r="D7" i="55"/>
  <c r="D8" i="55"/>
  <c r="D9" i="55"/>
  <c r="D10" i="55"/>
  <c r="D11" i="55"/>
  <c r="D12" i="55"/>
  <c r="D13" i="55"/>
  <c r="D14" i="55"/>
  <c r="D15" i="55"/>
  <c r="D16" i="55"/>
  <c r="D17" i="55"/>
  <c r="D18" i="55"/>
  <c r="D19" i="55"/>
  <c r="D20" i="55"/>
  <c r="D21" i="55"/>
  <c r="D22" i="55"/>
  <c r="D23" i="55"/>
  <c r="D24" i="55"/>
  <c r="D25" i="55"/>
  <c r="D26" i="55"/>
  <c r="D27" i="55"/>
  <c r="D28" i="55"/>
  <c r="D29" i="55"/>
  <c r="D30" i="55"/>
  <c r="D31" i="55"/>
  <c r="D32" i="55"/>
  <c r="D33" i="55"/>
  <c r="D34" i="55"/>
  <c r="F63" i="39"/>
  <c r="B157" i="9"/>
  <c r="C157" i="9"/>
  <c r="F4" i="55"/>
  <c r="F5" i="55"/>
  <c r="F6" i="55"/>
  <c r="F7" i="55"/>
  <c r="F8" i="55"/>
  <c r="F9" i="55"/>
  <c r="F10" i="55"/>
  <c r="F11" i="55"/>
  <c r="F12" i="55"/>
  <c r="F13" i="55"/>
  <c r="F14" i="55"/>
  <c r="F15" i="55"/>
  <c r="F16" i="55"/>
  <c r="F17" i="55"/>
  <c r="F18" i="55"/>
  <c r="F19" i="55"/>
  <c r="F20" i="55"/>
  <c r="F21" i="55"/>
  <c r="F22" i="55"/>
  <c r="F23" i="55"/>
  <c r="F24" i="55"/>
  <c r="F25" i="55"/>
  <c r="F26" i="55"/>
  <c r="F27" i="55"/>
  <c r="F28" i="55"/>
  <c r="F29" i="55"/>
  <c r="F30" i="55"/>
  <c r="F31" i="55"/>
  <c r="F32" i="55"/>
  <c r="F33" i="55"/>
  <c r="F34" i="55"/>
  <c r="F64" i="39"/>
  <c r="B158" i="9"/>
  <c r="C158" i="9"/>
  <c r="H4" i="55"/>
  <c r="H5" i="55"/>
  <c r="H6" i="55"/>
  <c r="H7" i="55"/>
  <c r="H8" i="55"/>
  <c r="H9" i="55"/>
  <c r="H10" i="55"/>
  <c r="H11" i="55"/>
  <c r="H12" i="55"/>
  <c r="H13" i="55"/>
  <c r="H14" i="55"/>
  <c r="H15" i="55"/>
  <c r="H16" i="55"/>
  <c r="H17" i="55"/>
  <c r="H18" i="55"/>
  <c r="H19" i="55"/>
  <c r="H20" i="55"/>
  <c r="H21" i="55"/>
  <c r="H22" i="55"/>
  <c r="H23" i="55"/>
  <c r="H24" i="55"/>
  <c r="H25" i="55"/>
  <c r="H26" i="55"/>
  <c r="H27" i="55"/>
  <c r="H28" i="55"/>
  <c r="H29" i="55"/>
  <c r="H30" i="55"/>
  <c r="H31" i="55"/>
  <c r="H32" i="55"/>
  <c r="H33" i="55"/>
  <c r="H34" i="55"/>
  <c r="F65" i="39"/>
  <c r="B159" i="9"/>
  <c r="C159" i="9"/>
  <c r="J4" i="55"/>
  <c r="J5" i="55"/>
  <c r="J6" i="55"/>
  <c r="J7" i="55"/>
  <c r="J8" i="55"/>
  <c r="J9" i="55"/>
  <c r="J10" i="55"/>
  <c r="J11" i="55"/>
  <c r="J12" i="55"/>
  <c r="J13" i="55"/>
  <c r="J14" i="55"/>
  <c r="J15" i="55"/>
  <c r="J16" i="55"/>
  <c r="J17" i="55"/>
  <c r="J18" i="55"/>
  <c r="J19" i="55"/>
  <c r="J20" i="55"/>
  <c r="J21" i="55"/>
  <c r="J22" i="55"/>
  <c r="J23" i="55"/>
  <c r="J24" i="55"/>
  <c r="J25" i="55"/>
  <c r="J26" i="55"/>
  <c r="J27" i="55"/>
  <c r="J28" i="55"/>
  <c r="J29" i="55"/>
  <c r="J30" i="55"/>
  <c r="J31" i="55"/>
  <c r="J32" i="55"/>
  <c r="J33" i="55"/>
  <c r="J34" i="55"/>
  <c r="F66" i="39"/>
  <c r="B160" i="9"/>
  <c r="C160" i="9"/>
  <c r="L4" i="55"/>
  <c r="L5" i="55"/>
  <c r="L6" i="55"/>
  <c r="L7" i="55"/>
  <c r="L8" i="55"/>
  <c r="L9" i="55"/>
  <c r="L10" i="55"/>
  <c r="L11" i="55"/>
  <c r="L12" i="55"/>
  <c r="L13" i="55"/>
  <c r="L14" i="55"/>
  <c r="L15" i="55"/>
  <c r="L16" i="55"/>
  <c r="L17" i="55"/>
  <c r="L18" i="55"/>
  <c r="L19" i="55"/>
  <c r="L20" i="55"/>
  <c r="L21" i="55"/>
  <c r="L22" i="55"/>
  <c r="L23" i="55"/>
  <c r="L24" i="55"/>
  <c r="L25" i="55"/>
  <c r="L26" i="55"/>
  <c r="L27" i="55"/>
  <c r="L28" i="55"/>
  <c r="L29" i="55"/>
  <c r="L30" i="55"/>
  <c r="L31" i="55"/>
  <c r="L32" i="55"/>
  <c r="L33" i="55"/>
  <c r="L34" i="55"/>
  <c r="F67" i="39"/>
  <c r="B161" i="9"/>
  <c r="C161" i="9"/>
  <c r="N4" i="55"/>
  <c r="N5" i="55"/>
  <c r="N6" i="55"/>
  <c r="N7" i="55"/>
  <c r="N8" i="55"/>
  <c r="N9" i="55"/>
  <c r="N10" i="55"/>
  <c r="N11" i="55"/>
  <c r="N12" i="55"/>
  <c r="N13" i="55"/>
  <c r="N14" i="55"/>
  <c r="N15" i="55"/>
  <c r="N16" i="55"/>
  <c r="N17" i="55"/>
  <c r="N18" i="55"/>
  <c r="N19" i="55"/>
  <c r="N20" i="55"/>
  <c r="N21" i="55"/>
  <c r="N22" i="55"/>
  <c r="N23" i="55"/>
  <c r="N24" i="55"/>
  <c r="N25" i="55"/>
  <c r="N26" i="55"/>
  <c r="N27" i="55"/>
  <c r="N28" i="55"/>
  <c r="N29" i="55"/>
  <c r="N30" i="55"/>
  <c r="N31" i="55"/>
  <c r="N32" i="55"/>
  <c r="N33" i="55"/>
  <c r="N34" i="55"/>
  <c r="F68" i="39"/>
  <c r="B162" i="9"/>
  <c r="C162" i="9"/>
  <c r="P4" i="55"/>
  <c r="P5" i="55"/>
  <c r="P6" i="55"/>
  <c r="P7" i="55"/>
  <c r="P8" i="55"/>
  <c r="P9" i="55"/>
  <c r="P10" i="55"/>
  <c r="P11" i="55"/>
  <c r="P12" i="55"/>
  <c r="P13" i="55"/>
  <c r="P14" i="55"/>
  <c r="P15" i="55"/>
  <c r="P16" i="55"/>
  <c r="P17" i="55"/>
  <c r="P18" i="55"/>
  <c r="P19" i="55"/>
  <c r="P20" i="55"/>
  <c r="P21" i="55"/>
  <c r="P22" i="55"/>
  <c r="P23" i="55"/>
  <c r="P24" i="55"/>
  <c r="P25" i="55"/>
  <c r="P26" i="55"/>
  <c r="P27" i="55"/>
  <c r="P28" i="55"/>
  <c r="P29" i="55"/>
  <c r="P30" i="55"/>
  <c r="P31" i="55"/>
  <c r="P32" i="55"/>
  <c r="P33" i="55"/>
  <c r="P34" i="55"/>
  <c r="F69" i="39"/>
  <c r="B163" i="9"/>
  <c r="C163" i="9"/>
  <c r="R4" i="55"/>
  <c r="R5" i="55"/>
  <c r="R6" i="55"/>
  <c r="R7" i="55"/>
  <c r="R8" i="55"/>
  <c r="R9" i="55"/>
  <c r="R10" i="55"/>
  <c r="R11" i="55"/>
  <c r="R12" i="55"/>
  <c r="R13" i="55"/>
  <c r="R14" i="55"/>
  <c r="R15" i="55"/>
  <c r="R16" i="55"/>
  <c r="R17" i="55"/>
  <c r="R18" i="55"/>
  <c r="R19" i="55"/>
  <c r="R20" i="55"/>
  <c r="R21" i="55"/>
  <c r="R22" i="55"/>
  <c r="R23" i="55"/>
  <c r="R24" i="55"/>
  <c r="R25" i="55"/>
  <c r="R26" i="55"/>
  <c r="R27" i="55"/>
  <c r="R28" i="55"/>
  <c r="R29" i="55"/>
  <c r="R30" i="55"/>
  <c r="R31" i="55"/>
  <c r="R32" i="55"/>
  <c r="R33" i="55"/>
  <c r="R34" i="55"/>
  <c r="F70" i="39"/>
  <c r="B164" i="9"/>
  <c r="C164" i="9"/>
  <c r="B165" i="9"/>
  <c r="C165" i="9"/>
  <c r="B56" i="52"/>
  <c r="D45" i="50"/>
  <c r="B166" i="9"/>
  <c r="C166" i="9"/>
  <c r="B57" i="52"/>
  <c r="D46" i="50"/>
  <c r="B167" i="9"/>
  <c r="C167" i="9"/>
  <c r="B58" i="52"/>
  <c r="D47" i="50"/>
  <c r="B168" i="9"/>
  <c r="C168" i="9"/>
  <c r="B59" i="52"/>
  <c r="D48" i="50"/>
  <c r="B169" i="9"/>
  <c r="C169" i="9"/>
  <c r="B60" i="52"/>
  <c r="D49" i="50"/>
  <c r="B170" i="9"/>
  <c r="C170" i="9"/>
  <c r="B2" i="9"/>
  <c r="C2" i="9"/>
  <c r="B3" i="8"/>
  <c r="D3" i="8"/>
  <c r="B4" i="8"/>
  <c r="D4" i="8"/>
  <c r="B5" i="8"/>
  <c r="D5" i="8"/>
  <c r="B6" i="8"/>
  <c r="D6" i="8"/>
  <c r="B7" i="8"/>
  <c r="D7" i="8"/>
  <c r="B8" i="8"/>
  <c r="D8" i="8"/>
  <c r="B9" i="8"/>
  <c r="D9" i="8"/>
  <c r="B10" i="8"/>
  <c r="D10" i="8"/>
  <c r="B11" i="8"/>
  <c r="D11" i="8"/>
  <c r="B12" i="8"/>
  <c r="D12" i="8"/>
  <c r="B13" i="8"/>
  <c r="D13" i="8"/>
  <c r="B14" i="8"/>
  <c r="D14" i="8"/>
  <c r="B15" i="8"/>
  <c r="D15" i="8"/>
  <c r="B16" i="8"/>
  <c r="D16" i="8"/>
  <c r="B17" i="8"/>
  <c r="D17" i="8"/>
  <c r="B18" i="8"/>
  <c r="D18" i="8"/>
  <c r="B19" i="8"/>
  <c r="D19" i="8"/>
  <c r="B20" i="8"/>
  <c r="D20" i="8"/>
  <c r="B21" i="8"/>
  <c r="D21" i="8"/>
  <c r="B22" i="8"/>
  <c r="D22" i="8"/>
  <c r="B23" i="8"/>
  <c r="D23" i="8"/>
  <c r="B24" i="8"/>
  <c r="D24" i="8"/>
  <c r="B25" i="8"/>
  <c r="D25" i="8"/>
  <c r="B26" i="8"/>
  <c r="D26" i="8"/>
  <c r="B27" i="8"/>
  <c r="D27" i="8"/>
  <c r="B28" i="8"/>
  <c r="D28" i="8"/>
  <c r="B29" i="8"/>
  <c r="D29" i="8"/>
  <c r="B30" i="8"/>
  <c r="D30" i="8"/>
  <c r="B31" i="8"/>
  <c r="D31" i="8"/>
  <c r="B32" i="8"/>
  <c r="D32" i="8"/>
  <c r="B33" i="8"/>
  <c r="D33" i="8"/>
  <c r="B34" i="8"/>
  <c r="D34" i="8"/>
  <c r="B35" i="8"/>
  <c r="D35" i="8"/>
  <c r="B36" i="8"/>
  <c r="D36" i="8"/>
  <c r="B37" i="8"/>
  <c r="D37" i="8"/>
  <c r="B38" i="8"/>
  <c r="D38" i="8"/>
  <c r="B39" i="8"/>
  <c r="D39" i="8"/>
  <c r="B40" i="8"/>
  <c r="D40" i="8"/>
  <c r="B41" i="8"/>
  <c r="D41" i="8"/>
  <c r="B42" i="8"/>
  <c r="D42" i="8"/>
  <c r="B43" i="8"/>
  <c r="D43" i="8"/>
  <c r="B44" i="8"/>
  <c r="D44" i="8"/>
  <c r="B45" i="8"/>
  <c r="D45" i="8"/>
  <c r="B46" i="8"/>
  <c r="D46" i="8"/>
  <c r="B47" i="8"/>
  <c r="D47" i="8"/>
  <c r="B48" i="8"/>
  <c r="D48" i="8"/>
  <c r="B49" i="8"/>
  <c r="D49" i="8"/>
  <c r="B50" i="8"/>
  <c r="D50" i="8"/>
  <c r="B51" i="8"/>
  <c r="D51" i="8"/>
  <c r="B52" i="8"/>
  <c r="D52" i="8"/>
  <c r="B53" i="8"/>
  <c r="D53" i="8"/>
  <c r="B54" i="8"/>
  <c r="D54" i="8"/>
  <c r="B55" i="8"/>
  <c r="D55" i="8"/>
  <c r="B56" i="8"/>
  <c r="D56" i="8"/>
  <c r="B57" i="8"/>
  <c r="D57" i="8"/>
  <c r="B58" i="8"/>
  <c r="D58" i="8"/>
  <c r="B59" i="8"/>
  <c r="D59" i="8"/>
  <c r="B60" i="8"/>
  <c r="D60" i="8"/>
  <c r="B61" i="8"/>
  <c r="D61" i="8"/>
  <c r="B62" i="8"/>
  <c r="D62" i="8"/>
  <c r="B63" i="8"/>
  <c r="D63" i="8"/>
  <c r="B64" i="8"/>
  <c r="D64" i="8"/>
  <c r="B65" i="8"/>
  <c r="D65" i="8"/>
  <c r="B66" i="8"/>
  <c r="D66" i="8"/>
  <c r="B67" i="8"/>
  <c r="D67" i="8"/>
  <c r="B68" i="8"/>
  <c r="D68" i="8"/>
  <c r="B69" i="8"/>
  <c r="D69" i="8"/>
  <c r="B70" i="8"/>
  <c r="D70" i="8"/>
  <c r="B71" i="8"/>
  <c r="D71" i="8"/>
  <c r="B72" i="8"/>
  <c r="D72" i="8"/>
  <c r="B73" i="8"/>
  <c r="D73" i="8"/>
  <c r="B74" i="8"/>
  <c r="D74" i="8"/>
  <c r="B75" i="8"/>
  <c r="D75" i="8"/>
  <c r="B76" i="8"/>
  <c r="D76" i="8"/>
  <c r="B77" i="8"/>
  <c r="D77" i="8"/>
  <c r="B78" i="8"/>
  <c r="D78" i="8"/>
  <c r="B79" i="8"/>
  <c r="D79" i="8"/>
  <c r="B80" i="8"/>
  <c r="D80" i="8"/>
  <c r="B81" i="8"/>
  <c r="D81" i="8"/>
  <c r="B82" i="8"/>
  <c r="D82" i="8"/>
  <c r="B83" i="8"/>
  <c r="D83" i="8"/>
  <c r="B84" i="8"/>
  <c r="D84" i="8"/>
  <c r="B85" i="8"/>
  <c r="D85" i="8"/>
  <c r="B86" i="8"/>
  <c r="D86" i="8"/>
  <c r="B87" i="8"/>
  <c r="D87" i="8"/>
  <c r="B88" i="8"/>
  <c r="D88" i="8"/>
  <c r="B89" i="8"/>
  <c r="D89" i="8"/>
  <c r="B90" i="8"/>
  <c r="D90" i="8"/>
  <c r="B91" i="8"/>
  <c r="D91" i="8"/>
  <c r="B92" i="8"/>
  <c r="D92" i="8"/>
  <c r="B93" i="8"/>
  <c r="D93" i="8"/>
  <c r="B94" i="8"/>
  <c r="D94" i="8"/>
  <c r="B95" i="8"/>
  <c r="D95" i="8"/>
  <c r="B96" i="8"/>
  <c r="D96" i="8"/>
  <c r="B97" i="8"/>
  <c r="D97" i="8"/>
  <c r="B98" i="8"/>
  <c r="D98" i="8"/>
  <c r="B99" i="8"/>
  <c r="D99" i="8"/>
  <c r="B100" i="8"/>
  <c r="D100" i="8"/>
  <c r="B101" i="8"/>
  <c r="D101" i="8"/>
  <c r="B102" i="8"/>
  <c r="D102" i="8"/>
  <c r="B103" i="8"/>
  <c r="D103" i="8"/>
  <c r="B104" i="8"/>
  <c r="D104" i="8"/>
  <c r="B105" i="8"/>
  <c r="D105" i="8"/>
  <c r="B106" i="8"/>
  <c r="D106" i="8"/>
  <c r="B107" i="8"/>
  <c r="D107" i="8"/>
  <c r="B108" i="8"/>
  <c r="D108" i="8"/>
  <c r="B109" i="8"/>
  <c r="D109" i="8"/>
  <c r="B110" i="8"/>
  <c r="D110" i="8"/>
  <c r="B111" i="8"/>
  <c r="D111" i="8"/>
  <c r="B112" i="8"/>
  <c r="D112" i="8"/>
  <c r="B113" i="8"/>
  <c r="D113" i="8"/>
  <c r="B114" i="8"/>
  <c r="D114" i="8"/>
  <c r="B115" i="8"/>
  <c r="D115" i="8"/>
  <c r="B116" i="8"/>
  <c r="D116" i="8"/>
  <c r="B117" i="8"/>
  <c r="D117" i="8"/>
  <c r="B118" i="8"/>
  <c r="D118" i="8"/>
  <c r="B119" i="8"/>
  <c r="D119" i="8"/>
  <c r="B120" i="8"/>
  <c r="D120" i="8"/>
  <c r="B121" i="8"/>
  <c r="D121" i="8"/>
  <c r="B122" i="8"/>
  <c r="D122" i="8"/>
  <c r="B123" i="8"/>
  <c r="D123" i="8"/>
  <c r="B124" i="8"/>
  <c r="D124" i="8"/>
  <c r="B125" i="8"/>
  <c r="D125" i="8"/>
  <c r="B126" i="8"/>
  <c r="D126" i="8"/>
  <c r="B127" i="8"/>
  <c r="D127" i="8"/>
  <c r="B128" i="8"/>
  <c r="D128" i="8"/>
  <c r="B129" i="8"/>
  <c r="D129" i="8"/>
  <c r="B130" i="8"/>
  <c r="D130" i="8"/>
  <c r="B131" i="8"/>
  <c r="D131" i="8"/>
  <c r="B132" i="8"/>
  <c r="D132" i="8"/>
  <c r="B133" i="8"/>
  <c r="D133" i="8"/>
  <c r="B134" i="8"/>
  <c r="D134" i="8"/>
  <c r="B135" i="8"/>
  <c r="D135" i="8"/>
  <c r="B136" i="8"/>
  <c r="D136" i="8"/>
  <c r="B137" i="8"/>
  <c r="D137" i="8"/>
  <c r="B138" i="8"/>
  <c r="D138" i="8"/>
  <c r="B139" i="8"/>
  <c r="D139" i="8"/>
  <c r="B140" i="8"/>
  <c r="D140" i="8"/>
  <c r="B141" i="8"/>
  <c r="D141" i="8"/>
  <c r="B142" i="8"/>
  <c r="D142" i="8"/>
  <c r="B143" i="8"/>
  <c r="D143" i="8"/>
  <c r="B144" i="8"/>
  <c r="D144" i="8"/>
  <c r="B145" i="8"/>
  <c r="D145" i="8"/>
  <c r="B146" i="8"/>
  <c r="D146" i="8"/>
  <c r="B147" i="8"/>
  <c r="D147" i="8"/>
  <c r="B148" i="8"/>
  <c r="D148" i="8"/>
  <c r="B149" i="8"/>
  <c r="D149" i="8"/>
  <c r="B150" i="8"/>
  <c r="D150" i="8"/>
  <c r="B151" i="8"/>
  <c r="D151" i="8"/>
  <c r="B152" i="8"/>
  <c r="D152" i="8"/>
  <c r="B153" i="8"/>
  <c r="D153" i="8"/>
  <c r="B154" i="8"/>
  <c r="D154" i="8"/>
  <c r="B155" i="8"/>
  <c r="D155" i="8"/>
  <c r="B156" i="8"/>
  <c r="D156" i="8"/>
  <c r="B157" i="8"/>
  <c r="D157" i="8"/>
  <c r="B158" i="8"/>
  <c r="D158" i="8"/>
  <c r="B159" i="8"/>
  <c r="D159" i="8"/>
  <c r="B160" i="8"/>
  <c r="D160" i="8"/>
  <c r="B161" i="8"/>
  <c r="D161" i="8"/>
  <c r="B162" i="8"/>
  <c r="D162" i="8"/>
  <c r="B163" i="8"/>
  <c r="D163" i="8"/>
  <c r="B164" i="8"/>
  <c r="D164" i="8"/>
  <c r="B165" i="8"/>
  <c r="D165" i="8"/>
  <c r="B166" i="8"/>
  <c r="D166" i="8"/>
  <c r="B167" i="8"/>
  <c r="D167" i="8"/>
  <c r="B168" i="8"/>
  <c r="D168" i="8"/>
  <c r="B169" i="8"/>
  <c r="D169" i="8"/>
  <c r="B170" i="8"/>
  <c r="D170" i="8"/>
  <c r="B171" i="8"/>
  <c r="D171" i="8"/>
  <c r="B172" i="8"/>
  <c r="D172" i="8"/>
  <c r="B173" i="8"/>
  <c r="D173" i="8"/>
  <c r="B174" i="8"/>
  <c r="D174" i="8"/>
  <c r="B175" i="8"/>
  <c r="D175" i="8"/>
  <c r="B176" i="8"/>
  <c r="D176" i="8"/>
  <c r="B177" i="8"/>
  <c r="D177" i="8"/>
  <c r="B178" i="8"/>
  <c r="D178" i="8"/>
  <c r="B179" i="8"/>
  <c r="D179" i="8"/>
  <c r="B180" i="8"/>
  <c r="D180" i="8"/>
  <c r="B181" i="8"/>
  <c r="D181" i="8"/>
  <c r="B182" i="8"/>
  <c r="D182" i="8"/>
  <c r="B183" i="8"/>
  <c r="D183" i="8"/>
  <c r="B184" i="8"/>
  <c r="D184" i="8"/>
  <c r="B185" i="8"/>
  <c r="D185" i="8"/>
  <c r="B186" i="8"/>
  <c r="D186" i="8"/>
  <c r="B187" i="8"/>
  <c r="D187" i="8"/>
  <c r="B188" i="8"/>
  <c r="D188" i="8"/>
  <c r="B189" i="8"/>
  <c r="D189" i="8"/>
  <c r="B190" i="8"/>
  <c r="D190" i="8"/>
  <c r="B191" i="8"/>
  <c r="D191" i="8"/>
  <c r="B192" i="8"/>
  <c r="D192" i="8"/>
  <c r="B193" i="8"/>
  <c r="D193" i="8"/>
  <c r="B194" i="8"/>
  <c r="D194" i="8"/>
  <c r="B195" i="8"/>
  <c r="D195" i="8"/>
  <c r="B196" i="8"/>
  <c r="D196" i="8"/>
  <c r="B197" i="8"/>
  <c r="D197" i="8"/>
  <c r="B198" i="8"/>
  <c r="D198" i="8"/>
  <c r="B199" i="8"/>
  <c r="D199" i="8"/>
  <c r="B200" i="8"/>
  <c r="D200" i="8"/>
  <c r="B201" i="8"/>
  <c r="D201" i="8"/>
  <c r="B202" i="8"/>
  <c r="D202" i="8"/>
  <c r="B203" i="8"/>
  <c r="D203" i="8"/>
  <c r="B204" i="8"/>
  <c r="D204" i="8"/>
  <c r="B205" i="8"/>
  <c r="D205" i="8"/>
  <c r="B206" i="8"/>
  <c r="D206" i="8"/>
  <c r="B207" i="8"/>
  <c r="D207" i="8"/>
  <c r="B208" i="8"/>
  <c r="D208" i="8"/>
  <c r="B209" i="8"/>
  <c r="D209" i="8"/>
  <c r="B210" i="8"/>
  <c r="D210" i="8"/>
  <c r="B211" i="8"/>
  <c r="D211" i="8"/>
  <c r="B212" i="8"/>
  <c r="D212" i="8"/>
  <c r="B213" i="8"/>
  <c r="D213" i="8"/>
  <c r="B214" i="8"/>
  <c r="D214" i="8"/>
  <c r="B215" i="8"/>
  <c r="D215" i="8"/>
  <c r="B216" i="8"/>
  <c r="D216" i="8"/>
  <c r="B217" i="8"/>
  <c r="D217" i="8"/>
  <c r="B218" i="8"/>
  <c r="D218" i="8"/>
  <c r="B219" i="8"/>
  <c r="D219" i="8"/>
  <c r="B220" i="8"/>
  <c r="D220" i="8"/>
  <c r="B221" i="8"/>
  <c r="D221" i="8"/>
  <c r="B222" i="8"/>
  <c r="D222" i="8"/>
  <c r="B223" i="8"/>
  <c r="D223" i="8"/>
  <c r="B224" i="8"/>
  <c r="D224" i="8"/>
  <c r="B225" i="8"/>
  <c r="D225" i="8"/>
  <c r="B226" i="8"/>
  <c r="D226" i="8"/>
  <c r="B227" i="8"/>
  <c r="D227" i="8"/>
  <c r="B228" i="8"/>
  <c r="D228" i="8"/>
  <c r="B229" i="8"/>
  <c r="D229" i="8"/>
  <c r="B230" i="8"/>
  <c r="D230" i="8"/>
  <c r="B231" i="8"/>
  <c r="D231" i="8"/>
  <c r="B232" i="8"/>
  <c r="D232" i="8"/>
  <c r="B233" i="8"/>
  <c r="D233" i="8"/>
  <c r="B234" i="8"/>
  <c r="D234" i="8"/>
  <c r="B235" i="8"/>
  <c r="D235" i="8"/>
  <c r="B236" i="8"/>
  <c r="D236" i="8"/>
  <c r="B237" i="8"/>
  <c r="D237" i="8"/>
  <c r="B238" i="8"/>
  <c r="D238" i="8"/>
  <c r="B239" i="8"/>
  <c r="D239" i="8"/>
  <c r="B240" i="8"/>
  <c r="D240" i="8"/>
  <c r="B241" i="8"/>
  <c r="D241" i="8"/>
  <c r="B242" i="8"/>
  <c r="D242" i="8"/>
  <c r="B243" i="8"/>
  <c r="D243" i="8"/>
  <c r="B244" i="8"/>
  <c r="D244" i="8"/>
  <c r="B245" i="8"/>
  <c r="D245" i="8"/>
  <c r="B246" i="8"/>
  <c r="D246" i="8"/>
  <c r="B247" i="8"/>
  <c r="D247" i="8"/>
  <c r="B248" i="8"/>
  <c r="D248" i="8"/>
  <c r="B249" i="8"/>
  <c r="D249" i="8"/>
  <c r="B250" i="8"/>
  <c r="D250" i="8"/>
  <c r="B251" i="8"/>
  <c r="D251" i="8"/>
  <c r="B252" i="8"/>
  <c r="D252" i="8"/>
  <c r="B253" i="8"/>
  <c r="D253" i="8"/>
  <c r="B254" i="8"/>
  <c r="D254" i="8"/>
  <c r="B255" i="8"/>
  <c r="D255" i="8"/>
  <c r="B256" i="8"/>
  <c r="D256" i="8"/>
  <c r="B257" i="8"/>
  <c r="D257" i="8"/>
  <c r="B258" i="8"/>
  <c r="D258" i="8"/>
  <c r="B259" i="8"/>
  <c r="D259" i="8"/>
  <c r="B260" i="8"/>
  <c r="D260" i="8"/>
  <c r="B261" i="8"/>
  <c r="D261" i="8"/>
  <c r="B262" i="8"/>
  <c r="D262" i="8"/>
  <c r="B263" i="8"/>
  <c r="D263" i="8"/>
  <c r="B264" i="8"/>
  <c r="D264" i="8"/>
  <c r="B265" i="8"/>
  <c r="D265" i="8"/>
  <c r="B266" i="8"/>
  <c r="D266" i="8"/>
  <c r="B267" i="8"/>
  <c r="D267" i="8"/>
  <c r="B268" i="8"/>
  <c r="D268" i="8"/>
  <c r="B269" i="8"/>
  <c r="D269" i="8"/>
  <c r="B270" i="8"/>
  <c r="D270" i="8"/>
  <c r="B271" i="8"/>
  <c r="D271" i="8"/>
  <c r="B272" i="8"/>
  <c r="D272" i="8"/>
  <c r="B273" i="8"/>
  <c r="D273" i="8"/>
  <c r="B274" i="8"/>
  <c r="D274" i="8"/>
  <c r="B275" i="8"/>
  <c r="D275" i="8"/>
  <c r="B276" i="8"/>
  <c r="D276" i="8"/>
  <c r="B277" i="8"/>
  <c r="D277" i="8"/>
  <c r="B278" i="8"/>
  <c r="D278" i="8"/>
  <c r="B279" i="8"/>
  <c r="D279" i="8"/>
  <c r="B280" i="8"/>
  <c r="D280" i="8"/>
  <c r="B281" i="8"/>
  <c r="D281" i="8"/>
  <c r="B282" i="8"/>
  <c r="D282" i="8"/>
  <c r="B283" i="8"/>
  <c r="D283" i="8"/>
  <c r="B284" i="8"/>
  <c r="D284" i="8"/>
  <c r="B285" i="8"/>
  <c r="D285" i="8"/>
  <c r="B286" i="8"/>
  <c r="D286" i="8"/>
  <c r="B287" i="8"/>
  <c r="D287" i="8"/>
  <c r="B288" i="8"/>
  <c r="D288" i="8"/>
  <c r="B289" i="8"/>
  <c r="D289" i="8"/>
  <c r="B290" i="8"/>
  <c r="D290" i="8"/>
  <c r="B291" i="8"/>
  <c r="D291" i="8"/>
  <c r="B292" i="8"/>
  <c r="D292" i="8"/>
  <c r="B293" i="8"/>
  <c r="D293" i="8"/>
  <c r="B294" i="8"/>
  <c r="D294" i="8"/>
  <c r="B295" i="8"/>
  <c r="D295" i="8"/>
  <c r="B296" i="8"/>
  <c r="D296" i="8"/>
  <c r="B297" i="8"/>
  <c r="D297" i="8"/>
  <c r="B298" i="8"/>
  <c r="D298" i="8"/>
  <c r="B299" i="8"/>
  <c r="D299" i="8"/>
  <c r="B300" i="8"/>
  <c r="D300" i="8"/>
  <c r="B301" i="8"/>
  <c r="D301" i="8"/>
  <c r="B302" i="8"/>
  <c r="D302" i="8"/>
  <c r="B303" i="8"/>
  <c r="D303" i="8"/>
  <c r="B304" i="8"/>
  <c r="D304" i="8"/>
  <c r="B305" i="8"/>
  <c r="D305" i="8"/>
  <c r="B306" i="8"/>
  <c r="D306" i="8"/>
  <c r="B307" i="8"/>
  <c r="D307" i="8"/>
  <c r="B308" i="8"/>
  <c r="D308" i="8"/>
  <c r="B309" i="8"/>
  <c r="D309" i="8"/>
  <c r="B310" i="8"/>
  <c r="D310" i="8"/>
  <c r="B311" i="8"/>
  <c r="D311" i="8"/>
  <c r="B312" i="8"/>
  <c r="D312" i="8"/>
  <c r="B313" i="8"/>
  <c r="D313" i="8"/>
  <c r="B314" i="8"/>
  <c r="D314" i="8"/>
  <c r="B315" i="8"/>
  <c r="D315" i="8"/>
  <c r="B316" i="8"/>
  <c r="D316" i="8"/>
  <c r="B317" i="8"/>
  <c r="D317" i="8"/>
  <c r="B318" i="8"/>
  <c r="D318" i="8"/>
  <c r="B319" i="8"/>
  <c r="D319" i="8"/>
  <c r="B320" i="8"/>
  <c r="D320" i="8"/>
  <c r="B321" i="8"/>
  <c r="D321" i="8"/>
  <c r="B322" i="8"/>
  <c r="D322" i="8"/>
  <c r="B323" i="8"/>
  <c r="D323" i="8"/>
  <c r="B324" i="8"/>
  <c r="D324" i="8"/>
  <c r="B325" i="8"/>
  <c r="D325" i="8"/>
  <c r="B326" i="8"/>
  <c r="D326" i="8"/>
  <c r="B327" i="8"/>
  <c r="D327" i="8"/>
  <c r="B328" i="8"/>
  <c r="D328" i="8"/>
  <c r="B329" i="8"/>
  <c r="D329" i="8"/>
  <c r="B330" i="8"/>
  <c r="D330" i="8"/>
  <c r="B331" i="8"/>
  <c r="D331" i="8"/>
  <c r="B332" i="8"/>
  <c r="D332" i="8"/>
  <c r="B333" i="8"/>
  <c r="D333" i="8"/>
  <c r="B334" i="8"/>
  <c r="D334" i="8"/>
  <c r="B335" i="8"/>
  <c r="D335" i="8"/>
  <c r="B336" i="8"/>
  <c r="D336" i="8"/>
  <c r="B337" i="8"/>
  <c r="D337" i="8"/>
  <c r="B338" i="8"/>
  <c r="D338" i="8"/>
  <c r="B339" i="8"/>
  <c r="D339" i="8"/>
  <c r="B340" i="8"/>
  <c r="D340" i="8"/>
  <c r="B341" i="8"/>
  <c r="D341" i="8"/>
  <c r="B342" i="8"/>
  <c r="D342" i="8"/>
  <c r="B343" i="8"/>
  <c r="D343" i="8"/>
  <c r="B344" i="8"/>
  <c r="D344" i="8"/>
  <c r="B345" i="8"/>
  <c r="D345" i="8"/>
  <c r="B346" i="8"/>
  <c r="D346" i="8"/>
  <c r="B347" i="8"/>
  <c r="D347" i="8"/>
  <c r="B348" i="8"/>
  <c r="D348" i="8"/>
  <c r="B349" i="8"/>
  <c r="D349" i="8"/>
  <c r="B350" i="8"/>
  <c r="D350" i="8"/>
  <c r="B351" i="8"/>
  <c r="D351" i="8"/>
  <c r="B352" i="8"/>
  <c r="D352" i="8"/>
  <c r="B353" i="8"/>
  <c r="D353" i="8"/>
  <c r="B354" i="8"/>
  <c r="D354" i="8"/>
  <c r="B355" i="8"/>
  <c r="D355" i="8"/>
  <c r="B356" i="8"/>
  <c r="D356" i="8"/>
  <c r="B357" i="8"/>
  <c r="D357" i="8"/>
  <c r="B358" i="8"/>
  <c r="D358" i="8"/>
  <c r="B359" i="8"/>
  <c r="D359" i="8"/>
  <c r="B360" i="8"/>
  <c r="D360" i="8"/>
  <c r="B361" i="8"/>
  <c r="D361" i="8"/>
  <c r="B362" i="8"/>
  <c r="D362" i="8"/>
  <c r="B363" i="8"/>
  <c r="D363" i="8"/>
  <c r="B364" i="8"/>
  <c r="D364" i="8"/>
  <c r="B365" i="8"/>
  <c r="D365" i="8"/>
  <c r="B366" i="8"/>
  <c r="D366" i="8"/>
  <c r="B367" i="8"/>
  <c r="D367" i="8"/>
  <c r="B368" i="8"/>
  <c r="D368" i="8"/>
  <c r="B369" i="8"/>
  <c r="D369" i="8"/>
  <c r="B370" i="8"/>
  <c r="D370" i="8"/>
  <c r="B371" i="8"/>
  <c r="D371" i="8"/>
  <c r="B372" i="8"/>
  <c r="D372" i="8"/>
  <c r="B373" i="8"/>
  <c r="D373" i="8"/>
  <c r="B374" i="8"/>
  <c r="D374" i="8"/>
  <c r="B375" i="8"/>
  <c r="D375" i="8"/>
  <c r="B376" i="8"/>
  <c r="D376" i="8"/>
  <c r="B377" i="8"/>
  <c r="D377" i="8"/>
  <c r="B378" i="8"/>
  <c r="D378" i="8"/>
  <c r="B379" i="8"/>
  <c r="D379" i="8"/>
  <c r="B380" i="8"/>
  <c r="D380" i="8"/>
  <c r="B381" i="8"/>
  <c r="D381" i="8"/>
  <c r="B382" i="8"/>
  <c r="D382" i="8"/>
  <c r="B383" i="8"/>
  <c r="D383" i="8"/>
  <c r="B384" i="8"/>
  <c r="D384" i="8"/>
  <c r="B385" i="8"/>
  <c r="D385" i="8"/>
  <c r="B386" i="8"/>
  <c r="D386" i="8"/>
  <c r="B387" i="8"/>
  <c r="D387" i="8"/>
  <c r="B388" i="8"/>
  <c r="D388" i="8"/>
  <c r="B389" i="8"/>
  <c r="D389" i="8"/>
  <c r="B390" i="8"/>
  <c r="D390" i="8"/>
  <c r="B391" i="8"/>
  <c r="D391" i="8"/>
  <c r="B392" i="8"/>
  <c r="D392" i="8"/>
  <c r="B393" i="8"/>
  <c r="D393" i="8"/>
  <c r="B394" i="8"/>
  <c r="D394" i="8"/>
  <c r="B395" i="8"/>
  <c r="D395" i="8"/>
  <c r="B396" i="8"/>
  <c r="D396" i="8"/>
  <c r="B397" i="8"/>
  <c r="D397" i="8"/>
  <c r="B398" i="8"/>
  <c r="D398" i="8"/>
  <c r="B399" i="8"/>
  <c r="D399" i="8"/>
  <c r="B400" i="8"/>
  <c r="D400" i="8"/>
  <c r="B401" i="8"/>
  <c r="D401" i="8"/>
  <c r="B402" i="8"/>
  <c r="D402" i="8"/>
  <c r="B403" i="8"/>
  <c r="D403" i="8"/>
  <c r="B404" i="8"/>
  <c r="D404" i="8"/>
  <c r="B405" i="8"/>
  <c r="D405" i="8"/>
  <c r="B406" i="8"/>
  <c r="D406" i="8"/>
  <c r="B407" i="8"/>
  <c r="D407" i="8"/>
  <c r="B408" i="8"/>
  <c r="D408" i="8"/>
  <c r="B409" i="8"/>
  <c r="D409" i="8"/>
  <c r="B410" i="8"/>
  <c r="D410" i="8"/>
  <c r="B411" i="8"/>
  <c r="D411" i="8"/>
  <c r="B412" i="8"/>
  <c r="D412" i="8"/>
  <c r="B413" i="8"/>
  <c r="D413" i="8"/>
  <c r="B414" i="8"/>
  <c r="D414" i="8"/>
  <c r="B415" i="8"/>
  <c r="D415" i="8"/>
  <c r="B416" i="8"/>
  <c r="D416" i="8"/>
  <c r="B417" i="8"/>
  <c r="D417" i="8"/>
  <c r="B418" i="8"/>
  <c r="D418" i="8"/>
  <c r="B419" i="8"/>
  <c r="D419" i="8"/>
  <c r="B420" i="8"/>
  <c r="D420" i="8"/>
  <c r="B421" i="8"/>
  <c r="D421" i="8"/>
  <c r="B422" i="8"/>
  <c r="D422" i="8"/>
  <c r="B423" i="8"/>
  <c r="D423" i="8"/>
  <c r="B424" i="8"/>
  <c r="D424" i="8"/>
  <c r="B425" i="8"/>
  <c r="D425" i="8"/>
  <c r="B426" i="8"/>
  <c r="D426" i="8"/>
  <c r="B427" i="8"/>
  <c r="D427" i="8"/>
  <c r="B428" i="8"/>
  <c r="D428" i="8"/>
  <c r="B429" i="8"/>
  <c r="D429" i="8"/>
  <c r="B430" i="8"/>
  <c r="D430" i="8"/>
  <c r="B431" i="8"/>
  <c r="D431" i="8"/>
  <c r="B432" i="8"/>
  <c r="D432" i="8"/>
  <c r="B433" i="8"/>
  <c r="D433" i="8"/>
  <c r="B434" i="8"/>
  <c r="D434" i="8"/>
  <c r="B435" i="8"/>
  <c r="D435" i="8"/>
  <c r="B436" i="8"/>
  <c r="D436" i="8"/>
  <c r="B437" i="8"/>
  <c r="D437" i="8"/>
  <c r="B438" i="8"/>
  <c r="D438" i="8"/>
  <c r="B439" i="8"/>
  <c r="D439" i="8"/>
  <c r="B440" i="8"/>
  <c r="D440" i="8"/>
  <c r="B441" i="8"/>
  <c r="D441" i="8"/>
  <c r="B442" i="8"/>
  <c r="D442" i="8"/>
  <c r="B443" i="8"/>
  <c r="D443" i="8"/>
  <c r="B444" i="8"/>
  <c r="D444" i="8"/>
  <c r="B445" i="8"/>
  <c r="D445" i="8"/>
  <c r="B446" i="8"/>
  <c r="D446" i="8"/>
  <c r="B447" i="8"/>
  <c r="D447" i="8"/>
  <c r="B448" i="8"/>
  <c r="D448" i="8"/>
  <c r="B449" i="8"/>
  <c r="D449" i="8"/>
  <c r="B450" i="8"/>
  <c r="D450" i="8"/>
  <c r="B451" i="8"/>
  <c r="D451" i="8"/>
  <c r="B452" i="8"/>
  <c r="D452" i="8"/>
  <c r="B453" i="8"/>
  <c r="D453" i="8"/>
  <c r="B454" i="8"/>
  <c r="D454" i="8"/>
  <c r="B455" i="8"/>
  <c r="D455" i="8"/>
  <c r="B456" i="8"/>
  <c r="D456" i="8"/>
  <c r="B457" i="8"/>
  <c r="D457" i="8"/>
  <c r="B458" i="8"/>
  <c r="D458" i="8"/>
  <c r="B459" i="8"/>
  <c r="D459" i="8"/>
  <c r="B460" i="8"/>
  <c r="D460" i="8"/>
  <c r="B461" i="8"/>
  <c r="D461" i="8"/>
  <c r="B462" i="8"/>
  <c r="D462" i="8"/>
  <c r="B463" i="8"/>
  <c r="D463" i="8"/>
  <c r="B464" i="8"/>
  <c r="D464" i="8"/>
  <c r="B465" i="8"/>
  <c r="D465" i="8"/>
  <c r="B466" i="8"/>
  <c r="D466" i="8"/>
  <c r="B467" i="8"/>
  <c r="D467" i="8"/>
  <c r="B468" i="8"/>
  <c r="D468" i="8"/>
  <c r="B469" i="8"/>
  <c r="D469" i="8"/>
  <c r="B470" i="8"/>
  <c r="D470" i="8"/>
  <c r="B471" i="8"/>
  <c r="D471" i="8"/>
  <c r="B472" i="8"/>
  <c r="D472" i="8"/>
  <c r="B473" i="8"/>
  <c r="D473" i="8"/>
  <c r="B474" i="8"/>
  <c r="D474" i="8"/>
  <c r="B475" i="8"/>
  <c r="D475" i="8"/>
  <c r="B476" i="8"/>
  <c r="D476" i="8"/>
  <c r="B477" i="8"/>
  <c r="D477" i="8"/>
  <c r="B478" i="8"/>
  <c r="D478" i="8"/>
  <c r="B479" i="8"/>
  <c r="D479" i="8"/>
  <c r="B480" i="8"/>
  <c r="D480" i="8"/>
  <c r="B481" i="8"/>
  <c r="D481" i="8"/>
  <c r="B482" i="8"/>
  <c r="D482" i="8"/>
  <c r="B483" i="8"/>
  <c r="D483" i="8"/>
  <c r="B484" i="8"/>
  <c r="D484" i="8"/>
  <c r="B485" i="8"/>
  <c r="D485" i="8"/>
  <c r="B486" i="8"/>
  <c r="D486" i="8"/>
  <c r="B487" i="8"/>
  <c r="D487" i="8"/>
  <c r="B488" i="8"/>
  <c r="D488" i="8"/>
  <c r="B489" i="8"/>
  <c r="D489" i="8"/>
  <c r="B490" i="8"/>
  <c r="D490" i="8"/>
  <c r="B491" i="8"/>
  <c r="D491" i="8"/>
  <c r="B492" i="8"/>
  <c r="D492" i="8"/>
  <c r="B493" i="8"/>
  <c r="D493" i="8"/>
  <c r="B494" i="8"/>
  <c r="D494" i="8"/>
  <c r="B495" i="8"/>
  <c r="D495" i="8"/>
  <c r="B496" i="8"/>
  <c r="D496" i="8"/>
  <c r="B497" i="8"/>
  <c r="D497" i="8"/>
  <c r="B498" i="8"/>
  <c r="D498" i="8"/>
  <c r="B499" i="8"/>
  <c r="D499" i="8"/>
  <c r="B500" i="8"/>
  <c r="D500" i="8"/>
  <c r="B501" i="8"/>
  <c r="D501" i="8"/>
  <c r="B502" i="8"/>
  <c r="D502" i="8"/>
  <c r="B503" i="8"/>
  <c r="D503" i="8"/>
  <c r="B504" i="8"/>
  <c r="D504" i="8"/>
  <c r="B505" i="8"/>
  <c r="D505" i="8"/>
  <c r="B506" i="8"/>
  <c r="D506" i="8"/>
  <c r="B507" i="8"/>
  <c r="D507" i="8"/>
  <c r="B508" i="8"/>
  <c r="D508" i="8"/>
  <c r="B509" i="8"/>
  <c r="D509" i="8"/>
  <c r="B510" i="8"/>
  <c r="D510" i="8"/>
  <c r="B511" i="8"/>
  <c r="D511" i="8"/>
  <c r="B512" i="8"/>
  <c r="D512" i="8"/>
  <c r="B513" i="8"/>
  <c r="D513" i="8"/>
  <c r="B514" i="8"/>
  <c r="D514" i="8"/>
  <c r="B515" i="8"/>
  <c r="D515" i="8"/>
  <c r="B516" i="8"/>
  <c r="D516" i="8"/>
  <c r="B517" i="8"/>
  <c r="D517" i="8"/>
  <c r="B518" i="8"/>
  <c r="D518" i="8"/>
  <c r="B519" i="8"/>
  <c r="D519" i="8"/>
  <c r="B520" i="8"/>
  <c r="D520" i="8"/>
  <c r="B521" i="8"/>
  <c r="D521" i="8"/>
  <c r="B522" i="8"/>
  <c r="D522" i="8"/>
  <c r="B523" i="8"/>
  <c r="D523" i="8"/>
  <c r="B524" i="8"/>
  <c r="D524" i="8"/>
  <c r="B525" i="8"/>
  <c r="D525" i="8"/>
  <c r="B526" i="8"/>
  <c r="D526" i="8"/>
  <c r="B527" i="8"/>
  <c r="D527" i="8"/>
  <c r="B528" i="8"/>
  <c r="D528" i="8"/>
  <c r="B529" i="8"/>
  <c r="D529" i="8"/>
  <c r="B530" i="8"/>
  <c r="D530" i="8"/>
  <c r="B531" i="8"/>
  <c r="D531" i="8"/>
  <c r="B532" i="8"/>
  <c r="D532" i="8"/>
  <c r="B533" i="8"/>
  <c r="D533" i="8"/>
  <c r="B534" i="8"/>
  <c r="D534" i="8"/>
  <c r="B535" i="8"/>
  <c r="D535" i="8"/>
  <c r="B536" i="8"/>
  <c r="D536" i="8"/>
  <c r="B537" i="8"/>
  <c r="D537" i="8"/>
  <c r="B538" i="8"/>
  <c r="D538" i="8"/>
  <c r="B539" i="8"/>
  <c r="D539" i="8"/>
  <c r="B540" i="8"/>
  <c r="D540" i="8"/>
  <c r="B541" i="8"/>
  <c r="D541" i="8"/>
  <c r="B542" i="8"/>
  <c r="D542" i="8"/>
  <c r="B543" i="8"/>
  <c r="D543" i="8"/>
  <c r="B544" i="8"/>
  <c r="D544" i="8"/>
  <c r="B545" i="8"/>
  <c r="D545" i="8"/>
  <c r="B546" i="8"/>
  <c r="D546" i="8"/>
  <c r="B547" i="8"/>
  <c r="D547" i="8"/>
  <c r="B548" i="8"/>
  <c r="D548" i="8"/>
  <c r="B549" i="8"/>
  <c r="D549" i="8"/>
  <c r="B550" i="8"/>
  <c r="D550" i="8"/>
  <c r="B551" i="8"/>
  <c r="D551" i="8"/>
  <c r="B552" i="8"/>
  <c r="D552" i="8"/>
  <c r="B553" i="8"/>
  <c r="D553" i="8"/>
  <c r="B554" i="8"/>
  <c r="D554" i="8"/>
  <c r="B555" i="8"/>
  <c r="D555" i="8"/>
  <c r="B556" i="8"/>
  <c r="D556" i="8"/>
  <c r="B557" i="8"/>
  <c r="D557" i="8"/>
  <c r="B558" i="8"/>
  <c r="D558" i="8"/>
  <c r="B559" i="8"/>
  <c r="D559" i="8"/>
  <c r="B560" i="8"/>
  <c r="D560" i="8"/>
  <c r="B561" i="8"/>
  <c r="D561" i="8"/>
  <c r="B562" i="8"/>
  <c r="D562" i="8"/>
  <c r="B563" i="8"/>
  <c r="D563" i="8"/>
  <c r="B564" i="8"/>
  <c r="D564" i="8"/>
  <c r="B565" i="8"/>
  <c r="D565" i="8"/>
  <c r="B566" i="8"/>
  <c r="D566" i="8"/>
  <c r="B567" i="8"/>
  <c r="D567" i="8"/>
  <c r="B568" i="8"/>
  <c r="D568" i="8"/>
  <c r="B569" i="8"/>
  <c r="D569" i="8"/>
  <c r="B570" i="8"/>
  <c r="D570" i="8"/>
  <c r="B571" i="8"/>
  <c r="D571" i="8"/>
  <c r="B572" i="8"/>
  <c r="D572" i="8"/>
  <c r="B573" i="8"/>
  <c r="D573" i="8"/>
  <c r="B574" i="8"/>
  <c r="D574" i="8"/>
  <c r="B575" i="8"/>
  <c r="D575" i="8"/>
  <c r="B576" i="8"/>
  <c r="D576" i="8"/>
  <c r="B577" i="8"/>
  <c r="D577" i="8"/>
  <c r="B578" i="8"/>
  <c r="D578" i="8"/>
  <c r="B579" i="8"/>
  <c r="D579" i="8"/>
  <c r="B580" i="8"/>
  <c r="D580" i="8"/>
  <c r="B581" i="8"/>
  <c r="D581" i="8"/>
  <c r="B582" i="8"/>
  <c r="D582" i="8"/>
  <c r="B583" i="8"/>
  <c r="D583" i="8"/>
  <c r="B584" i="8"/>
  <c r="D584" i="8"/>
  <c r="B585" i="8"/>
  <c r="D585" i="8"/>
  <c r="B586" i="8"/>
  <c r="D586" i="8"/>
  <c r="B587" i="8"/>
  <c r="D587" i="8"/>
  <c r="B588" i="8"/>
  <c r="D588" i="8"/>
  <c r="B589" i="8"/>
  <c r="D589" i="8"/>
  <c r="B590" i="8"/>
  <c r="D590" i="8"/>
  <c r="B591" i="8"/>
  <c r="D591" i="8"/>
  <c r="B592" i="8"/>
  <c r="D592" i="8"/>
  <c r="B593" i="8"/>
  <c r="D593" i="8"/>
  <c r="B594" i="8"/>
  <c r="D594" i="8"/>
  <c r="B595" i="8"/>
  <c r="D595" i="8"/>
  <c r="B596" i="8"/>
  <c r="D596" i="8"/>
  <c r="B597" i="8"/>
  <c r="D597" i="8"/>
  <c r="B598" i="8"/>
  <c r="D598" i="8"/>
  <c r="B599" i="8"/>
  <c r="D599" i="8"/>
  <c r="B600" i="8"/>
  <c r="D600" i="8"/>
  <c r="B601" i="8"/>
  <c r="D601" i="8"/>
  <c r="B602" i="8"/>
  <c r="D602" i="8"/>
  <c r="B603" i="8"/>
  <c r="D603" i="8"/>
  <c r="B604" i="8"/>
  <c r="D604" i="8"/>
  <c r="B605" i="8"/>
  <c r="D605" i="8"/>
  <c r="B606" i="8"/>
  <c r="D606" i="8"/>
  <c r="B607" i="8"/>
  <c r="D607" i="8"/>
  <c r="B608" i="8"/>
  <c r="D608" i="8"/>
  <c r="B609" i="8"/>
  <c r="D609" i="8"/>
  <c r="B610" i="8"/>
  <c r="D610" i="8"/>
  <c r="B611" i="8"/>
  <c r="D611" i="8"/>
  <c r="B612" i="8"/>
  <c r="D612" i="8"/>
  <c r="B613" i="8"/>
  <c r="D613" i="8"/>
  <c r="B614" i="8"/>
  <c r="D614" i="8"/>
  <c r="B615" i="8"/>
  <c r="D615" i="8"/>
  <c r="B616" i="8"/>
  <c r="D616" i="8"/>
  <c r="B617" i="8"/>
  <c r="D617" i="8"/>
  <c r="B618" i="8"/>
  <c r="D618" i="8"/>
  <c r="B619" i="8"/>
  <c r="D619" i="8"/>
  <c r="B620" i="8"/>
  <c r="D620" i="8"/>
  <c r="B621" i="8"/>
  <c r="D621" i="8"/>
  <c r="B622" i="8"/>
  <c r="D622" i="8"/>
  <c r="B623" i="8"/>
  <c r="D623" i="8"/>
  <c r="B624" i="8"/>
  <c r="D624" i="8"/>
  <c r="B625" i="8"/>
  <c r="D625" i="8"/>
  <c r="B626" i="8"/>
  <c r="D626" i="8"/>
  <c r="B627" i="8"/>
  <c r="D627" i="8"/>
  <c r="B628" i="8"/>
  <c r="D628" i="8"/>
  <c r="B629" i="8"/>
  <c r="D629" i="8"/>
  <c r="B630" i="8"/>
  <c r="D630" i="8"/>
  <c r="B631" i="8"/>
  <c r="D631" i="8"/>
  <c r="B632" i="8"/>
  <c r="D632" i="8"/>
  <c r="B633" i="8"/>
  <c r="D633" i="8"/>
  <c r="B634" i="8"/>
  <c r="D634" i="8"/>
  <c r="B635" i="8"/>
  <c r="D635" i="8"/>
  <c r="B636" i="8"/>
  <c r="D636" i="8"/>
  <c r="B637" i="8"/>
  <c r="D637" i="8"/>
  <c r="B638" i="8"/>
  <c r="D638" i="8"/>
  <c r="B639" i="8"/>
  <c r="D639" i="8"/>
  <c r="B640" i="8"/>
  <c r="D640" i="8"/>
  <c r="B641" i="8"/>
  <c r="D641" i="8"/>
  <c r="B642" i="8"/>
  <c r="D642" i="8"/>
  <c r="B643" i="8"/>
  <c r="D643" i="8"/>
  <c r="B644" i="8"/>
  <c r="D644" i="8"/>
  <c r="B645" i="8"/>
  <c r="D645" i="8"/>
  <c r="B646" i="8"/>
  <c r="D646" i="8"/>
  <c r="B647" i="8"/>
  <c r="D647" i="8"/>
  <c r="B648" i="8"/>
  <c r="D648" i="8"/>
  <c r="B649" i="8"/>
  <c r="D649" i="8"/>
  <c r="B650" i="8"/>
  <c r="D650" i="8"/>
  <c r="B651" i="8"/>
  <c r="D651" i="8"/>
  <c r="B652" i="8"/>
  <c r="D652" i="8"/>
  <c r="B653" i="8"/>
  <c r="D653" i="8"/>
  <c r="B654" i="8"/>
  <c r="D654" i="8"/>
  <c r="B655" i="8"/>
  <c r="D655" i="8"/>
  <c r="B656" i="8"/>
  <c r="D656" i="8"/>
  <c r="B657" i="8"/>
  <c r="D657" i="8"/>
  <c r="B658" i="8"/>
  <c r="D658" i="8"/>
  <c r="B659" i="8"/>
  <c r="D659" i="8"/>
  <c r="B660" i="8"/>
  <c r="D660" i="8"/>
  <c r="B661" i="8"/>
  <c r="D661" i="8"/>
  <c r="B662" i="8"/>
  <c r="D662" i="8"/>
  <c r="B663" i="8"/>
  <c r="D663" i="8"/>
  <c r="B664" i="8"/>
  <c r="D664" i="8"/>
  <c r="B665" i="8"/>
  <c r="D665" i="8"/>
  <c r="B666" i="8"/>
  <c r="D666" i="8"/>
  <c r="B667" i="8"/>
  <c r="D667" i="8"/>
  <c r="B668" i="8"/>
  <c r="D668" i="8"/>
  <c r="B669" i="8"/>
  <c r="D669" i="8"/>
  <c r="B670" i="8"/>
  <c r="D670" i="8"/>
  <c r="B671" i="8"/>
  <c r="D671" i="8"/>
  <c r="B672" i="8"/>
  <c r="D672" i="8"/>
  <c r="B673" i="8"/>
  <c r="D673" i="8"/>
  <c r="B674" i="8"/>
  <c r="D674" i="8"/>
  <c r="B675" i="8"/>
  <c r="D675" i="8"/>
  <c r="B676" i="8"/>
  <c r="D676" i="8"/>
  <c r="B677" i="8"/>
  <c r="D677" i="8"/>
  <c r="B678" i="8"/>
  <c r="D678" i="8"/>
  <c r="B679" i="8"/>
  <c r="D679" i="8"/>
  <c r="B680" i="8"/>
  <c r="D680" i="8"/>
  <c r="B681" i="8"/>
  <c r="D681" i="8"/>
  <c r="B682" i="8"/>
  <c r="D682" i="8"/>
  <c r="B683" i="8"/>
  <c r="D683" i="8"/>
  <c r="B684" i="8"/>
  <c r="D684" i="8"/>
  <c r="B685" i="8"/>
  <c r="D685" i="8"/>
  <c r="B686" i="8"/>
  <c r="D686" i="8"/>
  <c r="B687" i="8"/>
  <c r="D687" i="8"/>
  <c r="B688" i="8"/>
  <c r="D688" i="8"/>
  <c r="B689" i="8"/>
  <c r="D689" i="8"/>
  <c r="B690" i="8"/>
  <c r="D690" i="8"/>
  <c r="B691" i="8"/>
  <c r="D691" i="8"/>
  <c r="B692" i="8"/>
  <c r="D692" i="8"/>
  <c r="B693" i="8"/>
  <c r="D693" i="8"/>
  <c r="B694" i="8"/>
  <c r="D694" i="8"/>
  <c r="B695" i="8"/>
  <c r="D695" i="8"/>
  <c r="B696" i="8"/>
  <c r="D696" i="8"/>
  <c r="B697" i="8"/>
  <c r="D697" i="8"/>
  <c r="B698" i="8"/>
  <c r="D698" i="8"/>
  <c r="B699" i="8"/>
  <c r="D699" i="8"/>
  <c r="B700" i="8"/>
  <c r="D700" i="8"/>
  <c r="B701" i="8"/>
  <c r="D701" i="8"/>
  <c r="B702" i="8"/>
  <c r="D702" i="8"/>
  <c r="B703" i="8"/>
  <c r="D703" i="8"/>
  <c r="B704" i="8"/>
  <c r="D704" i="8"/>
  <c r="B705" i="8"/>
  <c r="D705" i="8"/>
  <c r="B706" i="8"/>
  <c r="D706" i="8"/>
  <c r="B707" i="8"/>
  <c r="D707" i="8"/>
  <c r="B708" i="8"/>
  <c r="D708" i="8"/>
  <c r="B709" i="8"/>
  <c r="D709" i="8"/>
  <c r="B710" i="8"/>
  <c r="D710" i="8"/>
  <c r="B711" i="8"/>
  <c r="D711" i="8"/>
  <c r="B712" i="8"/>
  <c r="D712" i="8"/>
  <c r="B713" i="8"/>
  <c r="D713" i="8"/>
  <c r="B714" i="8"/>
  <c r="D714" i="8"/>
  <c r="B715" i="8"/>
  <c r="D715" i="8"/>
  <c r="B716" i="8"/>
  <c r="D716" i="8"/>
  <c r="B717" i="8"/>
  <c r="D717" i="8"/>
  <c r="B718" i="8"/>
  <c r="D718" i="8"/>
  <c r="B719" i="8"/>
  <c r="D719" i="8"/>
  <c r="B720" i="8"/>
  <c r="D720" i="8"/>
  <c r="B721" i="8"/>
  <c r="D721" i="8"/>
  <c r="B722" i="8"/>
  <c r="D722" i="8"/>
  <c r="B723" i="8"/>
  <c r="D723" i="8"/>
  <c r="B724" i="8"/>
  <c r="D724" i="8"/>
  <c r="B725" i="8"/>
  <c r="D725" i="8"/>
  <c r="B726" i="8"/>
  <c r="D726" i="8"/>
  <c r="B727" i="8"/>
  <c r="D727" i="8"/>
  <c r="B728" i="8"/>
  <c r="D728" i="8"/>
  <c r="B729" i="8"/>
  <c r="D729" i="8"/>
  <c r="B730" i="8"/>
  <c r="D730" i="8"/>
  <c r="B731" i="8"/>
  <c r="D731" i="8"/>
  <c r="B732" i="8"/>
  <c r="D732" i="8"/>
  <c r="B733" i="8"/>
  <c r="D733" i="8"/>
  <c r="B734" i="8"/>
  <c r="D734" i="8"/>
  <c r="B735" i="8"/>
  <c r="D735" i="8"/>
  <c r="B736" i="8"/>
  <c r="D736" i="8"/>
  <c r="B737" i="8"/>
  <c r="D737" i="8"/>
  <c r="B738" i="8"/>
  <c r="D738" i="8"/>
  <c r="B739" i="8"/>
  <c r="D739" i="8"/>
  <c r="B740" i="8"/>
  <c r="D740" i="8"/>
  <c r="B741" i="8"/>
  <c r="D741" i="8"/>
  <c r="B742" i="8"/>
  <c r="D742" i="8"/>
  <c r="B743" i="8"/>
  <c r="D743" i="8"/>
  <c r="B744" i="8"/>
  <c r="D744" i="8"/>
  <c r="B745" i="8"/>
  <c r="D745" i="8"/>
  <c r="B746" i="8"/>
  <c r="D746" i="8"/>
  <c r="B747" i="8"/>
  <c r="D747" i="8"/>
  <c r="B748" i="8"/>
  <c r="D748" i="8"/>
  <c r="B749" i="8"/>
  <c r="D749" i="8"/>
  <c r="B750" i="8"/>
  <c r="D750" i="8"/>
  <c r="B751" i="8"/>
  <c r="D751" i="8"/>
  <c r="B752" i="8"/>
  <c r="D752" i="8"/>
  <c r="B753" i="8"/>
  <c r="D753" i="8"/>
  <c r="B754" i="8"/>
  <c r="D754" i="8"/>
  <c r="B755" i="8"/>
  <c r="D755" i="8"/>
  <c r="B756" i="8"/>
  <c r="D756" i="8"/>
  <c r="B757" i="8"/>
  <c r="D757" i="8"/>
  <c r="B758" i="8"/>
  <c r="D758" i="8"/>
  <c r="B759" i="8"/>
  <c r="D759" i="8"/>
  <c r="B760" i="8"/>
  <c r="D760" i="8"/>
  <c r="B761" i="8"/>
  <c r="D761" i="8"/>
  <c r="B762" i="8"/>
  <c r="D762" i="8"/>
  <c r="B763" i="8"/>
  <c r="D763" i="8"/>
  <c r="B764" i="8"/>
  <c r="D764" i="8"/>
  <c r="B765" i="8"/>
  <c r="D765" i="8"/>
  <c r="B766" i="8"/>
  <c r="D766" i="8"/>
  <c r="B767" i="8"/>
  <c r="D767" i="8"/>
  <c r="B768" i="8"/>
  <c r="D768" i="8"/>
  <c r="B769" i="8"/>
  <c r="D769" i="8"/>
  <c r="B770" i="8"/>
  <c r="D770" i="8"/>
  <c r="B771" i="8"/>
  <c r="D771" i="8"/>
  <c r="B772" i="8"/>
  <c r="D772" i="8"/>
  <c r="B773" i="8"/>
  <c r="D773" i="8"/>
  <c r="B774" i="8"/>
  <c r="D774" i="8"/>
  <c r="B775" i="8"/>
  <c r="D775" i="8"/>
  <c r="B776" i="8"/>
  <c r="D776" i="8"/>
  <c r="B777" i="8"/>
  <c r="D777" i="8"/>
  <c r="B778" i="8"/>
  <c r="D778" i="8"/>
  <c r="B779" i="8"/>
  <c r="D779" i="8"/>
  <c r="B780" i="8"/>
  <c r="D780" i="8"/>
  <c r="B781" i="8"/>
  <c r="D781" i="8"/>
  <c r="B782" i="8"/>
  <c r="D782" i="8"/>
  <c r="B783" i="8"/>
  <c r="D783" i="8"/>
  <c r="B784" i="8"/>
  <c r="D784" i="8"/>
  <c r="B785" i="8"/>
  <c r="D785" i="8"/>
  <c r="B786" i="8"/>
  <c r="D786" i="8"/>
  <c r="B787" i="8"/>
  <c r="D787" i="8"/>
  <c r="B788" i="8"/>
  <c r="D788" i="8"/>
  <c r="B789" i="8"/>
  <c r="D789" i="8"/>
  <c r="B790" i="8"/>
  <c r="D790" i="8"/>
  <c r="B791" i="8"/>
  <c r="D791" i="8"/>
  <c r="B792" i="8"/>
  <c r="D792" i="8"/>
  <c r="B793" i="8"/>
  <c r="D793" i="8"/>
  <c r="B794" i="8"/>
  <c r="D794" i="8"/>
  <c r="B795" i="8"/>
  <c r="D795" i="8"/>
  <c r="B796" i="8"/>
  <c r="D796" i="8"/>
  <c r="B797" i="8"/>
  <c r="D797" i="8"/>
  <c r="B798" i="8"/>
  <c r="D798" i="8"/>
  <c r="B799" i="8"/>
  <c r="D799" i="8"/>
  <c r="B800" i="8"/>
  <c r="D800" i="8"/>
  <c r="B801" i="8"/>
  <c r="D801" i="8"/>
  <c r="B802" i="8"/>
  <c r="D802" i="8"/>
  <c r="B803" i="8"/>
  <c r="D803" i="8"/>
  <c r="B804" i="8"/>
  <c r="D804" i="8"/>
  <c r="B805" i="8"/>
  <c r="D805" i="8"/>
  <c r="B806" i="8"/>
  <c r="D806" i="8"/>
  <c r="B807" i="8"/>
  <c r="D807" i="8"/>
  <c r="B808" i="8"/>
  <c r="D808" i="8"/>
  <c r="B809" i="8"/>
  <c r="D809" i="8"/>
  <c r="B810" i="8"/>
  <c r="D810" i="8"/>
  <c r="B811" i="8"/>
  <c r="D811" i="8"/>
  <c r="B812" i="8"/>
  <c r="D812" i="8"/>
  <c r="B813" i="8"/>
  <c r="D813" i="8"/>
  <c r="B814" i="8"/>
  <c r="D814" i="8"/>
  <c r="B815" i="8"/>
  <c r="D815" i="8"/>
  <c r="B816" i="8"/>
  <c r="D816" i="8"/>
  <c r="B817" i="8"/>
  <c r="D817" i="8"/>
  <c r="B818" i="8"/>
  <c r="D818" i="8"/>
  <c r="B819" i="8"/>
  <c r="D819" i="8"/>
  <c r="B820" i="8"/>
  <c r="D820" i="8"/>
  <c r="B821" i="8"/>
  <c r="D821" i="8"/>
  <c r="B822" i="8"/>
  <c r="D822" i="8"/>
  <c r="B823" i="8"/>
  <c r="D823" i="8"/>
  <c r="B824" i="8"/>
  <c r="D824" i="8"/>
  <c r="B825" i="8"/>
  <c r="D825" i="8"/>
  <c r="B826" i="8"/>
  <c r="D826" i="8"/>
  <c r="B827" i="8"/>
  <c r="D827" i="8"/>
  <c r="B828" i="8"/>
  <c r="D828" i="8"/>
  <c r="B829" i="8"/>
  <c r="D829" i="8"/>
  <c r="B830" i="8"/>
  <c r="D830" i="8"/>
  <c r="B831" i="8"/>
  <c r="D831" i="8"/>
  <c r="B832" i="8"/>
  <c r="D832" i="8"/>
  <c r="B833" i="8"/>
  <c r="D833" i="8"/>
  <c r="B834" i="8"/>
  <c r="D834" i="8"/>
  <c r="B835" i="8"/>
  <c r="D835" i="8"/>
  <c r="B836" i="8"/>
  <c r="D836" i="8"/>
  <c r="B837" i="8"/>
  <c r="D837" i="8"/>
  <c r="B838" i="8"/>
  <c r="D838" i="8"/>
  <c r="B839" i="8"/>
  <c r="D839" i="8"/>
  <c r="B840" i="8"/>
  <c r="D840" i="8"/>
  <c r="B841" i="8"/>
  <c r="D841" i="8"/>
  <c r="B842" i="8"/>
  <c r="D842" i="8"/>
  <c r="B843" i="8"/>
  <c r="D843" i="8"/>
  <c r="B844" i="8"/>
  <c r="D844" i="8"/>
  <c r="B845" i="8"/>
  <c r="D845" i="8"/>
  <c r="B846" i="8"/>
  <c r="D846" i="8"/>
  <c r="B847" i="8"/>
  <c r="D847" i="8"/>
  <c r="B848" i="8"/>
  <c r="D848" i="8"/>
  <c r="B849" i="8"/>
  <c r="D849" i="8"/>
  <c r="B850" i="8"/>
  <c r="D850" i="8"/>
  <c r="B851" i="8"/>
  <c r="D851" i="8"/>
  <c r="B852" i="8"/>
  <c r="D852" i="8"/>
  <c r="B853" i="8"/>
  <c r="D853" i="8"/>
  <c r="B854" i="8"/>
  <c r="D854" i="8"/>
  <c r="B855" i="8"/>
  <c r="D855" i="8"/>
  <c r="B856" i="8"/>
  <c r="D856" i="8"/>
  <c r="B857" i="8"/>
  <c r="D857" i="8"/>
  <c r="B858" i="8"/>
  <c r="D858" i="8"/>
  <c r="B859" i="8"/>
  <c r="D859" i="8"/>
  <c r="B860" i="8"/>
  <c r="D860" i="8"/>
  <c r="B861" i="8"/>
  <c r="D861" i="8"/>
  <c r="B862" i="8"/>
  <c r="D862" i="8"/>
  <c r="B863" i="8"/>
  <c r="D863" i="8"/>
  <c r="B864" i="8"/>
  <c r="D864" i="8"/>
  <c r="B865" i="8"/>
  <c r="D865" i="8"/>
  <c r="B866" i="8"/>
  <c r="D866" i="8"/>
  <c r="B867" i="8"/>
  <c r="D867" i="8"/>
  <c r="B868" i="8"/>
  <c r="D868" i="8"/>
  <c r="B869" i="8"/>
  <c r="D869" i="8"/>
  <c r="B870" i="8"/>
  <c r="D870" i="8"/>
  <c r="B871" i="8"/>
  <c r="D871" i="8"/>
  <c r="B872" i="8"/>
  <c r="D872" i="8"/>
  <c r="B873" i="8"/>
  <c r="D873" i="8"/>
  <c r="B874" i="8"/>
  <c r="D874" i="8"/>
  <c r="B875" i="8"/>
  <c r="D875" i="8"/>
  <c r="B876" i="8"/>
  <c r="D876" i="8"/>
  <c r="B877" i="8"/>
  <c r="D877" i="8"/>
  <c r="B878" i="8"/>
  <c r="D878" i="8"/>
  <c r="B879" i="8"/>
  <c r="D879" i="8"/>
  <c r="B880" i="8"/>
  <c r="D880" i="8"/>
  <c r="B881" i="8"/>
  <c r="D881" i="8"/>
  <c r="B882" i="8"/>
  <c r="D882" i="8"/>
  <c r="B883" i="8"/>
  <c r="D883" i="8"/>
  <c r="B884" i="8"/>
  <c r="D884" i="8"/>
  <c r="B885" i="8"/>
  <c r="D885" i="8"/>
  <c r="B886" i="8"/>
  <c r="D886" i="8"/>
  <c r="B887" i="8"/>
  <c r="D887" i="8"/>
  <c r="B888" i="8"/>
  <c r="D888" i="8"/>
  <c r="B889" i="8"/>
  <c r="D889" i="8"/>
  <c r="B890" i="8"/>
  <c r="D890" i="8"/>
  <c r="B891" i="8"/>
  <c r="D891" i="8"/>
  <c r="B892" i="8"/>
  <c r="D892" i="8"/>
  <c r="B893" i="8"/>
  <c r="D893" i="8"/>
  <c r="B894" i="8"/>
  <c r="D894" i="8"/>
  <c r="B895" i="8"/>
  <c r="D895" i="8"/>
  <c r="B896" i="8"/>
  <c r="D896" i="8"/>
  <c r="B897" i="8"/>
  <c r="D897" i="8"/>
  <c r="B898" i="8"/>
  <c r="D898" i="8"/>
  <c r="B899" i="8"/>
  <c r="D899" i="8"/>
  <c r="B900" i="8"/>
  <c r="D900" i="8"/>
  <c r="B901" i="8"/>
  <c r="D901" i="8"/>
  <c r="B902" i="8"/>
  <c r="D902" i="8"/>
  <c r="B903" i="8"/>
  <c r="D903" i="8"/>
  <c r="B904" i="8"/>
  <c r="D904" i="8"/>
  <c r="B905" i="8"/>
  <c r="D905" i="8"/>
  <c r="B906" i="8"/>
  <c r="D906" i="8"/>
  <c r="B907" i="8"/>
  <c r="D907" i="8"/>
  <c r="B908" i="8"/>
  <c r="D908" i="8"/>
  <c r="B909" i="8"/>
  <c r="D909" i="8"/>
  <c r="B910" i="8"/>
  <c r="D910" i="8"/>
  <c r="B911" i="8"/>
  <c r="D911" i="8"/>
  <c r="B912" i="8"/>
  <c r="D912" i="8"/>
  <c r="B913" i="8"/>
  <c r="D913" i="8"/>
  <c r="B914" i="8"/>
  <c r="D914" i="8"/>
  <c r="B915" i="8"/>
  <c r="D915" i="8"/>
  <c r="B916" i="8"/>
  <c r="D916" i="8"/>
  <c r="B917" i="8"/>
  <c r="D917" i="8"/>
  <c r="B918" i="8"/>
  <c r="D918" i="8"/>
  <c r="B919" i="8"/>
  <c r="D919" i="8"/>
  <c r="B920" i="8"/>
  <c r="D920" i="8"/>
  <c r="B921" i="8"/>
  <c r="D921" i="8"/>
  <c r="B922" i="8"/>
  <c r="D922" i="8"/>
  <c r="B923" i="8"/>
  <c r="D923" i="8"/>
  <c r="B924" i="8"/>
  <c r="D924" i="8"/>
  <c r="B925" i="8"/>
  <c r="D925" i="8"/>
  <c r="B926" i="8"/>
  <c r="D926" i="8"/>
  <c r="B927" i="8"/>
  <c r="D927" i="8"/>
  <c r="B928" i="8"/>
  <c r="D928" i="8"/>
  <c r="B929" i="8"/>
  <c r="D929" i="8"/>
  <c r="B930" i="8"/>
  <c r="D930" i="8"/>
  <c r="B931" i="8"/>
  <c r="D931" i="8"/>
  <c r="B932" i="8"/>
  <c r="D932" i="8"/>
  <c r="B933" i="8"/>
  <c r="D933" i="8"/>
  <c r="B934" i="8"/>
  <c r="D934" i="8"/>
  <c r="B935" i="8"/>
  <c r="D935" i="8"/>
  <c r="B936" i="8"/>
  <c r="D936" i="8"/>
  <c r="B937" i="8"/>
  <c r="D937" i="8"/>
  <c r="B938" i="8"/>
  <c r="D938" i="8"/>
  <c r="B939" i="8"/>
  <c r="D939" i="8"/>
  <c r="B940" i="8"/>
  <c r="D940" i="8"/>
  <c r="B941" i="8"/>
  <c r="D941" i="8"/>
  <c r="B942" i="8"/>
  <c r="D942" i="8"/>
  <c r="B943" i="8"/>
  <c r="D943" i="8"/>
  <c r="B944" i="8"/>
  <c r="D944" i="8"/>
  <c r="B945" i="8"/>
  <c r="D945" i="8"/>
  <c r="B946" i="8"/>
  <c r="D946" i="8"/>
  <c r="B947" i="8"/>
  <c r="D947" i="8"/>
  <c r="B948" i="8"/>
  <c r="D948" i="8"/>
  <c r="B949" i="8"/>
  <c r="D949" i="8"/>
  <c r="B950" i="8"/>
  <c r="D950" i="8"/>
  <c r="B951" i="8"/>
  <c r="D951" i="8"/>
  <c r="B952" i="8"/>
  <c r="D952" i="8"/>
  <c r="B953" i="8"/>
  <c r="D953" i="8"/>
  <c r="B954" i="8"/>
  <c r="D954" i="8"/>
  <c r="B955" i="8"/>
  <c r="D955" i="8"/>
  <c r="B956" i="8"/>
  <c r="D956" i="8"/>
  <c r="B957" i="8"/>
  <c r="D957" i="8"/>
  <c r="B958" i="8"/>
  <c r="D958" i="8"/>
  <c r="B959" i="8"/>
  <c r="D959" i="8"/>
  <c r="B960" i="8"/>
  <c r="D960" i="8"/>
  <c r="B961" i="8"/>
  <c r="D961" i="8"/>
  <c r="B962" i="8"/>
  <c r="D962" i="8"/>
  <c r="B963" i="8"/>
  <c r="D963" i="8"/>
  <c r="B964" i="8"/>
  <c r="D964" i="8"/>
  <c r="B965" i="8"/>
  <c r="D965" i="8"/>
  <c r="B966" i="8"/>
  <c r="D966" i="8"/>
  <c r="B967" i="8"/>
  <c r="D967" i="8"/>
  <c r="B968" i="8"/>
  <c r="D968" i="8"/>
  <c r="B969" i="8"/>
  <c r="D969" i="8"/>
  <c r="B970" i="8"/>
  <c r="D970" i="8"/>
  <c r="B971" i="8"/>
  <c r="D971" i="8"/>
  <c r="B972" i="8"/>
  <c r="D972" i="8"/>
  <c r="B973" i="8"/>
  <c r="D973" i="8"/>
  <c r="B974" i="8"/>
  <c r="D974" i="8"/>
  <c r="B975" i="8"/>
  <c r="D975" i="8"/>
  <c r="B976" i="8"/>
  <c r="D976" i="8"/>
  <c r="B977" i="8"/>
  <c r="D977" i="8"/>
  <c r="B978" i="8"/>
  <c r="D978" i="8"/>
  <c r="B979" i="8"/>
  <c r="D979" i="8"/>
  <c r="B980" i="8"/>
  <c r="D980" i="8"/>
  <c r="B981" i="8"/>
  <c r="D981" i="8"/>
  <c r="B982" i="8"/>
  <c r="D982" i="8"/>
  <c r="B983" i="8"/>
  <c r="D983" i="8"/>
  <c r="B984" i="8"/>
  <c r="D984" i="8"/>
  <c r="B985" i="8"/>
  <c r="D985" i="8"/>
  <c r="B986" i="8"/>
  <c r="D986" i="8"/>
  <c r="B987" i="8"/>
  <c r="D987" i="8"/>
  <c r="B988" i="8"/>
  <c r="D988" i="8"/>
  <c r="B989" i="8"/>
  <c r="D989" i="8"/>
  <c r="B990" i="8"/>
  <c r="D990" i="8"/>
  <c r="B991" i="8"/>
  <c r="D991" i="8"/>
  <c r="B992" i="8"/>
  <c r="D992" i="8"/>
  <c r="B993" i="8"/>
  <c r="D993" i="8"/>
  <c r="B994" i="8"/>
  <c r="D994" i="8"/>
  <c r="B995" i="8"/>
  <c r="D995" i="8"/>
  <c r="B996" i="8"/>
  <c r="D996" i="8"/>
  <c r="B997" i="8"/>
  <c r="D997" i="8"/>
  <c r="B998" i="8"/>
  <c r="D998" i="8"/>
  <c r="B999" i="8"/>
  <c r="D999" i="8"/>
  <c r="B1000" i="8"/>
  <c r="D1000" i="8"/>
  <c r="B1001" i="8"/>
  <c r="D1001" i="8"/>
  <c r="B1002" i="8"/>
  <c r="D1002" i="8"/>
  <c r="B1003" i="8"/>
  <c r="D1003" i="8"/>
  <c r="B1004" i="8"/>
  <c r="D1004" i="8"/>
  <c r="B1005" i="8"/>
  <c r="D1005" i="8"/>
  <c r="B1006" i="8"/>
  <c r="D1006" i="8"/>
  <c r="B1007" i="8"/>
  <c r="D1007" i="8"/>
  <c r="B1008" i="8"/>
  <c r="D1008" i="8"/>
  <c r="B1009" i="8"/>
  <c r="D1009" i="8"/>
  <c r="B1010" i="8"/>
  <c r="D1010" i="8"/>
  <c r="B1011" i="8"/>
  <c r="D1011" i="8"/>
  <c r="B1012" i="8"/>
  <c r="D1012" i="8"/>
  <c r="B1013" i="8"/>
  <c r="D1013" i="8"/>
  <c r="B1014" i="8"/>
  <c r="D1014" i="8"/>
  <c r="B1015" i="8"/>
  <c r="D1015" i="8"/>
  <c r="B1016" i="8"/>
  <c r="D1016" i="8"/>
  <c r="B1017" i="8"/>
  <c r="D1017" i="8"/>
  <c r="B1018" i="8"/>
  <c r="D1018" i="8"/>
  <c r="B1019" i="8"/>
  <c r="D1019" i="8"/>
  <c r="B1020" i="8"/>
  <c r="D1020" i="8"/>
  <c r="B1021" i="8"/>
  <c r="D1021" i="8"/>
  <c r="B1022" i="8"/>
  <c r="D1022" i="8"/>
  <c r="B1023" i="8"/>
  <c r="D1023" i="8"/>
  <c r="B1024" i="8"/>
  <c r="D1024" i="8"/>
  <c r="B1025" i="8"/>
  <c r="D1025" i="8"/>
  <c r="B1026" i="8"/>
  <c r="D1026" i="8"/>
  <c r="B1027" i="8"/>
  <c r="D1027" i="8"/>
  <c r="B1028" i="8"/>
  <c r="D1028" i="8"/>
  <c r="B1029" i="8"/>
  <c r="D1029" i="8"/>
  <c r="B1030" i="8"/>
  <c r="D1030" i="8"/>
  <c r="B1031" i="8"/>
  <c r="D1031" i="8"/>
  <c r="B1032" i="8"/>
  <c r="D1032" i="8"/>
  <c r="B1033" i="8"/>
  <c r="D1033" i="8"/>
  <c r="B1034" i="8"/>
  <c r="D1034" i="8"/>
  <c r="B1035" i="8"/>
  <c r="D1035" i="8"/>
  <c r="B1036" i="8"/>
  <c r="D1036" i="8"/>
  <c r="B1037" i="8"/>
  <c r="D1037" i="8"/>
  <c r="B1038" i="8"/>
  <c r="D1038" i="8"/>
  <c r="B1039" i="8"/>
  <c r="D1039" i="8"/>
  <c r="B1040" i="8"/>
  <c r="D1040" i="8"/>
  <c r="B1041" i="8"/>
  <c r="D1041" i="8"/>
  <c r="B1042" i="8"/>
  <c r="D1042" i="8"/>
  <c r="B1043" i="8"/>
  <c r="D1043" i="8"/>
  <c r="B1044" i="8"/>
  <c r="D1044" i="8"/>
  <c r="B1045" i="8"/>
  <c r="D1045" i="8"/>
  <c r="B1046" i="8"/>
  <c r="D1046" i="8"/>
  <c r="B1047" i="8"/>
  <c r="D1047" i="8"/>
  <c r="B1048" i="8"/>
  <c r="D1048" i="8"/>
  <c r="B1049" i="8"/>
  <c r="D1049" i="8"/>
  <c r="B1050" i="8"/>
  <c r="D1050" i="8"/>
  <c r="B1051" i="8"/>
  <c r="D1051" i="8"/>
  <c r="B1052" i="8"/>
  <c r="D1052" i="8"/>
  <c r="B1053" i="8"/>
  <c r="D1053" i="8"/>
  <c r="B1054" i="8"/>
  <c r="D1054" i="8"/>
  <c r="B1055" i="8"/>
  <c r="D1055" i="8"/>
  <c r="B1056" i="8"/>
  <c r="D1056" i="8"/>
  <c r="B1057" i="8"/>
  <c r="D1057" i="8"/>
  <c r="B1058" i="8"/>
  <c r="D1058" i="8"/>
  <c r="B1059" i="8"/>
  <c r="D1059" i="8"/>
  <c r="B1060" i="8"/>
  <c r="D1060" i="8"/>
  <c r="B1061" i="8"/>
  <c r="D1061" i="8"/>
  <c r="B1062" i="8"/>
  <c r="D1062" i="8"/>
  <c r="B1063" i="8"/>
  <c r="D1063" i="8"/>
  <c r="B1064" i="8"/>
  <c r="D1064" i="8"/>
  <c r="B1065" i="8"/>
  <c r="D1065" i="8"/>
  <c r="B1066" i="8"/>
  <c r="D1066" i="8"/>
  <c r="B1067" i="8"/>
  <c r="D1067" i="8"/>
  <c r="B1068" i="8"/>
  <c r="D1068" i="8"/>
  <c r="B1069" i="8"/>
  <c r="D1069" i="8"/>
  <c r="B1070" i="8"/>
  <c r="D1070" i="8"/>
  <c r="B1071" i="8"/>
  <c r="D1071" i="8"/>
  <c r="B1072" i="8"/>
  <c r="D1072" i="8"/>
  <c r="B1073" i="8"/>
  <c r="D1073" i="8"/>
  <c r="B1074" i="8"/>
  <c r="D1074" i="8"/>
  <c r="B1075" i="8"/>
  <c r="D1075" i="8"/>
  <c r="B1076" i="8"/>
  <c r="D1076" i="8"/>
  <c r="B1077" i="8"/>
  <c r="D1077" i="8"/>
  <c r="B1078" i="8"/>
  <c r="D1078" i="8"/>
  <c r="B1079" i="8"/>
  <c r="D1079" i="8"/>
  <c r="B1080" i="8"/>
  <c r="D1080" i="8"/>
  <c r="B1081" i="8"/>
  <c r="D1081" i="8"/>
  <c r="B1082" i="8"/>
  <c r="D1082" i="8"/>
  <c r="B1083" i="8"/>
  <c r="D1083" i="8"/>
  <c r="B1084" i="8"/>
  <c r="D1084" i="8"/>
  <c r="B1085" i="8"/>
  <c r="D1085" i="8"/>
  <c r="B1086" i="8"/>
  <c r="D1086" i="8"/>
  <c r="B1087" i="8"/>
  <c r="D1087" i="8"/>
  <c r="B1088" i="8"/>
  <c r="D1088" i="8"/>
  <c r="B1089" i="8"/>
  <c r="D1089" i="8"/>
  <c r="B1090" i="8"/>
  <c r="D1090" i="8"/>
  <c r="B1091" i="8"/>
  <c r="D1091" i="8"/>
  <c r="B1092" i="8"/>
  <c r="D1092" i="8"/>
  <c r="B1093" i="8"/>
  <c r="D1093" i="8"/>
  <c r="B1094" i="8"/>
  <c r="D1094" i="8"/>
  <c r="B1095" i="8"/>
  <c r="D1095" i="8"/>
  <c r="B1096" i="8"/>
  <c r="D1096" i="8"/>
  <c r="B1097" i="8"/>
  <c r="D1097" i="8"/>
  <c r="B1098" i="8"/>
  <c r="D1098" i="8"/>
  <c r="B1099" i="8"/>
  <c r="D1099" i="8"/>
  <c r="B1100" i="8"/>
  <c r="D1100" i="8"/>
  <c r="B1101" i="8"/>
  <c r="D1101" i="8"/>
  <c r="B1102" i="8"/>
  <c r="D1102" i="8"/>
  <c r="B1103" i="8"/>
  <c r="D1103" i="8"/>
  <c r="B1104" i="8"/>
  <c r="D1104" i="8"/>
  <c r="B1105" i="8"/>
  <c r="D1105" i="8"/>
  <c r="B1106" i="8"/>
  <c r="D1106" i="8"/>
  <c r="B1107" i="8"/>
  <c r="D1107" i="8"/>
  <c r="B1108" i="8"/>
  <c r="D1108" i="8"/>
  <c r="B1109" i="8"/>
  <c r="D1109" i="8"/>
  <c r="B1110" i="8"/>
  <c r="D1110" i="8"/>
  <c r="B1111" i="8"/>
  <c r="D1111" i="8"/>
  <c r="B1112" i="8"/>
  <c r="D1112" i="8"/>
  <c r="B1113" i="8"/>
  <c r="D1113" i="8"/>
  <c r="B1114" i="8"/>
  <c r="D1114" i="8"/>
  <c r="B1115" i="8"/>
  <c r="D1115" i="8"/>
  <c r="B1116" i="8"/>
  <c r="D1116" i="8"/>
  <c r="B1117" i="8"/>
  <c r="D1117" i="8"/>
  <c r="B1118" i="8"/>
  <c r="D1118" i="8"/>
  <c r="B1119" i="8"/>
  <c r="D1119" i="8"/>
  <c r="B1120" i="8"/>
  <c r="D1120" i="8"/>
  <c r="B1121" i="8"/>
  <c r="D1121" i="8"/>
  <c r="B1122" i="8"/>
  <c r="D1122" i="8"/>
  <c r="B1123" i="8"/>
  <c r="D1123" i="8"/>
  <c r="B1124" i="8"/>
  <c r="D1124" i="8"/>
  <c r="B1125" i="8"/>
  <c r="D1125" i="8"/>
  <c r="B1126" i="8"/>
  <c r="D1126" i="8"/>
  <c r="B1127" i="8"/>
  <c r="D1127" i="8"/>
  <c r="B1128" i="8"/>
  <c r="D1128" i="8"/>
  <c r="B1129" i="8"/>
  <c r="D1129" i="8"/>
  <c r="B1130" i="8"/>
  <c r="D1130" i="8"/>
  <c r="B1131" i="8"/>
  <c r="D1131" i="8"/>
  <c r="B1132" i="8"/>
  <c r="D1132" i="8"/>
  <c r="B1133" i="8"/>
  <c r="D1133" i="8"/>
  <c r="B1134" i="8"/>
  <c r="D1134" i="8"/>
  <c r="B1135" i="8"/>
  <c r="D1135" i="8"/>
  <c r="B1136" i="8"/>
  <c r="D1136" i="8"/>
  <c r="B1137" i="8"/>
  <c r="D1137" i="8"/>
  <c r="B1138" i="8"/>
  <c r="D1138" i="8"/>
  <c r="B1139" i="8"/>
  <c r="D1139" i="8"/>
  <c r="B1140" i="8"/>
  <c r="D1140" i="8"/>
  <c r="B1141" i="8"/>
  <c r="D1141" i="8"/>
  <c r="B1142" i="8"/>
  <c r="D1142" i="8"/>
  <c r="B1143" i="8"/>
  <c r="D1143" i="8"/>
  <c r="B1144" i="8"/>
  <c r="D1144" i="8"/>
  <c r="B1145" i="8"/>
  <c r="D1145" i="8"/>
  <c r="B1146" i="8"/>
  <c r="D1146" i="8"/>
  <c r="B1147" i="8"/>
  <c r="D1147" i="8"/>
  <c r="B1148" i="8"/>
  <c r="D1148" i="8"/>
  <c r="B1149" i="8"/>
  <c r="D1149" i="8"/>
  <c r="B1150" i="8"/>
  <c r="D1150" i="8"/>
  <c r="B1151" i="8"/>
  <c r="D1151" i="8"/>
  <c r="B1152" i="8"/>
  <c r="D1152" i="8"/>
  <c r="B1153" i="8"/>
  <c r="D1153" i="8"/>
  <c r="B1154" i="8"/>
  <c r="D1154" i="8"/>
  <c r="B1155" i="8"/>
  <c r="D1155" i="8"/>
  <c r="B1156" i="8"/>
  <c r="D1156" i="8"/>
  <c r="B1157" i="8"/>
  <c r="D1157" i="8"/>
  <c r="B1158" i="8"/>
  <c r="D1158" i="8"/>
  <c r="B1159" i="8"/>
  <c r="D1159" i="8"/>
  <c r="B1160" i="8"/>
  <c r="D1160" i="8"/>
  <c r="B1161" i="8"/>
  <c r="D1161" i="8"/>
  <c r="B1162" i="8"/>
  <c r="D1162" i="8"/>
  <c r="B1163" i="8"/>
  <c r="D1163" i="8"/>
  <c r="B1164" i="8"/>
  <c r="D1164" i="8"/>
  <c r="B1165" i="8"/>
  <c r="D1165" i="8"/>
  <c r="B1166" i="8"/>
  <c r="D1166" i="8"/>
  <c r="B1167" i="8"/>
  <c r="D1167" i="8"/>
  <c r="B1168" i="8"/>
  <c r="D1168" i="8"/>
  <c r="B1169" i="8"/>
  <c r="D1169" i="8"/>
  <c r="B1170" i="8"/>
  <c r="D1170" i="8"/>
  <c r="B1171" i="8"/>
  <c r="D1171" i="8"/>
  <c r="B1172" i="8"/>
  <c r="D1172" i="8"/>
  <c r="B1173" i="8"/>
  <c r="D1173" i="8"/>
  <c r="B1174" i="8"/>
  <c r="D1174" i="8"/>
  <c r="B1175" i="8"/>
  <c r="D1175" i="8"/>
  <c r="B1176" i="8"/>
  <c r="D1176" i="8"/>
  <c r="B1177" i="8"/>
  <c r="D1177" i="8"/>
  <c r="B1178" i="8"/>
  <c r="D1178" i="8"/>
  <c r="B1179" i="8"/>
  <c r="D1179" i="8"/>
  <c r="B1180" i="8"/>
  <c r="D1180" i="8"/>
  <c r="B1181" i="8"/>
  <c r="D1181" i="8"/>
  <c r="B1182" i="8"/>
  <c r="D1182" i="8"/>
  <c r="B1183" i="8"/>
  <c r="D1183" i="8"/>
  <c r="B1184" i="8"/>
  <c r="D1184" i="8"/>
  <c r="B1185" i="8"/>
  <c r="D1185" i="8"/>
  <c r="B1186" i="8"/>
  <c r="D1186" i="8"/>
  <c r="B1187" i="8"/>
  <c r="D1187" i="8"/>
  <c r="B1188" i="8"/>
  <c r="D1188" i="8"/>
  <c r="B1189" i="8"/>
  <c r="D1189" i="8"/>
  <c r="B1190" i="8"/>
  <c r="D1190" i="8"/>
  <c r="B1191" i="8"/>
  <c r="D1191" i="8"/>
  <c r="B1192" i="8"/>
  <c r="D1192" i="8"/>
  <c r="B1193" i="8"/>
  <c r="D1193" i="8"/>
  <c r="B1194" i="8"/>
  <c r="D1194" i="8"/>
  <c r="B1195" i="8"/>
  <c r="D1195" i="8"/>
  <c r="B1196" i="8"/>
  <c r="D1196" i="8"/>
  <c r="B1197" i="8"/>
  <c r="D1197" i="8"/>
  <c r="B1198" i="8"/>
  <c r="D1198" i="8"/>
  <c r="B1199" i="8"/>
  <c r="D1199" i="8"/>
  <c r="B1200" i="8"/>
  <c r="D1200" i="8"/>
  <c r="B1201" i="8"/>
  <c r="D1201" i="8"/>
  <c r="B1202" i="8"/>
  <c r="D1202" i="8"/>
  <c r="B1203" i="8"/>
  <c r="D1203" i="8"/>
  <c r="B1204" i="8"/>
  <c r="D1204" i="8"/>
  <c r="B1205" i="8"/>
  <c r="D1205" i="8"/>
  <c r="B1206" i="8"/>
  <c r="D1206" i="8"/>
  <c r="B1207" i="8"/>
  <c r="D1207" i="8"/>
  <c r="B1208" i="8"/>
  <c r="D1208" i="8"/>
  <c r="B1209" i="8"/>
  <c r="D1209" i="8"/>
  <c r="B1210" i="8"/>
  <c r="D1210" i="8"/>
  <c r="B1211" i="8"/>
  <c r="D1211" i="8"/>
  <c r="B1212" i="8"/>
  <c r="D1212" i="8"/>
  <c r="B1213" i="8"/>
  <c r="D1213" i="8"/>
  <c r="B1214" i="8"/>
  <c r="D1214" i="8"/>
  <c r="B1215" i="8"/>
  <c r="D1215" i="8"/>
  <c r="B1216" i="8"/>
  <c r="D1216" i="8"/>
  <c r="B1217" i="8"/>
  <c r="D1217" i="8"/>
  <c r="B1218" i="8"/>
  <c r="D1218" i="8"/>
  <c r="B1219" i="8"/>
  <c r="D1219" i="8"/>
  <c r="B1220" i="8"/>
  <c r="D1220" i="8"/>
  <c r="B1221" i="8"/>
  <c r="D1221" i="8"/>
  <c r="B1222" i="8"/>
  <c r="D1222" i="8"/>
  <c r="B1223" i="8"/>
  <c r="D1223" i="8"/>
  <c r="B1224" i="8"/>
  <c r="D1224" i="8"/>
  <c r="B1225" i="8"/>
  <c r="D1225" i="8"/>
  <c r="B1226" i="8"/>
  <c r="D1226" i="8"/>
  <c r="B1227" i="8"/>
  <c r="D1227" i="8"/>
  <c r="B1228" i="8"/>
  <c r="D1228" i="8"/>
  <c r="B1229" i="8"/>
  <c r="D1229" i="8"/>
  <c r="B1230" i="8"/>
  <c r="D1230" i="8"/>
  <c r="B1231" i="8"/>
  <c r="D1231" i="8"/>
  <c r="B1232" i="8"/>
  <c r="D1232" i="8"/>
  <c r="B1233" i="8"/>
  <c r="D1233" i="8"/>
  <c r="B1234" i="8"/>
  <c r="D1234" i="8"/>
  <c r="B1235" i="8"/>
  <c r="D1235" i="8"/>
  <c r="B1236" i="8"/>
  <c r="D1236" i="8"/>
  <c r="B1237" i="8"/>
  <c r="D1237" i="8"/>
  <c r="B1238" i="8"/>
  <c r="D1238" i="8"/>
  <c r="B1239" i="8"/>
  <c r="D1239" i="8"/>
  <c r="B1240" i="8"/>
  <c r="D1240" i="8"/>
  <c r="B1241" i="8"/>
  <c r="D1241" i="8"/>
  <c r="B1242" i="8"/>
  <c r="D1242" i="8"/>
  <c r="B1243" i="8"/>
  <c r="D1243" i="8"/>
  <c r="B1244" i="8"/>
  <c r="D1244" i="8"/>
  <c r="B1245" i="8"/>
  <c r="D1245" i="8"/>
  <c r="B1246" i="8"/>
  <c r="D1246" i="8"/>
  <c r="B1247" i="8"/>
  <c r="D1247" i="8"/>
  <c r="B1248" i="8"/>
  <c r="D1248" i="8"/>
  <c r="B1249" i="8"/>
  <c r="D1249" i="8"/>
  <c r="B1250" i="8"/>
  <c r="D1250" i="8"/>
  <c r="B1251" i="8"/>
  <c r="D1251" i="8"/>
  <c r="B1252" i="8"/>
  <c r="D1252" i="8"/>
  <c r="B1253" i="8"/>
  <c r="D1253" i="8"/>
  <c r="B1254" i="8"/>
  <c r="D1254" i="8"/>
  <c r="B1255" i="8"/>
  <c r="D1255" i="8"/>
  <c r="B1256" i="8"/>
  <c r="D1256" i="8"/>
  <c r="B1257" i="8"/>
  <c r="D1257" i="8"/>
  <c r="B1258" i="8"/>
  <c r="D1258" i="8"/>
  <c r="B1259" i="8"/>
  <c r="D1259" i="8"/>
  <c r="B1260" i="8"/>
  <c r="D1260" i="8"/>
  <c r="B1261" i="8"/>
  <c r="D1261" i="8"/>
  <c r="B1262" i="8"/>
  <c r="D1262" i="8"/>
  <c r="B1263" i="8"/>
  <c r="D1263" i="8"/>
  <c r="B1264" i="8"/>
  <c r="D1264" i="8"/>
  <c r="B1265" i="8"/>
  <c r="D1265" i="8"/>
  <c r="B1266" i="8"/>
  <c r="D1266" i="8"/>
  <c r="B1267" i="8"/>
  <c r="D1267" i="8"/>
  <c r="B1268" i="8"/>
  <c r="D1268" i="8"/>
  <c r="B1269" i="8"/>
  <c r="D1269" i="8"/>
  <c r="B1270" i="8"/>
  <c r="D1270" i="8"/>
  <c r="B1271" i="8"/>
  <c r="D1271" i="8"/>
  <c r="B1272" i="8"/>
  <c r="D1272" i="8"/>
  <c r="B1273" i="8"/>
  <c r="D1273" i="8"/>
  <c r="B1274" i="8"/>
  <c r="D1274" i="8"/>
  <c r="B1275" i="8"/>
  <c r="D1275" i="8"/>
  <c r="B1276" i="8"/>
  <c r="D1276" i="8"/>
  <c r="B1277" i="8"/>
  <c r="D1277" i="8"/>
  <c r="B1278" i="8"/>
  <c r="D1278" i="8"/>
  <c r="B1279" i="8"/>
  <c r="D1279" i="8"/>
  <c r="B1280" i="8"/>
  <c r="D1280" i="8"/>
  <c r="B1281" i="8"/>
  <c r="D1281" i="8"/>
  <c r="B1282" i="8"/>
  <c r="D1282" i="8"/>
  <c r="B1283" i="8"/>
  <c r="D1283" i="8"/>
  <c r="B1284" i="8"/>
  <c r="D1284" i="8"/>
  <c r="B1285" i="8"/>
  <c r="D1285" i="8"/>
  <c r="B1286" i="8"/>
  <c r="D1286" i="8"/>
  <c r="B1287" i="8"/>
  <c r="D1287" i="8"/>
  <c r="B1288" i="8"/>
  <c r="D1288" i="8"/>
  <c r="B1289" i="8"/>
  <c r="D1289" i="8"/>
  <c r="B1290" i="8"/>
  <c r="D1290" i="8"/>
  <c r="B1291" i="8"/>
  <c r="D1291" i="8"/>
  <c r="B1292" i="8"/>
  <c r="D1292" i="8"/>
  <c r="B1293" i="8"/>
  <c r="D1293" i="8"/>
  <c r="B1294" i="8"/>
  <c r="D1294" i="8"/>
  <c r="B1295" i="8"/>
  <c r="D1295" i="8"/>
  <c r="B1296" i="8"/>
  <c r="D1296" i="8"/>
  <c r="B1297" i="8"/>
  <c r="D1297" i="8"/>
  <c r="B1298" i="8"/>
  <c r="D1298" i="8"/>
  <c r="B1299" i="8"/>
  <c r="D1299" i="8"/>
  <c r="B1300" i="8"/>
  <c r="D1300" i="8"/>
  <c r="B1301" i="8"/>
  <c r="D1301" i="8"/>
  <c r="B1302" i="8"/>
  <c r="D1302" i="8"/>
  <c r="B1303" i="8"/>
  <c r="D1303" i="8"/>
  <c r="B1304" i="8"/>
  <c r="D1304" i="8"/>
  <c r="B1305" i="8"/>
  <c r="D1305" i="8"/>
  <c r="B1306" i="8"/>
  <c r="D1306" i="8"/>
  <c r="B1307" i="8"/>
  <c r="D1307" i="8"/>
  <c r="B1308" i="8"/>
  <c r="D1308" i="8"/>
  <c r="B1309" i="8"/>
  <c r="D1309" i="8"/>
  <c r="B1310" i="8"/>
  <c r="D1310" i="8"/>
  <c r="B1311" i="8"/>
  <c r="D1311" i="8"/>
  <c r="B1312" i="8"/>
  <c r="D1312" i="8"/>
  <c r="B1313" i="8"/>
  <c r="D1313" i="8"/>
  <c r="B1314" i="8"/>
  <c r="D1314" i="8"/>
  <c r="B1315" i="8"/>
  <c r="D1315" i="8"/>
  <c r="B1316" i="8"/>
  <c r="D1316" i="8"/>
  <c r="B1317" i="8"/>
  <c r="D1317" i="8"/>
  <c r="B1318" i="8"/>
  <c r="D1318" i="8"/>
  <c r="B1319" i="8"/>
  <c r="D1319" i="8"/>
  <c r="B1320" i="8"/>
  <c r="D1320" i="8"/>
  <c r="B1321" i="8"/>
  <c r="D1321" i="8"/>
  <c r="B1322" i="8"/>
  <c r="D1322" i="8"/>
  <c r="B1323" i="8"/>
  <c r="D1323" i="8"/>
  <c r="B1324" i="8"/>
  <c r="D1324" i="8"/>
  <c r="B1325" i="8"/>
  <c r="D1325" i="8"/>
  <c r="B1326" i="8"/>
  <c r="D1326" i="8"/>
  <c r="B1327" i="8"/>
  <c r="D1327" i="8"/>
  <c r="B1328" i="8"/>
  <c r="D1328" i="8"/>
  <c r="B1329" i="8"/>
  <c r="D1329" i="8"/>
  <c r="B1330" i="8"/>
  <c r="D1330" i="8"/>
  <c r="B1331" i="8"/>
  <c r="D1331" i="8"/>
  <c r="B1332" i="8"/>
  <c r="D1332" i="8"/>
  <c r="B1333" i="8"/>
  <c r="D1333" i="8"/>
  <c r="B1334" i="8"/>
  <c r="D1334" i="8"/>
  <c r="B1335" i="8"/>
  <c r="D1335" i="8"/>
  <c r="B1336" i="8"/>
  <c r="D1336" i="8"/>
  <c r="B1337" i="8"/>
  <c r="D1337" i="8"/>
  <c r="B1338" i="8"/>
  <c r="D1338" i="8"/>
  <c r="B1339" i="8"/>
  <c r="D1339" i="8"/>
  <c r="B1340" i="8"/>
  <c r="D1340" i="8"/>
  <c r="B1341" i="8"/>
  <c r="D1341" i="8"/>
  <c r="B1342" i="8"/>
  <c r="D1342" i="8"/>
  <c r="B1343" i="8"/>
  <c r="D1343" i="8"/>
  <c r="B1344" i="8"/>
  <c r="D1344" i="8"/>
  <c r="B1345" i="8"/>
  <c r="D1345" i="8"/>
  <c r="B1346" i="8"/>
  <c r="D1346" i="8"/>
  <c r="B1347" i="8"/>
  <c r="D1347" i="8"/>
  <c r="B1348" i="8"/>
  <c r="D1348" i="8"/>
  <c r="B1349" i="8"/>
  <c r="D1349" i="8"/>
  <c r="B1350" i="8"/>
  <c r="D1350" i="8"/>
  <c r="B1351" i="8"/>
  <c r="D1351" i="8"/>
  <c r="B1352" i="8"/>
  <c r="D1352" i="8"/>
  <c r="B1353" i="8"/>
  <c r="D1353" i="8"/>
  <c r="B1354" i="8"/>
  <c r="D1354" i="8"/>
  <c r="B1355" i="8"/>
  <c r="D1355" i="8"/>
  <c r="B1356" i="8"/>
  <c r="D1356" i="8"/>
  <c r="B1357" i="8"/>
  <c r="D1357" i="8"/>
  <c r="B1358" i="8"/>
  <c r="D1358" i="8"/>
  <c r="B1359" i="8"/>
  <c r="D1359" i="8"/>
  <c r="B1360" i="8"/>
  <c r="D1360" i="8"/>
  <c r="B1361" i="8"/>
  <c r="D1361" i="8"/>
  <c r="B1362" i="8"/>
  <c r="D1362" i="8"/>
  <c r="B1363" i="8"/>
  <c r="D1363" i="8"/>
  <c r="B1364" i="8"/>
  <c r="D1364" i="8"/>
  <c r="B1365" i="8"/>
  <c r="D1365" i="8"/>
  <c r="B1366" i="8"/>
  <c r="D1366" i="8"/>
  <c r="B1367" i="8"/>
  <c r="D1367" i="8"/>
  <c r="B1368" i="8"/>
  <c r="D1368" i="8"/>
  <c r="B1369" i="8"/>
  <c r="D1369" i="8"/>
  <c r="B1370" i="8"/>
  <c r="D1370" i="8"/>
  <c r="B1371" i="8"/>
  <c r="D1371" i="8"/>
  <c r="B1372" i="8"/>
  <c r="D1372" i="8"/>
  <c r="B1373" i="8"/>
  <c r="D1373" i="8"/>
  <c r="B1374" i="8"/>
  <c r="D1374" i="8"/>
  <c r="B1375" i="8"/>
  <c r="D1375" i="8"/>
  <c r="B1376" i="8"/>
  <c r="D1376" i="8"/>
  <c r="B1377" i="8"/>
  <c r="D1377" i="8"/>
  <c r="B1378" i="8"/>
  <c r="D1378" i="8"/>
  <c r="B1379" i="8"/>
  <c r="D1379" i="8"/>
  <c r="B1380" i="8"/>
  <c r="D1380" i="8"/>
  <c r="B1381" i="8"/>
  <c r="D1381" i="8"/>
  <c r="B1382" i="8"/>
  <c r="D1382" i="8"/>
  <c r="B1383" i="8"/>
  <c r="D1383" i="8"/>
  <c r="B1384" i="8"/>
  <c r="D1384" i="8"/>
  <c r="B1385" i="8"/>
  <c r="D1385" i="8"/>
  <c r="B1386" i="8"/>
  <c r="D1386" i="8"/>
  <c r="B1387" i="8"/>
  <c r="D1387" i="8"/>
  <c r="B1388" i="8"/>
  <c r="D1388" i="8"/>
  <c r="B1389" i="8"/>
  <c r="D1389" i="8"/>
  <c r="B1390" i="8"/>
  <c r="D1390" i="8"/>
  <c r="B1391" i="8"/>
  <c r="D1391" i="8"/>
  <c r="B1392" i="8"/>
  <c r="D1392" i="8"/>
  <c r="B1393" i="8"/>
  <c r="D1393" i="8"/>
  <c r="B1394" i="8"/>
  <c r="D1394" i="8"/>
  <c r="B1395" i="8"/>
  <c r="D1395" i="8"/>
  <c r="B1396" i="8"/>
  <c r="D1396" i="8"/>
  <c r="B1397" i="8"/>
  <c r="D1397" i="8"/>
  <c r="B1398" i="8"/>
  <c r="D1398" i="8"/>
  <c r="B1399" i="8"/>
  <c r="D1399" i="8"/>
  <c r="B1400" i="8"/>
  <c r="D1400" i="8"/>
  <c r="B1401" i="8"/>
  <c r="D1401" i="8"/>
  <c r="B1402" i="8"/>
  <c r="D1402" i="8"/>
  <c r="B1403" i="8"/>
  <c r="D1403" i="8"/>
  <c r="B1404" i="8"/>
  <c r="D1404" i="8"/>
  <c r="B1405" i="8"/>
  <c r="D1405" i="8"/>
  <c r="B1406" i="8"/>
  <c r="D1406" i="8"/>
  <c r="B1407" i="8"/>
  <c r="D1407" i="8"/>
  <c r="B1408" i="8"/>
  <c r="D1408" i="8"/>
  <c r="B1409" i="8"/>
  <c r="D1409" i="8"/>
  <c r="B1410" i="8"/>
  <c r="D1410" i="8"/>
  <c r="B1411" i="8"/>
  <c r="D1411" i="8"/>
  <c r="B1412" i="8"/>
  <c r="D1412" i="8"/>
  <c r="B1413" i="8"/>
  <c r="D1413" i="8"/>
  <c r="B1414" i="8"/>
  <c r="D1414" i="8"/>
  <c r="B1415" i="8"/>
  <c r="D1415" i="8"/>
  <c r="B1416" i="8"/>
  <c r="D1416" i="8"/>
  <c r="B1417" i="8"/>
  <c r="D1417" i="8"/>
  <c r="B1418" i="8"/>
  <c r="D1418" i="8"/>
  <c r="B1419" i="8"/>
  <c r="D1419" i="8"/>
  <c r="B1420" i="8"/>
  <c r="D1420" i="8"/>
  <c r="B1421" i="8"/>
  <c r="D1421" i="8"/>
  <c r="B1422" i="8"/>
  <c r="D1422" i="8"/>
  <c r="B1423" i="8"/>
  <c r="D1423" i="8"/>
  <c r="B1424" i="8"/>
  <c r="D1424" i="8"/>
  <c r="B1425" i="8"/>
  <c r="D1425" i="8"/>
  <c r="B1426" i="8"/>
  <c r="D1426" i="8"/>
  <c r="B1427" i="8"/>
  <c r="D1427" i="8"/>
  <c r="B1428" i="8"/>
  <c r="D1428" i="8"/>
  <c r="B1429" i="8"/>
  <c r="D1429" i="8"/>
  <c r="B1430" i="8"/>
  <c r="D1430" i="8"/>
  <c r="B1431" i="8"/>
  <c r="D1431" i="8"/>
  <c r="B1432" i="8"/>
  <c r="D1432" i="8"/>
  <c r="B1433" i="8"/>
  <c r="D1433" i="8"/>
  <c r="B1434" i="8"/>
  <c r="D1434" i="8"/>
  <c r="B1435" i="8"/>
  <c r="D1435" i="8"/>
  <c r="B1436" i="8"/>
  <c r="D1436" i="8"/>
  <c r="B1437" i="8"/>
  <c r="D1437" i="8"/>
  <c r="B1438" i="8"/>
  <c r="D1438" i="8"/>
  <c r="B1439" i="8"/>
  <c r="D1439" i="8"/>
  <c r="B1440" i="8"/>
  <c r="D1440" i="8"/>
  <c r="B1441" i="8"/>
  <c r="D1441" i="8"/>
  <c r="B1442" i="8"/>
  <c r="D1442" i="8"/>
  <c r="B1443" i="8"/>
  <c r="D1443" i="8"/>
  <c r="B1444" i="8"/>
  <c r="D1444" i="8"/>
  <c r="B1445" i="8"/>
  <c r="D1445" i="8"/>
  <c r="B1446" i="8"/>
  <c r="D1446" i="8"/>
  <c r="B1447" i="8"/>
  <c r="D1447" i="8"/>
  <c r="B1448" i="8"/>
  <c r="D1448" i="8"/>
  <c r="B1449" i="8"/>
  <c r="D1449" i="8"/>
  <c r="B1450" i="8"/>
  <c r="D1450" i="8"/>
  <c r="B1451" i="8"/>
  <c r="D1451" i="8"/>
  <c r="B1452" i="8"/>
  <c r="D1452" i="8"/>
  <c r="B1453" i="8"/>
  <c r="D1453" i="8"/>
  <c r="B1454" i="8"/>
  <c r="D1454" i="8"/>
  <c r="B1455" i="8"/>
  <c r="D1455" i="8"/>
  <c r="B1456" i="8"/>
  <c r="D1456" i="8"/>
  <c r="B1457" i="8"/>
  <c r="D1457" i="8"/>
  <c r="B1458" i="8"/>
  <c r="D1458" i="8"/>
  <c r="B1459" i="8"/>
  <c r="D1459" i="8"/>
  <c r="B1460" i="8"/>
  <c r="D1460" i="8"/>
  <c r="B1461" i="8"/>
  <c r="D1461" i="8"/>
  <c r="B1462" i="8"/>
  <c r="D1462" i="8"/>
  <c r="B1463" i="8"/>
  <c r="D1463" i="8"/>
  <c r="B1464" i="8"/>
  <c r="D1464" i="8"/>
  <c r="B1465" i="8"/>
  <c r="D1465" i="8"/>
  <c r="B1466" i="8"/>
  <c r="D1466" i="8"/>
  <c r="B1467" i="8"/>
  <c r="D1467" i="8"/>
  <c r="B1468" i="8"/>
  <c r="D1468" i="8"/>
  <c r="B1469" i="8"/>
  <c r="D1469" i="8"/>
  <c r="B1470" i="8"/>
  <c r="D1470" i="8"/>
  <c r="B1471" i="8"/>
  <c r="D1471" i="8"/>
  <c r="B1472" i="8"/>
  <c r="D1472" i="8"/>
  <c r="B1473" i="8"/>
  <c r="D1473" i="8"/>
  <c r="B1474" i="8"/>
  <c r="D1474" i="8"/>
  <c r="B1475" i="8"/>
  <c r="D1475" i="8"/>
  <c r="B1476" i="8"/>
  <c r="D1476" i="8"/>
  <c r="B1477" i="8"/>
  <c r="D1477" i="8"/>
  <c r="B1478" i="8"/>
  <c r="D1478" i="8"/>
  <c r="B1479" i="8"/>
  <c r="D1479" i="8"/>
  <c r="B1480" i="8"/>
  <c r="D1480" i="8"/>
  <c r="B1481" i="8"/>
  <c r="D1481" i="8"/>
  <c r="B1482" i="8"/>
  <c r="D1482" i="8"/>
  <c r="B1483" i="8"/>
  <c r="D1483" i="8"/>
  <c r="B1484" i="8"/>
  <c r="D1484" i="8"/>
  <c r="B1485" i="8"/>
  <c r="D1485" i="8"/>
  <c r="B1486" i="8"/>
  <c r="D1486" i="8"/>
  <c r="B1487" i="8"/>
  <c r="D1487" i="8"/>
  <c r="B1488" i="8"/>
  <c r="D1488" i="8"/>
  <c r="B1489" i="8"/>
  <c r="D1489" i="8"/>
  <c r="B1490" i="8"/>
  <c r="D1490" i="8"/>
  <c r="B1491" i="8"/>
  <c r="D1491" i="8"/>
  <c r="B1492" i="8"/>
  <c r="D1492" i="8"/>
  <c r="B1493" i="8"/>
  <c r="D1493" i="8"/>
  <c r="B1494" i="8"/>
  <c r="D1494" i="8"/>
  <c r="B1495" i="8"/>
  <c r="D1495" i="8"/>
  <c r="B1496" i="8"/>
  <c r="D1496" i="8"/>
  <c r="B1497" i="8"/>
  <c r="D1497" i="8"/>
  <c r="B1498" i="8"/>
  <c r="D1498" i="8"/>
  <c r="B1499" i="8"/>
  <c r="D1499" i="8"/>
  <c r="B1500" i="8"/>
  <c r="D1500" i="8"/>
  <c r="B1501" i="8"/>
  <c r="D1501" i="8"/>
  <c r="B1502" i="8"/>
  <c r="D1502" i="8"/>
  <c r="B1503" i="8"/>
  <c r="D1503" i="8"/>
  <c r="B1504" i="8"/>
  <c r="D1504" i="8"/>
  <c r="B1505" i="8"/>
  <c r="D1505" i="8"/>
  <c r="B1506" i="8"/>
  <c r="D1506" i="8"/>
  <c r="B1507" i="8"/>
  <c r="D1507" i="8"/>
  <c r="B1508" i="8"/>
  <c r="D1508" i="8"/>
  <c r="B1509" i="8"/>
  <c r="D1509" i="8"/>
  <c r="B1510" i="8"/>
  <c r="D1510" i="8"/>
  <c r="B1511" i="8"/>
  <c r="D1511" i="8"/>
  <c r="B1512" i="8"/>
  <c r="D1512" i="8"/>
  <c r="B1513" i="8"/>
  <c r="D1513" i="8"/>
  <c r="B1514" i="8"/>
  <c r="D1514" i="8"/>
  <c r="B1515" i="8"/>
  <c r="D1515" i="8"/>
  <c r="B1516" i="8"/>
  <c r="D1516" i="8"/>
  <c r="B1517" i="8"/>
  <c r="D1517" i="8"/>
  <c r="B1518" i="8"/>
  <c r="D1518" i="8"/>
  <c r="B1519" i="8"/>
  <c r="D1519" i="8"/>
  <c r="B1520" i="8"/>
  <c r="D1520" i="8"/>
  <c r="B1521" i="8"/>
  <c r="D1521" i="8"/>
  <c r="B1522" i="8"/>
  <c r="D1522" i="8"/>
  <c r="B1523" i="8"/>
  <c r="D1523" i="8"/>
  <c r="B1524" i="8"/>
  <c r="D1524" i="8"/>
  <c r="B1525" i="8"/>
  <c r="D1525" i="8"/>
  <c r="B1526" i="8"/>
  <c r="D1526" i="8"/>
  <c r="B1527" i="8"/>
  <c r="D1527" i="8"/>
  <c r="B1528" i="8"/>
  <c r="D1528" i="8"/>
  <c r="B1529" i="8"/>
  <c r="D1529" i="8"/>
  <c r="B1530" i="8"/>
  <c r="D1530" i="8"/>
  <c r="B1531" i="8"/>
  <c r="D1531" i="8"/>
  <c r="B1532" i="8"/>
  <c r="D1532" i="8"/>
  <c r="B1533" i="8"/>
  <c r="D1533" i="8"/>
  <c r="B1534" i="8"/>
  <c r="D1534" i="8"/>
  <c r="B1535" i="8"/>
  <c r="D1535" i="8"/>
  <c r="B1536" i="8"/>
  <c r="D1536" i="8"/>
  <c r="B1537" i="8"/>
  <c r="D1537" i="8"/>
  <c r="B1538" i="8"/>
  <c r="D1538" i="8"/>
  <c r="B1539" i="8"/>
  <c r="D1539" i="8"/>
  <c r="B1540" i="8"/>
  <c r="D1540" i="8"/>
  <c r="B1541" i="8"/>
  <c r="D1541" i="8"/>
  <c r="B1542" i="8"/>
  <c r="D1542" i="8"/>
  <c r="B1543" i="8"/>
  <c r="D1543" i="8"/>
  <c r="B1544" i="8"/>
  <c r="D1544" i="8"/>
  <c r="B1545" i="8"/>
  <c r="D1545" i="8"/>
  <c r="B1546" i="8"/>
  <c r="D1546" i="8"/>
  <c r="B1547" i="8"/>
  <c r="D1547" i="8"/>
  <c r="B1548" i="8"/>
  <c r="D1548" i="8"/>
  <c r="B1549" i="8"/>
  <c r="D1549" i="8"/>
  <c r="B1550" i="8"/>
  <c r="D1550" i="8"/>
  <c r="B1551" i="8"/>
  <c r="D1551" i="8"/>
  <c r="B1552" i="8"/>
  <c r="D1552" i="8"/>
  <c r="B1553" i="8"/>
  <c r="D1553" i="8"/>
  <c r="B1554" i="8"/>
  <c r="D1554" i="8"/>
  <c r="B1555" i="8"/>
  <c r="D1555" i="8"/>
  <c r="B1556" i="8"/>
  <c r="D1556" i="8"/>
  <c r="B1557" i="8"/>
  <c r="D1557" i="8"/>
  <c r="B1558" i="8"/>
  <c r="D1558" i="8"/>
  <c r="B1559" i="8"/>
  <c r="D1559" i="8"/>
  <c r="B1560" i="8"/>
  <c r="D1560" i="8"/>
  <c r="B1561" i="8"/>
  <c r="D1561" i="8"/>
  <c r="B1562" i="8"/>
  <c r="D1562" i="8"/>
  <c r="B1563" i="8"/>
  <c r="D1563" i="8"/>
  <c r="B1564" i="8"/>
  <c r="D1564" i="8"/>
  <c r="B1565" i="8"/>
  <c r="D1565" i="8"/>
  <c r="B1566" i="8"/>
  <c r="D1566" i="8"/>
  <c r="B1567" i="8"/>
  <c r="D1567" i="8"/>
  <c r="B1568" i="8"/>
  <c r="D1568" i="8"/>
  <c r="B1569" i="8"/>
  <c r="D1569" i="8"/>
  <c r="B1570" i="8"/>
  <c r="D1570" i="8"/>
  <c r="B1571" i="8"/>
  <c r="D1571" i="8"/>
  <c r="B1572" i="8"/>
  <c r="D1572" i="8"/>
  <c r="B1573" i="8"/>
  <c r="D1573" i="8"/>
  <c r="B1574" i="8"/>
  <c r="D1574" i="8"/>
  <c r="B1575" i="8"/>
  <c r="D1575" i="8"/>
  <c r="B1576" i="8"/>
  <c r="D1576" i="8"/>
  <c r="B1577" i="8"/>
  <c r="D1577" i="8"/>
  <c r="B1578" i="8"/>
  <c r="D1578" i="8"/>
  <c r="B1579" i="8"/>
  <c r="D1579" i="8"/>
  <c r="B1580" i="8"/>
  <c r="D1580" i="8"/>
  <c r="B1581" i="8"/>
  <c r="D1581" i="8"/>
  <c r="B1582" i="8"/>
  <c r="D1582" i="8"/>
  <c r="B1583" i="8"/>
  <c r="D1583" i="8"/>
  <c r="B1584" i="8"/>
  <c r="D1584" i="8"/>
  <c r="B1585" i="8"/>
  <c r="D1585" i="8"/>
  <c r="B1586" i="8"/>
  <c r="D1586" i="8"/>
  <c r="B1587" i="8"/>
  <c r="D1587" i="8"/>
  <c r="B1588" i="8"/>
  <c r="D1588" i="8"/>
  <c r="B1589" i="8"/>
  <c r="D1589" i="8"/>
  <c r="B1590" i="8"/>
  <c r="D1590" i="8"/>
  <c r="B1591" i="8"/>
  <c r="D1591" i="8"/>
  <c r="B1592" i="8"/>
  <c r="D1592" i="8"/>
  <c r="B1593" i="8"/>
  <c r="D1593" i="8"/>
  <c r="B1594" i="8"/>
  <c r="D1594" i="8"/>
  <c r="B1595" i="8"/>
  <c r="D1595" i="8"/>
  <c r="B1596" i="8"/>
  <c r="D1596" i="8"/>
  <c r="B1597" i="8"/>
  <c r="D1597" i="8"/>
  <c r="B1598" i="8"/>
  <c r="D1598" i="8"/>
  <c r="B1599" i="8"/>
  <c r="D1599" i="8"/>
  <c r="B1600" i="8"/>
  <c r="D1600" i="8"/>
  <c r="B1601" i="8"/>
  <c r="D1601" i="8"/>
  <c r="B1602" i="8"/>
  <c r="D1602" i="8"/>
  <c r="B1603" i="8"/>
  <c r="D1603" i="8"/>
  <c r="B1604" i="8"/>
  <c r="D1604" i="8"/>
  <c r="B1605" i="8"/>
  <c r="D1605" i="8"/>
  <c r="B1606" i="8"/>
  <c r="D1606" i="8"/>
  <c r="B1607" i="8"/>
  <c r="D1607" i="8"/>
  <c r="B1608" i="8"/>
  <c r="D1608" i="8"/>
  <c r="B1609" i="8"/>
  <c r="D1609" i="8"/>
  <c r="B1610" i="8"/>
  <c r="D1610" i="8"/>
  <c r="B1611" i="8"/>
  <c r="D1611" i="8"/>
  <c r="B1612" i="8"/>
  <c r="D1612" i="8"/>
  <c r="B1613" i="8"/>
  <c r="D1613" i="8"/>
  <c r="B1614" i="8"/>
  <c r="D1614" i="8"/>
  <c r="B1615" i="8"/>
  <c r="D1615" i="8"/>
  <c r="B1616" i="8"/>
  <c r="D1616" i="8"/>
  <c r="B1617" i="8"/>
  <c r="D1617" i="8"/>
  <c r="B1618" i="8"/>
  <c r="D1618" i="8"/>
  <c r="B1619" i="8"/>
  <c r="D1619" i="8"/>
  <c r="B1620" i="8"/>
  <c r="D1620" i="8"/>
  <c r="B1621" i="8"/>
  <c r="D1621" i="8"/>
  <c r="B1622" i="8"/>
  <c r="D1622" i="8"/>
  <c r="B1623" i="8"/>
  <c r="D1623" i="8"/>
  <c r="B1624" i="8"/>
  <c r="D1624" i="8"/>
  <c r="B1625" i="8"/>
  <c r="D1625" i="8"/>
  <c r="B1626" i="8"/>
  <c r="D1626" i="8"/>
  <c r="B1627" i="8"/>
  <c r="D1627" i="8"/>
  <c r="B1628" i="8"/>
  <c r="D1628" i="8"/>
  <c r="B1629" i="8"/>
  <c r="D1629" i="8"/>
  <c r="B1630" i="8"/>
  <c r="D1630" i="8"/>
  <c r="B1631" i="8"/>
  <c r="D1631" i="8"/>
  <c r="B1632" i="8"/>
  <c r="D1632" i="8"/>
  <c r="B1633" i="8"/>
  <c r="D1633" i="8"/>
  <c r="B1634" i="8"/>
  <c r="D1634" i="8"/>
  <c r="B1635" i="8"/>
  <c r="D1635" i="8"/>
  <c r="B1636" i="8"/>
  <c r="D1636" i="8"/>
  <c r="B1637" i="8"/>
  <c r="D1637" i="8"/>
  <c r="B1638" i="8"/>
  <c r="D1638" i="8"/>
  <c r="B1639" i="8"/>
  <c r="D1639" i="8"/>
  <c r="B1640" i="8"/>
  <c r="D1640" i="8"/>
  <c r="B1641" i="8"/>
  <c r="D1641" i="8"/>
  <c r="B1642" i="8"/>
  <c r="D1642" i="8"/>
  <c r="B1643" i="8"/>
  <c r="D1643" i="8"/>
  <c r="B1644" i="8"/>
  <c r="D1644" i="8"/>
  <c r="B1645" i="8"/>
  <c r="D1645" i="8"/>
  <c r="B1646" i="8"/>
  <c r="D1646" i="8"/>
  <c r="B1647" i="8"/>
  <c r="D1647" i="8"/>
  <c r="B1648" i="8"/>
  <c r="D1648" i="8"/>
  <c r="B1649" i="8"/>
  <c r="D1649" i="8"/>
  <c r="B1650" i="8"/>
  <c r="D1650" i="8"/>
  <c r="B1651" i="8"/>
  <c r="D1651" i="8"/>
  <c r="B1652" i="8"/>
  <c r="D1652" i="8"/>
  <c r="B1653" i="8"/>
  <c r="D1653" i="8"/>
  <c r="B1654" i="8"/>
  <c r="D1654" i="8"/>
  <c r="B1655" i="8"/>
  <c r="D1655" i="8"/>
  <c r="B1656" i="8"/>
  <c r="D1656" i="8"/>
  <c r="B1657" i="8"/>
  <c r="D1657" i="8"/>
  <c r="B1658" i="8"/>
  <c r="D1658" i="8"/>
  <c r="B1659" i="8"/>
  <c r="D1659" i="8"/>
  <c r="B1660" i="8"/>
  <c r="D1660" i="8"/>
  <c r="B1661" i="8"/>
  <c r="D1661" i="8"/>
  <c r="B1662" i="8"/>
  <c r="D1662" i="8"/>
  <c r="B1663" i="8"/>
  <c r="D1663" i="8"/>
  <c r="B1664" i="8"/>
  <c r="D1664" i="8"/>
  <c r="B1665" i="8"/>
  <c r="D1665" i="8"/>
  <c r="B1666" i="8"/>
  <c r="D1666" i="8"/>
  <c r="B1667" i="8"/>
  <c r="D1667" i="8"/>
  <c r="B1668" i="8"/>
  <c r="D1668" i="8"/>
  <c r="B1669" i="8"/>
  <c r="D1669" i="8"/>
  <c r="B1670" i="8"/>
  <c r="D1670" i="8"/>
  <c r="B1671" i="8"/>
  <c r="D1671" i="8"/>
  <c r="B1672" i="8"/>
  <c r="D1672" i="8"/>
  <c r="B1673" i="8"/>
  <c r="D1673" i="8"/>
  <c r="B1674" i="8"/>
  <c r="D1674" i="8"/>
  <c r="B1675" i="8"/>
  <c r="D1675" i="8"/>
  <c r="B1676" i="8"/>
  <c r="D1676" i="8"/>
  <c r="B1677" i="8"/>
  <c r="D1677" i="8"/>
  <c r="B1678" i="8"/>
  <c r="D1678" i="8"/>
  <c r="B1679" i="8"/>
  <c r="D1679" i="8"/>
  <c r="B1680" i="8"/>
  <c r="D1680" i="8"/>
  <c r="B1681" i="8"/>
  <c r="D1681" i="8"/>
  <c r="B1682" i="8"/>
  <c r="D1682" i="8"/>
  <c r="B1683" i="8"/>
  <c r="D1683" i="8"/>
  <c r="B1684" i="8"/>
  <c r="D1684" i="8"/>
  <c r="B1685" i="8"/>
  <c r="D1685" i="8"/>
  <c r="B1686" i="8"/>
  <c r="D1686" i="8"/>
  <c r="B1687" i="8"/>
  <c r="D1687" i="8"/>
  <c r="B1688" i="8"/>
  <c r="D1688" i="8"/>
  <c r="B1689" i="8"/>
  <c r="D1689" i="8"/>
  <c r="B1690" i="8"/>
  <c r="D1690" i="8"/>
  <c r="B1691" i="8"/>
  <c r="D1691" i="8"/>
  <c r="B1692" i="8"/>
  <c r="D1692" i="8"/>
  <c r="B1693" i="8"/>
  <c r="D1693" i="8"/>
  <c r="B1694" i="8"/>
  <c r="D1694" i="8"/>
  <c r="B1695" i="8"/>
  <c r="D1695" i="8"/>
  <c r="B1696" i="8"/>
  <c r="D1696" i="8"/>
  <c r="B1697" i="8"/>
  <c r="D1697" i="8"/>
  <c r="B1698" i="8"/>
  <c r="D1698" i="8"/>
  <c r="B1699" i="8"/>
  <c r="D1699" i="8"/>
  <c r="B1700" i="8"/>
  <c r="D1700" i="8"/>
  <c r="B1701" i="8"/>
  <c r="D1701" i="8"/>
  <c r="B1702" i="8"/>
  <c r="D1702" i="8"/>
  <c r="B1703" i="8"/>
  <c r="D1703" i="8"/>
  <c r="B1704" i="8"/>
  <c r="D1704" i="8"/>
  <c r="B1705" i="8"/>
  <c r="D1705" i="8"/>
  <c r="B1706" i="8"/>
  <c r="D1706" i="8"/>
  <c r="B1707" i="8"/>
  <c r="D1707" i="8"/>
  <c r="B1708" i="8"/>
  <c r="D1708" i="8"/>
  <c r="B1709" i="8"/>
  <c r="D1709" i="8"/>
  <c r="B1710" i="8"/>
  <c r="D1710" i="8"/>
  <c r="B1711" i="8"/>
  <c r="D1711" i="8"/>
  <c r="B1712" i="8"/>
  <c r="D1712" i="8"/>
  <c r="B1713" i="8"/>
  <c r="D1713" i="8"/>
  <c r="B1714" i="8"/>
  <c r="D1714" i="8"/>
  <c r="B1715" i="8"/>
  <c r="D1715" i="8"/>
  <c r="B1716" i="8"/>
  <c r="D1716" i="8"/>
  <c r="B1717" i="8"/>
  <c r="D1717" i="8"/>
  <c r="B1718" i="8"/>
  <c r="D1718" i="8"/>
  <c r="B1719" i="8"/>
  <c r="D1719" i="8"/>
  <c r="B1720" i="8"/>
  <c r="D1720" i="8"/>
  <c r="B1721" i="8"/>
  <c r="D1721" i="8"/>
  <c r="B1722" i="8"/>
  <c r="D1722" i="8"/>
  <c r="B1723" i="8"/>
  <c r="D1723" i="8"/>
  <c r="B1724" i="8"/>
  <c r="D1724" i="8"/>
  <c r="B1725" i="8"/>
  <c r="D1725" i="8"/>
  <c r="B1726" i="8"/>
  <c r="D1726" i="8"/>
  <c r="B1727" i="8"/>
  <c r="D1727" i="8"/>
  <c r="B1728" i="8"/>
  <c r="D1728" i="8"/>
  <c r="B1729" i="8"/>
  <c r="D1729" i="8"/>
  <c r="B1730" i="8"/>
  <c r="D1730" i="8"/>
  <c r="B1731" i="8"/>
  <c r="D1731" i="8"/>
  <c r="B1732" i="8"/>
  <c r="D1732" i="8"/>
  <c r="B1733" i="8"/>
  <c r="D1733" i="8"/>
  <c r="B1734" i="8"/>
  <c r="D1734" i="8"/>
  <c r="B1735" i="8"/>
  <c r="D1735" i="8"/>
  <c r="B1736" i="8"/>
  <c r="D1736" i="8"/>
  <c r="B1737" i="8"/>
  <c r="D1737" i="8"/>
  <c r="B1738" i="8"/>
  <c r="D1738" i="8"/>
  <c r="B1739" i="8"/>
  <c r="D1739" i="8"/>
  <c r="B1740" i="8"/>
  <c r="D1740" i="8"/>
  <c r="B1741" i="8"/>
  <c r="D1741" i="8"/>
  <c r="B1742" i="8"/>
  <c r="D1742" i="8"/>
  <c r="B1743" i="8"/>
  <c r="D1743" i="8"/>
  <c r="B1744" i="8"/>
  <c r="D1744" i="8"/>
  <c r="B1745" i="8"/>
  <c r="D1745" i="8"/>
  <c r="B1746" i="8"/>
  <c r="D1746" i="8"/>
  <c r="B1747" i="8"/>
  <c r="D1747" i="8"/>
  <c r="B1748" i="8"/>
  <c r="D1748" i="8"/>
  <c r="B1749" i="8"/>
  <c r="D1749" i="8"/>
  <c r="B1750" i="8"/>
  <c r="D1750" i="8"/>
  <c r="B1751" i="8"/>
  <c r="D1751" i="8"/>
  <c r="B1752" i="8"/>
  <c r="D1752" i="8"/>
  <c r="B1753" i="8"/>
  <c r="D1753" i="8"/>
  <c r="B1754" i="8"/>
  <c r="D1754" i="8"/>
  <c r="B1755" i="8"/>
  <c r="D1755" i="8"/>
  <c r="B1756" i="8"/>
  <c r="D1756" i="8"/>
  <c r="B1757" i="8"/>
  <c r="D1757" i="8"/>
  <c r="B1758" i="8"/>
  <c r="D1758" i="8"/>
  <c r="B1759" i="8"/>
  <c r="D1759" i="8"/>
  <c r="B1760" i="8"/>
  <c r="D1760" i="8"/>
  <c r="B1761" i="8"/>
  <c r="D1761" i="8"/>
  <c r="B1762" i="8"/>
  <c r="D1762" i="8"/>
  <c r="B1763" i="8"/>
  <c r="D1763" i="8"/>
  <c r="B1764" i="8"/>
  <c r="D1764" i="8"/>
  <c r="B1765" i="8"/>
  <c r="D1765" i="8"/>
  <c r="B1766" i="8"/>
  <c r="D1766" i="8"/>
  <c r="B1767" i="8"/>
  <c r="D1767" i="8"/>
  <c r="B1768" i="8"/>
  <c r="D1768" i="8"/>
  <c r="B1769" i="8"/>
  <c r="D1769" i="8"/>
  <c r="B1770" i="8"/>
  <c r="D1770" i="8"/>
  <c r="B1771" i="8"/>
  <c r="D1771" i="8"/>
  <c r="B1772" i="8"/>
  <c r="D1772" i="8"/>
  <c r="B1773" i="8"/>
  <c r="D1773" i="8"/>
  <c r="B1774" i="8"/>
  <c r="D1774" i="8"/>
  <c r="B1775" i="8"/>
  <c r="D1775" i="8"/>
  <c r="B1776" i="8"/>
  <c r="D1776" i="8"/>
  <c r="B1777" i="8"/>
  <c r="D1777" i="8"/>
  <c r="B1778" i="8"/>
  <c r="D1778" i="8"/>
  <c r="B1779" i="8"/>
  <c r="D1779" i="8"/>
  <c r="B1780" i="8"/>
  <c r="D1780" i="8"/>
  <c r="B1781" i="8"/>
  <c r="D1781" i="8"/>
  <c r="B1782" i="8"/>
  <c r="D1782" i="8"/>
  <c r="B1783" i="8"/>
  <c r="D1783" i="8"/>
  <c r="B1784" i="8"/>
  <c r="D1784" i="8"/>
  <c r="B1785" i="8"/>
  <c r="D1785" i="8"/>
  <c r="B1786" i="8"/>
  <c r="D1786" i="8"/>
  <c r="B1787" i="8"/>
  <c r="D1787" i="8"/>
  <c r="B1788" i="8"/>
  <c r="D1788" i="8"/>
  <c r="B1789" i="8"/>
  <c r="D1789" i="8"/>
  <c r="B1790" i="8"/>
  <c r="D1790" i="8"/>
  <c r="B1791" i="8"/>
  <c r="D1791" i="8"/>
  <c r="B1792" i="8"/>
  <c r="D1792" i="8"/>
  <c r="B1793" i="8"/>
  <c r="D1793" i="8"/>
  <c r="B1794" i="8"/>
  <c r="D1794" i="8"/>
  <c r="B1795" i="8"/>
  <c r="D1795" i="8"/>
  <c r="B1796" i="8"/>
  <c r="D1796" i="8"/>
  <c r="B1797" i="8"/>
  <c r="D1797" i="8"/>
  <c r="B1798" i="8"/>
  <c r="D1798" i="8"/>
  <c r="B1799" i="8"/>
  <c r="D1799" i="8"/>
  <c r="B1800" i="8"/>
  <c r="D1800" i="8"/>
  <c r="B1801" i="8"/>
  <c r="D1801" i="8"/>
  <c r="B1802" i="8"/>
  <c r="D1802" i="8"/>
  <c r="B1803" i="8"/>
  <c r="D1803" i="8"/>
  <c r="B1804" i="8"/>
  <c r="D1804" i="8"/>
  <c r="B1805" i="8"/>
  <c r="D1805" i="8"/>
  <c r="B1806" i="8"/>
  <c r="D1806" i="8"/>
  <c r="B1807" i="8"/>
  <c r="D1807" i="8"/>
  <c r="B1808" i="8"/>
  <c r="D1808" i="8"/>
  <c r="B1809" i="8"/>
  <c r="D1809" i="8"/>
  <c r="B1810" i="8"/>
  <c r="D1810" i="8"/>
  <c r="B1811" i="8"/>
  <c r="D1811" i="8"/>
  <c r="B1812" i="8"/>
  <c r="D1812" i="8"/>
  <c r="B1813" i="8"/>
  <c r="D1813" i="8"/>
  <c r="B1814" i="8"/>
  <c r="D1814" i="8"/>
  <c r="B1815" i="8"/>
  <c r="D1815" i="8"/>
  <c r="B1816" i="8"/>
  <c r="D1816" i="8"/>
  <c r="B1817" i="8"/>
  <c r="D1817" i="8"/>
  <c r="B1818" i="8"/>
  <c r="D1818" i="8"/>
  <c r="B1819" i="8"/>
  <c r="D1819" i="8"/>
  <c r="B1820" i="8"/>
  <c r="D1820" i="8"/>
  <c r="B1821" i="8"/>
  <c r="D1821" i="8"/>
  <c r="B1822" i="8"/>
  <c r="D1822" i="8"/>
  <c r="B1823" i="8"/>
  <c r="D1823" i="8"/>
  <c r="B1824" i="8"/>
  <c r="D1824" i="8"/>
  <c r="B1825" i="8"/>
  <c r="D1825" i="8"/>
  <c r="B1826" i="8"/>
  <c r="D1826" i="8"/>
  <c r="B1827" i="8"/>
  <c r="D1827" i="8"/>
  <c r="B1828" i="8"/>
  <c r="D1828" i="8"/>
  <c r="B1829" i="8"/>
  <c r="D1829" i="8"/>
  <c r="B1830" i="8"/>
  <c r="D1830" i="8"/>
  <c r="B1831" i="8"/>
  <c r="D1831" i="8"/>
  <c r="B1832" i="8"/>
  <c r="D1832" i="8"/>
  <c r="B1833" i="8"/>
  <c r="D1833" i="8"/>
  <c r="B1834" i="8"/>
  <c r="D1834" i="8"/>
  <c r="B1835" i="8"/>
  <c r="D1835" i="8"/>
  <c r="B1836" i="8"/>
  <c r="D1836" i="8"/>
  <c r="B1837" i="8"/>
  <c r="D1837" i="8"/>
  <c r="B1838" i="8"/>
  <c r="D1838" i="8"/>
  <c r="B1839" i="8"/>
  <c r="D1839" i="8"/>
  <c r="B1840" i="8"/>
  <c r="D1840" i="8"/>
  <c r="B1841" i="8"/>
  <c r="D1841" i="8"/>
  <c r="B1842" i="8"/>
  <c r="D1842" i="8"/>
  <c r="B1843" i="8"/>
  <c r="D1843" i="8"/>
  <c r="B1844" i="8"/>
  <c r="D1844" i="8"/>
  <c r="B1845" i="8"/>
  <c r="D1845" i="8"/>
  <c r="B1846" i="8"/>
  <c r="D1846" i="8"/>
  <c r="B1847" i="8"/>
  <c r="D1847" i="8"/>
  <c r="B1848" i="8"/>
  <c r="D1848" i="8"/>
  <c r="B1849" i="8"/>
  <c r="D1849" i="8"/>
  <c r="B1850" i="8"/>
  <c r="D1850" i="8"/>
  <c r="B1851" i="8"/>
  <c r="D1851" i="8"/>
  <c r="B1852" i="8"/>
  <c r="D1852" i="8"/>
  <c r="B1853" i="8"/>
  <c r="D1853" i="8"/>
  <c r="B1854" i="8"/>
  <c r="D1854" i="8"/>
  <c r="B1855" i="8"/>
  <c r="D1855" i="8"/>
  <c r="B1856" i="8"/>
  <c r="D1856" i="8"/>
  <c r="B1857" i="8"/>
  <c r="D1857" i="8"/>
  <c r="B1858" i="8"/>
  <c r="D1858" i="8"/>
  <c r="B1859" i="8"/>
  <c r="D1859" i="8"/>
  <c r="B1860" i="8"/>
  <c r="D1860" i="8"/>
  <c r="B1861" i="8"/>
  <c r="D1861" i="8"/>
  <c r="B1862" i="8"/>
  <c r="D1862" i="8"/>
  <c r="B1863" i="8"/>
  <c r="D1863" i="8"/>
  <c r="B1864" i="8"/>
  <c r="D1864" i="8"/>
  <c r="B1865" i="8"/>
  <c r="D1865" i="8"/>
  <c r="B1866" i="8"/>
  <c r="D1866" i="8"/>
  <c r="B1867" i="8"/>
  <c r="D1867" i="8"/>
  <c r="B1868" i="8"/>
  <c r="D1868" i="8"/>
  <c r="B1869" i="8"/>
  <c r="D1869" i="8"/>
  <c r="B1870" i="8"/>
  <c r="D1870" i="8"/>
  <c r="B1871" i="8"/>
  <c r="D1871" i="8"/>
  <c r="B1872" i="8"/>
  <c r="D1872" i="8"/>
  <c r="B1873" i="8"/>
  <c r="D1873" i="8"/>
  <c r="B1874" i="8"/>
  <c r="D1874" i="8"/>
  <c r="B1875" i="8"/>
  <c r="D1875" i="8"/>
  <c r="B1876" i="8"/>
  <c r="D1876" i="8"/>
  <c r="B1877" i="8"/>
  <c r="D1877" i="8"/>
  <c r="B1878" i="8"/>
  <c r="D1878" i="8"/>
  <c r="B1879" i="8"/>
  <c r="D1879" i="8"/>
  <c r="B1880" i="8"/>
  <c r="D1880" i="8"/>
  <c r="B1881" i="8"/>
  <c r="D1881" i="8"/>
  <c r="B1882" i="8"/>
  <c r="D1882" i="8"/>
  <c r="B1883" i="8"/>
  <c r="D1883" i="8"/>
  <c r="B1884" i="8"/>
  <c r="D1884" i="8"/>
  <c r="B1885" i="8"/>
  <c r="D1885" i="8"/>
  <c r="B1886" i="8"/>
  <c r="D1886" i="8"/>
  <c r="B1887" i="8"/>
  <c r="D1887" i="8"/>
  <c r="B1888" i="8"/>
  <c r="D1888" i="8"/>
  <c r="B1889" i="8"/>
  <c r="D1889" i="8"/>
  <c r="B1890" i="8"/>
  <c r="D1890" i="8"/>
  <c r="B1891" i="8"/>
  <c r="D1891" i="8"/>
  <c r="B1892" i="8"/>
  <c r="D1892" i="8"/>
  <c r="B1893" i="8"/>
  <c r="D1893" i="8"/>
  <c r="B1894" i="8"/>
  <c r="D1894" i="8"/>
  <c r="B1895" i="8"/>
  <c r="D1895" i="8"/>
  <c r="B1896" i="8"/>
  <c r="D1896" i="8"/>
  <c r="B1897" i="8"/>
  <c r="D1897" i="8"/>
  <c r="B1898" i="8"/>
  <c r="D1898" i="8"/>
  <c r="B1899" i="8"/>
  <c r="D1899" i="8"/>
  <c r="B1900" i="8"/>
  <c r="D1900" i="8"/>
  <c r="B1901" i="8"/>
  <c r="D1901" i="8"/>
  <c r="B1902" i="8"/>
  <c r="D1902" i="8"/>
  <c r="B1903" i="8"/>
  <c r="D1903" i="8"/>
  <c r="B1904" i="8"/>
  <c r="D1904" i="8"/>
  <c r="B1905" i="8"/>
  <c r="D1905" i="8"/>
  <c r="B1906" i="8"/>
  <c r="D1906" i="8"/>
  <c r="B1907" i="8"/>
  <c r="D1907" i="8"/>
  <c r="B1908" i="8"/>
  <c r="D1908" i="8"/>
  <c r="B1909" i="8"/>
  <c r="D1909" i="8"/>
  <c r="B1910" i="8"/>
  <c r="D1910" i="8"/>
  <c r="B1911" i="8"/>
  <c r="D1911" i="8"/>
  <c r="B1912" i="8"/>
  <c r="D1912" i="8"/>
  <c r="B1913" i="8"/>
  <c r="D1913" i="8"/>
  <c r="B1914" i="8"/>
  <c r="D1914" i="8"/>
  <c r="B1915" i="8"/>
  <c r="D1915" i="8"/>
  <c r="B1916" i="8"/>
  <c r="D1916" i="8"/>
  <c r="B1917" i="8"/>
  <c r="D1917" i="8"/>
  <c r="B1918" i="8"/>
  <c r="D1918" i="8"/>
  <c r="B1919" i="8"/>
  <c r="D1919" i="8"/>
  <c r="B1920" i="8"/>
  <c r="D1920" i="8"/>
  <c r="B1921" i="8"/>
  <c r="D1921" i="8"/>
  <c r="B1922" i="8"/>
  <c r="D1922" i="8"/>
  <c r="B1923" i="8"/>
  <c r="D1923" i="8"/>
  <c r="B1924" i="8"/>
  <c r="D1924" i="8"/>
  <c r="B1925" i="8"/>
  <c r="D1925" i="8"/>
  <c r="B1926" i="8"/>
  <c r="D1926" i="8"/>
  <c r="B1927" i="8"/>
  <c r="D1927" i="8"/>
  <c r="B1928" i="8"/>
  <c r="D1928" i="8"/>
  <c r="B1929" i="8"/>
  <c r="D1929" i="8"/>
  <c r="B1930" i="8"/>
  <c r="D1930" i="8"/>
  <c r="B1931" i="8"/>
  <c r="D1931" i="8"/>
  <c r="B1932" i="8"/>
  <c r="D1932" i="8"/>
  <c r="B1933" i="8"/>
  <c r="D1933" i="8"/>
  <c r="B1934" i="8"/>
  <c r="D1934" i="8"/>
  <c r="B1935" i="8"/>
  <c r="D1935" i="8"/>
  <c r="B1936" i="8"/>
  <c r="D1936" i="8"/>
  <c r="B1937" i="8"/>
  <c r="D1937" i="8"/>
  <c r="B1938" i="8"/>
  <c r="D1938" i="8"/>
  <c r="B1939" i="8"/>
  <c r="D1939" i="8"/>
  <c r="B1940" i="8"/>
  <c r="D1940" i="8"/>
  <c r="B1941" i="8"/>
  <c r="D1941" i="8"/>
  <c r="B1942" i="8"/>
  <c r="D1942" i="8"/>
  <c r="B1943" i="8"/>
  <c r="D1943" i="8"/>
  <c r="B1944" i="8"/>
  <c r="D1944" i="8"/>
  <c r="B1945" i="8"/>
  <c r="D1945" i="8"/>
  <c r="B1946" i="8"/>
  <c r="D1946" i="8"/>
  <c r="B1947" i="8"/>
  <c r="D1947" i="8"/>
  <c r="B1948" i="8"/>
  <c r="D1948" i="8"/>
  <c r="B1949" i="8"/>
  <c r="D1949" i="8"/>
  <c r="B1950" i="8"/>
  <c r="D1950" i="8"/>
  <c r="B1951" i="8"/>
  <c r="D1951" i="8"/>
  <c r="B1952" i="8"/>
  <c r="D1952" i="8"/>
  <c r="B1953" i="8"/>
  <c r="D1953" i="8"/>
  <c r="B1954" i="8"/>
  <c r="D1954" i="8"/>
  <c r="B1955" i="8"/>
  <c r="D1955" i="8"/>
  <c r="B1956" i="8"/>
  <c r="D1956" i="8"/>
  <c r="B1957" i="8"/>
  <c r="D1957" i="8"/>
  <c r="B1958" i="8"/>
  <c r="D1958" i="8"/>
  <c r="B1959" i="8"/>
  <c r="D1959" i="8"/>
  <c r="B1960" i="8"/>
  <c r="D1960" i="8"/>
  <c r="B1961" i="8"/>
  <c r="D1961" i="8"/>
  <c r="B1962" i="8"/>
  <c r="D1962" i="8"/>
  <c r="B1963" i="8"/>
  <c r="D1963" i="8"/>
  <c r="B1964" i="8"/>
  <c r="D1964" i="8"/>
  <c r="B1965" i="8"/>
  <c r="D1965" i="8"/>
  <c r="B1966" i="8"/>
  <c r="D1966" i="8"/>
  <c r="B1967" i="8"/>
  <c r="D1967" i="8"/>
  <c r="B1968" i="8"/>
  <c r="D1968" i="8"/>
  <c r="B1969" i="8"/>
  <c r="D1969" i="8"/>
  <c r="B1970" i="8"/>
  <c r="D1970" i="8"/>
  <c r="B1971" i="8"/>
  <c r="D1971" i="8"/>
  <c r="B1972" i="8"/>
  <c r="D1972" i="8"/>
  <c r="B1973" i="8"/>
  <c r="D1973" i="8"/>
  <c r="B1974" i="8"/>
  <c r="D1974" i="8"/>
  <c r="B1975" i="8"/>
  <c r="D1975" i="8"/>
  <c r="B1976" i="8"/>
  <c r="D1976" i="8"/>
  <c r="B1977" i="8"/>
  <c r="D1977" i="8"/>
  <c r="B1978" i="8"/>
  <c r="D1978" i="8"/>
  <c r="B1979" i="8"/>
  <c r="D1979" i="8"/>
  <c r="B1980" i="8"/>
  <c r="D1980" i="8"/>
  <c r="B1981" i="8"/>
  <c r="D1981" i="8"/>
  <c r="B1982" i="8"/>
  <c r="D1982" i="8"/>
  <c r="B1983" i="8"/>
  <c r="D1983" i="8"/>
  <c r="B1984" i="8"/>
  <c r="D1984" i="8"/>
  <c r="B1985" i="8"/>
  <c r="D1985" i="8"/>
  <c r="B1986" i="8"/>
  <c r="D1986" i="8"/>
  <c r="B1987" i="8"/>
  <c r="D1987" i="8"/>
  <c r="B1988" i="8"/>
  <c r="D1988" i="8"/>
  <c r="B1989" i="8"/>
  <c r="D1989" i="8"/>
  <c r="B1990" i="8"/>
  <c r="D1990" i="8"/>
  <c r="B1991" i="8"/>
  <c r="D1991" i="8"/>
  <c r="B1992" i="8"/>
  <c r="D1992" i="8"/>
  <c r="B1993" i="8"/>
  <c r="D1993" i="8"/>
  <c r="B1994" i="8"/>
  <c r="D1994" i="8"/>
  <c r="B1995" i="8"/>
  <c r="D1995" i="8"/>
  <c r="B1996" i="8"/>
  <c r="D1996" i="8"/>
  <c r="B1997" i="8"/>
  <c r="D1997" i="8"/>
  <c r="B1998" i="8"/>
  <c r="D1998" i="8"/>
  <c r="B1999" i="8"/>
  <c r="D1999" i="8"/>
  <c r="B2000" i="8"/>
  <c r="D2000" i="8"/>
  <c r="B2001" i="8"/>
  <c r="D2001" i="8"/>
  <c r="B2002" i="8"/>
  <c r="D2002" i="8"/>
  <c r="B2003" i="8"/>
  <c r="D2003" i="8"/>
  <c r="B2004" i="8"/>
  <c r="D2004" i="8"/>
  <c r="B2005" i="8"/>
  <c r="D2005" i="8"/>
  <c r="B2" i="8"/>
  <c r="D2" i="8"/>
  <c r="U7" i="71"/>
  <c r="H24" i="45"/>
  <c r="AE24" i="45"/>
  <c r="U14" i="71"/>
  <c r="H25" i="45"/>
  <c r="AE25" i="45"/>
  <c r="U11" i="71"/>
  <c r="H26" i="45"/>
  <c r="G26" i="45"/>
  <c r="AE26" i="45"/>
  <c r="U18" i="71"/>
  <c r="H27" i="45"/>
  <c r="G27" i="45"/>
  <c r="AE27" i="45"/>
  <c r="G28" i="45"/>
  <c r="AE28" i="45"/>
  <c r="G29" i="45"/>
  <c r="AE29" i="45"/>
  <c r="G30" i="45"/>
  <c r="AE30" i="45"/>
  <c r="G31" i="45"/>
  <c r="AE31" i="45"/>
  <c r="G32" i="45"/>
  <c r="AE32" i="45"/>
  <c r="AE23" i="45"/>
  <c r="BK3" i="14"/>
  <c r="BK4" i="14"/>
  <c r="M5" i="14"/>
  <c r="BK5" i="14"/>
  <c r="M6" i="14"/>
  <c r="BK6" i="14"/>
  <c r="M7" i="14"/>
  <c r="BK7" i="14"/>
  <c r="M8" i="14"/>
  <c r="BK8" i="14"/>
  <c r="M9" i="14"/>
  <c r="BK9" i="14"/>
  <c r="M10" i="14"/>
  <c r="BK10" i="14"/>
  <c r="M11" i="14"/>
  <c r="BK11" i="14"/>
  <c r="M12" i="14"/>
  <c r="BK12" i="14"/>
  <c r="M13" i="14"/>
  <c r="BK13" i="14"/>
  <c r="M14" i="14"/>
  <c r="BK14" i="14"/>
  <c r="M15" i="14"/>
  <c r="BK15" i="14"/>
  <c r="M16" i="14"/>
  <c r="BK16" i="14"/>
  <c r="M17" i="14"/>
  <c r="BK17" i="14"/>
  <c r="M18" i="14"/>
  <c r="BK18" i="14"/>
  <c r="M19" i="14"/>
  <c r="BK19" i="14"/>
  <c r="M20" i="14"/>
  <c r="BK20" i="14"/>
  <c r="M21" i="14"/>
  <c r="BK21" i="14"/>
  <c r="M22" i="14"/>
  <c r="BK22" i="14"/>
  <c r="M23" i="14"/>
  <c r="BK23" i="14"/>
  <c r="M24" i="14"/>
  <c r="BK24" i="14"/>
  <c r="M25" i="14"/>
  <c r="BK25" i="14"/>
  <c r="M26" i="14"/>
  <c r="BK26" i="14"/>
  <c r="M27" i="14"/>
  <c r="BK27" i="14"/>
  <c r="M28" i="14"/>
  <c r="BK28" i="14"/>
  <c r="M29" i="14"/>
  <c r="BK29" i="14"/>
  <c r="M30" i="14"/>
  <c r="BK30" i="14"/>
  <c r="M31" i="14"/>
  <c r="BK31" i="14"/>
  <c r="BK2" i="14"/>
  <c r="D2378" i="77"/>
  <c r="D2377" i="77"/>
  <c r="D2376" i="77"/>
  <c r="D2375" i="77"/>
  <c r="D2374" i="77"/>
  <c r="D2373" i="77"/>
  <c r="D2372" i="77"/>
  <c r="D2371" i="77"/>
  <c r="D2370" i="77"/>
  <c r="D2369" i="77"/>
  <c r="D2368" i="77"/>
  <c r="D2367" i="77"/>
  <c r="D2366" i="77"/>
  <c r="D2365" i="77"/>
  <c r="D2364" i="77"/>
  <c r="D2363" i="77"/>
  <c r="D2362" i="77"/>
  <c r="D2361" i="77"/>
  <c r="D2360" i="77"/>
  <c r="D2359" i="77"/>
  <c r="D2358" i="77"/>
  <c r="D2357" i="77"/>
  <c r="D2356" i="77"/>
  <c r="D2355" i="77"/>
  <c r="D2354" i="77"/>
  <c r="D2353" i="77"/>
  <c r="D2352" i="77"/>
  <c r="D2351" i="77"/>
  <c r="D2350" i="77"/>
  <c r="D2349" i="77"/>
  <c r="D2348" i="77"/>
  <c r="D2347" i="77"/>
  <c r="D2346" i="77"/>
  <c r="D2345" i="77"/>
  <c r="D2344" i="77"/>
  <c r="D2343" i="77"/>
  <c r="D2342" i="77"/>
  <c r="D2341" i="77"/>
  <c r="D2340" i="77"/>
  <c r="D2339" i="77"/>
  <c r="D2338" i="77"/>
  <c r="D2337" i="77"/>
  <c r="D2336" i="77"/>
  <c r="D2335" i="77"/>
  <c r="D2334" i="77"/>
  <c r="D2333" i="77"/>
  <c r="D2332" i="77"/>
  <c r="D2331" i="77"/>
  <c r="D2330" i="77"/>
  <c r="D2329" i="77"/>
  <c r="D2328" i="77"/>
  <c r="D2327" i="77"/>
  <c r="D2326" i="77"/>
  <c r="D2325" i="77"/>
  <c r="D2324" i="77"/>
  <c r="D2323" i="77"/>
  <c r="D2322" i="77"/>
  <c r="D2321" i="77"/>
  <c r="D2320" i="77"/>
  <c r="D2319" i="77"/>
  <c r="D2318" i="77"/>
  <c r="D2317" i="77"/>
  <c r="D2316" i="77"/>
  <c r="D2315" i="77"/>
  <c r="D2314" i="77"/>
  <c r="D2313" i="77"/>
  <c r="D2312" i="77"/>
  <c r="D2311" i="77"/>
  <c r="D2310" i="77"/>
  <c r="D2309" i="77"/>
  <c r="D2308" i="77"/>
  <c r="D2307" i="77"/>
  <c r="D2306" i="77"/>
  <c r="D2305" i="77"/>
  <c r="D2304" i="77"/>
  <c r="D2303" i="77"/>
  <c r="D2302" i="77"/>
  <c r="D2301" i="77"/>
  <c r="D2300" i="77"/>
  <c r="D2299" i="77"/>
  <c r="D2298" i="77"/>
  <c r="D2297" i="77"/>
  <c r="D2296" i="77"/>
  <c r="D2295" i="77"/>
  <c r="D2294" i="77"/>
  <c r="D2293" i="77"/>
  <c r="D2292" i="77"/>
  <c r="D2291" i="77"/>
  <c r="D2290" i="77"/>
  <c r="D2289" i="77"/>
  <c r="D2288" i="77"/>
  <c r="D2287" i="77"/>
  <c r="D2286" i="77"/>
  <c r="D2285" i="77"/>
  <c r="D2284" i="77"/>
  <c r="D2283" i="77"/>
  <c r="D2282" i="77"/>
  <c r="D2281" i="77"/>
  <c r="D2280" i="77"/>
  <c r="D2279" i="77"/>
  <c r="D2278" i="77"/>
  <c r="D2277" i="77"/>
  <c r="D2276" i="77"/>
  <c r="D2275" i="77"/>
  <c r="D2274" i="77"/>
  <c r="D2273" i="77"/>
  <c r="D2272" i="77"/>
  <c r="D2271" i="77"/>
  <c r="D2270" i="77"/>
  <c r="D2269" i="77"/>
  <c r="D2268" i="77"/>
  <c r="D2267" i="77"/>
  <c r="D2266" i="77"/>
  <c r="D2265" i="77"/>
  <c r="D2264" i="77"/>
  <c r="D2263" i="77"/>
  <c r="D2262" i="77"/>
  <c r="D2261" i="77"/>
  <c r="D2260" i="77"/>
  <c r="D2259" i="77"/>
  <c r="D2258" i="77"/>
  <c r="D2257" i="77"/>
  <c r="D2256" i="77"/>
  <c r="D2255" i="77"/>
  <c r="D2254" i="77"/>
  <c r="D2253" i="77"/>
  <c r="D2252" i="77"/>
  <c r="D2251" i="77"/>
  <c r="D2250" i="77"/>
  <c r="D2249" i="77"/>
  <c r="D2248" i="77"/>
  <c r="D2247" i="77"/>
  <c r="D2246" i="77"/>
  <c r="D2245" i="77"/>
  <c r="D2244" i="77"/>
  <c r="D2243" i="77"/>
  <c r="D2242" i="77"/>
  <c r="D2241" i="77"/>
  <c r="D2240" i="77"/>
  <c r="D2239" i="77"/>
  <c r="D2238" i="77"/>
  <c r="D2237" i="77"/>
  <c r="D2236" i="77"/>
  <c r="D2235" i="77"/>
  <c r="D2234" i="77"/>
  <c r="D2233" i="77"/>
  <c r="D2232" i="77"/>
  <c r="D2231" i="77"/>
  <c r="D2230" i="77"/>
  <c r="D2229" i="77"/>
  <c r="D2228" i="77"/>
  <c r="D2227" i="77"/>
  <c r="D2226" i="77"/>
  <c r="D2225" i="77"/>
  <c r="D2224" i="77"/>
  <c r="D2223" i="77"/>
  <c r="D2222" i="77"/>
  <c r="D2221" i="77"/>
  <c r="D2220" i="77"/>
  <c r="D2219" i="77"/>
  <c r="D2218" i="77"/>
  <c r="D2217" i="77"/>
  <c r="D2216" i="77"/>
  <c r="D2215" i="77"/>
  <c r="D2214" i="77"/>
  <c r="D2213" i="77"/>
  <c r="D2212" i="77"/>
  <c r="D2211" i="77"/>
  <c r="D2210" i="77"/>
  <c r="D2209" i="77"/>
  <c r="D2208" i="77"/>
  <c r="D2207" i="77"/>
  <c r="D2206" i="77"/>
  <c r="D2205" i="77"/>
  <c r="D2204" i="77"/>
  <c r="D2203" i="77"/>
  <c r="D2202" i="77"/>
  <c r="D2201" i="77"/>
  <c r="D2200" i="77"/>
  <c r="D2199" i="77"/>
  <c r="D2198" i="77"/>
  <c r="D2197" i="77"/>
  <c r="D2196" i="77"/>
  <c r="D2195" i="77"/>
  <c r="D2194" i="77"/>
  <c r="D2193" i="77"/>
  <c r="D2192" i="77"/>
  <c r="D2191" i="77"/>
  <c r="D2190" i="77"/>
  <c r="D2189" i="77"/>
  <c r="D2188" i="77"/>
  <c r="D2187" i="77"/>
  <c r="D2186" i="77"/>
  <c r="D2185" i="77"/>
  <c r="D2184" i="77"/>
  <c r="D2183" i="77"/>
  <c r="D2182" i="77"/>
  <c r="D2181" i="77"/>
  <c r="D2180" i="77"/>
  <c r="D2179" i="77"/>
  <c r="D2178" i="77"/>
  <c r="D2177" i="77"/>
  <c r="D2176" i="77"/>
  <c r="D2175" i="77"/>
  <c r="D2174" i="77"/>
  <c r="D2173" i="77"/>
  <c r="D2172" i="77"/>
  <c r="D2171" i="77"/>
  <c r="D2170" i="77"/>
  <c r="D2169" i="77"/>
  <c r="D2168" i="77"/>
  <c r="D2167" i="77"/>
  <c r="D2166" i="77"/>
  <c r="D2165" i="77"/>
  <c r="D2164" i="77"/>
  <c r="D2163" i="77"/>
  <c r="D2162" i="77"/>
  <c r="D2161" i="77"/>
  <c r="D2160" i="77"/>
  <c r="D2159" i="77"/>
  <c r="D2158" i="77"/>
  <c r="D2157" i="77"/>
  <c r="D2156" i="77"/>
  <c r="D2155" i="77"/>
  <c r="D2154" i="77"/>
  <c r="D2153" i="77"/>
  <c r="D2152" i="77"/>
  <c r="D2151" i="77"/>
  <c r="D2150" i="77"/>
  <c r="D2149" i="77"/>
  <c r="D2148" i="77"/>
  <c r="D2147" i="77"/>
  <c r="D2146" i="77"/>
  <c r="D2145" i="77"/>
  <c r="D2144" i="77"/>
  <c r="D2143" i="77"/>
  <c r="D2142" i="77"/>
  <c r="D2141" i="77"/>
  <c r="D2140" i="77"/>
  <c r="D2139" i="77"/>
  <c r="D2138" i="77"/>
  <c r="D2137" i="77"/>
  <c r="D2136" i="77"/>
  <c r="D2135" i="77"/>
  <c r="D2134" i="77"/>
  <c r="D2133" i="77"/>
  <c r="D2132" i="77"/>
  <c r="D2131" i="77"/>
  <c r="D2130" i="77"/>
  <c r="D2129" i="77"/>
  <c r="D2128" i="77"/>
  <c r="D2127" i="77"/>
  <c r="D2126" i="77"/>
  <c r="D2125" i="77"/>
  <c r="D2124" i="77"/>
  <c r="D2123" i="77"/>
  <c r="D2122" i="77"/>
  <c r="D2121" i="77"/>
  <c r="D2120" i="77"/>
  <c r="D2119" i="77"/>
  <c r="D2118" i="77"/>
  <c r="D2117" i="77"/>
  <c r="D2116" i="77"/>
  <c r="D2115" i="77"/>
  <c r="D2114" i="77"/>
  <c r="D2113" i="77"/>
  <c r="D2112" i="77"/>
  <c r="D2111" i="77"/>
  <c r="D2110" i="77"/>
  <c r="D2109" i="77"/>
  <c r="D2108" i="77"/>
  <c r="D2107" i="77"/>
  <c r="D2106" i="77"/>
  <c r="D2105" i="77"/>
  <c r="D2104" i="77"/>
  <c r="D2103" i="77"/>
  <c r="D2102" i="77"/>
  <c r="D2101" i="77"/>
  <c r="D2100" i="77"/>
  <c r="D2099" i="77"/>
  <c r="D2098" i="77"/>
  <c r="D2097" i="77"/>
  <c r="D2096" i="77"/>
  <c r="D2095" i="77"/>
  <c r="D2094" i="77"/>
  <c r="D2093" i="77"/>
  <c r="D2092" i="77"/>
  <c r="D2091" i="77"/>
  <c r="D2090" i="77"/>
  <c r="D2089" i="77"/>
  <c r="D2088" i="77"/>
  <c r="D2087" i="77"/>
  <c r="D2086" i="77"/>
  <c r="D2085" i="77"/>
  <c r="D2084" i="77"/>
  <c r="D2083" i="77"/>
  <c r="D2082" i="77"/>
  <c r="D2081" i="77"/>
  <c r="D2080" i="77"/>
  <c r="D2079" i="77"/>
  <c r="D2078" i="77"/>
  <c r="D2077" i="77"/>
  <c r="D2076" i="77"/>
  <c r="D2075" i="77"/>
  <c r="D2074" i="77"/>
  <c r="D2073" i="77"/>
  <c r="D2072" i="77"/>
  <c r="D2071" i="77"/>
  <c r="D2070" i="77"/>
  <c r="D2069" i="77"/>
  <c r="D2068" i="77"/>
  <c r="D2067" i="77"/>
  <c r="D2066" i="77"/>
  <c r="D2065" i="77"/>
  <c r="D2064" i="77"/>
  <c r="D2063" i="77"/>
  <c r="D2062" i="77"/>
  <c r="D2061" i="77"/>
  <c r="D2060" i="77"/>
  <c r="D2059" i="77"/>
  <c r="D2058" i="77"/>
  <c r="D2057" i="77"/>
  <c r="D2056" i="77"/>
  <c r="D2055" i="77"/>
  <c r="D2054" i="77"/>
  <c r="D2053" i="77"/>
  <c r="D2052" i="77"/>
  <c r="D2051" i="77"/>
  <c r="D2050" i="77"/>
  <c r="D2049" i="77"/>
  <c r="D2048" i="77"/>
  <c r="D2047" i="77"/>
  <c r="D2046" i="77"/>
  <c r="D2045" i="77"/>
  <c r="D2044" i="77"/>
  <c r="D2043" i="77"/>
  <c r="D2042" i="77"/>
  <c r="D2041" i="77"/>
  <c r="D2040" i="77"/>
  <c r="D2039" i="77"/>
  <c r="D2038" i="77"/>
  <c r="D2037" i="77"/>
  <c r="D2036" i="77"/>
  <c r="D2035" i="77"/>
  <c r="D2034" i="77"/>
  <c r="D2033" i="77"/>
  <c r="D2032" i="77"/>
  <c r="D2031" i="77"/>
  <c r="D2030" i="77"/>
  <c r="D2029" i="77"/>
  <c r="D2028" i="77"/>
  <c r="D2027" i="77"/>
  <c r="D2026" i="77"/>
  <c r="D2025" i="77"/>
  <c r="D2024" i="77"/>
  <c r="D2023" i="77"/>
  <c r="D2022" i="77"/>
  <c r="D2021" i="77"/>
  <c r="D2020" i="77"/>
  <c r="D2019" i="77"/>
  <c r="D2018" i="77"/>
  <c r="D2017" i="77"/>
  <c r="D2016" i="77"/>
  <c r="D2015" i="77"/>
  <c r="D2014" i="77"/>
  <c r="D2013" i="77"/>
  <c r="D2012" i="77"/>
  <c r="D2011" i="77"/>
  <c r="D2010" i="77"/>
  <c r="D2009" i="77"/>
  <c r="D2008" i="77"/>
  <c r="D2007" i="77"/>
  <c r="D2006" i="77"/>
  <c r="D2005" i="77"/>
  <c r="D2004" i="77"/>
  <c r="D2003" i="77"/>
  <c r="D2002" i="77"/>
  <c r="D2001" i="77"/>
  <c r="D2000" i="77"/>
  <c r="D1999" i="77"/>
  <c r="D1998" i="77"/>
  <c r="D1997" i="77"/>
  <c r="D1996" i="77"/>
  <c r="D1995" i="77"/>
  <c r="D1994" i="77"/>
  <c r="D1993" i="77"/>
  <c r="D1992" i="77"/>
  <c r="D1991" i="77"/>
  <c r="D1990" i="77"/>
  <c r="D1989" i="77"/>
  <c r="D1988" i="77"/>
  <c r="D1987" i="77"/>
  <c r="D1986" i="77"/>
  <c r="D1985" i="77"/>
  <c r="D1984" i="77"/>
  <c r="D1983" i="77"/>
  <c r="D1982" i="77"/>
  <c r="D1981" i="77"/>
  <c r="D1980" i="77"/>
  <c r="D1979" i="77"/>
  <c r="D1978" i="77"/>
  <c r="D1977" i="77"/>
  <c r="D1976" i="77"/>
  <c r="D1975" i="77"/>
  <c r="D1974" i="77"/>
  <c r="D1973" i="77"/>
  <c r="D1972" i="77"/>
  <c r="D1971" i="77"/>
  <c r="D1970" i="77"/>
  <c r="D1969" i="77"/>
  <c r="D1968" i="77"/>
  <c r="D1967" i="77"/>
  <c r="D1966" i="77"/>
  <c r="D1965" i="77"/>
  <c r="D1964" i="77"/>
  <c r="D1963" i="77"/>
  <c r="D1962" i="77"/>
  <c r="D1961" i="77"/>
  <c r="D1960" i="77"/>
  <c r="D1959" i="77"/>
  <c r="D1958" i="77"/>
  <c r="D1957" i="77"/>
  <c r="D1956" i="77"/>
  <c r="D1955" i="77"/>
  <c r="D1954" i="77"/>
  <c r="D1953" i="77"/>
  <c r="D1952" i="77"/>
  <c r="D1951" i="77"/>
  <c r="D1950" i="77"/>
  <c r="D1949" i="77"/>
  <c r="D1948" i="77"/>
  <c r="D1947" i="77"/>
  <c r="D1946" i="77"/>
  <c r="D1945" i="77"/>
  <c r="D1944" i="77"/>
  <c r="D1943" i="77"/>
  <c r="D1942" i="77"/>
  <c r="D1941" i="77"/>
  <c r="D1940" i="77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N5" i="14"/>
  <c r="N6" i="14"/>
  <c r="N30" i="81"/>
  <c r="M30" i="81"/>
  <c r="L30" i="81"/>
  <c r="K30" i="81"/>
  <c r="J30" i="81"/>
  <c r="I30" i="81"/>
  <c r="H30" i="81"/>
  <c r="G30" i="81"/>
  <c r="F30" i="81"/>
  <c r="E30" i="81"/>
  <c r="D30" i="81"/>
  <c r="C30" i="81"/>
  <c r="N29" i="81"/>
  <c r="M29" i="81"/>
  <c r="L29" i="81"/>
  <c r="K29" i="81"/>
  <c r="J29" i="81"/>
  <c r="I29" i="81"/>
  <c r="H29" i="81"/>
  <c r="G29" i="81"/>
  <c r="F29" i="81"/>
  <c r="E29" i="81"/>
  <c r="D29" i="81"/>
  <c r="C29" i="81"/>
  <c r="H11" i="12"/>
  <c r="H12" i="12"/>
  <c r="H13" i="12"/>
  <c r="H14" i="12"/>
  <c r="H15" i="12"/>
  <c r="H16" i="12"/>
  <c r="H17" i="12"/>
  <c r="H18" i="12"/>
  <c r="H19" i="12"/>
  <c r="C1" i="83"/>
  <c r="D1" i="83"/>
  <c r="E1" i="83"/>
  <c r="F1" i="83"/>
  <c r="G1" i="83"/>
  <c r="H1" i="83"/>
  <c r="I1" i="83"/>
  <c r="J1" i="83"/>
  <c r="K1" i="83"/>
  <c r="L1" i="83"/>
  <c r="M1" i="83"/>
  <c r="N1" i="83"/>
  <c r="O1" i="83"/>
  <c r="P1" i="83"/>
  <c r="Q1" i="83"/>
  <c r="R1" i="83"/>
  <c r="S1" i="83"/>
  <c r="T1" i="83"/>
  <c r="U1" i="83"/>
  <c r="V1" i="83"/>
  <c r="W1" i="83"/>
  <c r="X1" i="83"/>
  <c r="Y1" i="83"/>
  <c r="Z1" i="83"/>
  <c r="AA1" i="83"/>
  <c r="AB1" i="83"/>
  <c r="AC1" i="83"/>
  <c r="AD1" i="83"/>
  <c r="AE1" i="83"/>
  <c r="AF1" i="83"/>
  <c r="AG1" i="83"/>
  <c r="AH1" i="83"/>
  <c r="AI1" i="83"/>
  <c r="AJ1" i="83"/>
  <c r="AK1" i="83"/>
  <c r="AL1" i="83"/>
  <c r="AM1" i="83"/>
  <c r="AN1" i="83"/>
  <c r="AO1" i="83"/>
  <c r="AP1" i="83"/>
  <c r="AQ1" i="83"/>
  <c r="AR1" i="83"/>
  <c r="AS1" i="83"/>
  <c r="AT1" i="83"/>
  <c r="AU1" i="83"/>
  <c r="AV1" i="83"/>
  <c r="AW1" i="83"/>
  <c r="AX1" i="83"/>
  <c r="AY1" i="83"/>
  <c r="B1" i="83"/>
  <c r="C43" i="3"/>
  <c r="J11" i="33"/>
  <c r="C34" i="49"/>
  <c r="AE3" i="45"/>
  <c r="B6" i="32"/>
  <c r="B6" i="31"/>
  <c r="B6" i="30"/>
  <c r="B6" i="29"/>
  <c r="B6" i="28"/>
  <c r="Q25" i="16"/>
  <c r="Q2" i="16"/>
  <c r="F4" i="5"/>
  <c r="I4" i="74"/>
  <c r="Q25" i="84"/>
  <c r="Q2" i="84"/>
  <c r="J2" i="87"/>
  <c r="B5" i="32"/>
  <c r="B3" i="32"/>
  <c r="B5" i="31"/>
  <c r="B3" i="31"/>
  <c r="B5" i="30"/>
  <c r="B3" i="30"/>
  <c r="B5" i="29"/>
  <c r="B3" i="29"/>
  <c r="AB4" i="21"/>
  <c r="AB7" i="21"/>
  <c r="AB8" i="21"/>
  <c r="AB9" i="21"/>
  <c r="AB10" i="21"/>
  <c r="AB12" i="21"/>
  <c r="AB13" i="21"/>
  <c r="AB15" i="21"/>
  <c r="AB17" i="21"/>
  <c r="AB18" i="21"/>
  <c r="AB19" i="21"/>
  <c r="AB22" i="21"/>
  <c r="AB23" i="21"/>
  <c r="AB24" i="21"/>
  <c r="E15" i="21"/>
  <c r="V8" i="21"/>
  <c r="V9" i="21"/>
  <c r="V10" i="21"/>
  <c r="V12" i="21"/>
  <c r="V13" i="21"/>
  <c r="V15" i="21"/>
  <c r="V17" i="21"/>
  <c r="V18" i="21"/>
  <c r="V19" i="21"/>
  <c r="V22" i="21"/>
  <c r="V23" i="21"/>
  <c r="V24" i="21"/>
  <c r="AJ39" i="45"/>
  <c r="AJ40" i="45"/>
  <c r="B71" i="88"/>
  <c r="B72" i="88"/>
  <c r="A68" i="9"/>
  <c r="C5" i="49"/>
  <c r="E5" i="49"/>
  <c r="D13" i="49"/>
  <c r="E17" i="49"/>
  <c r="E13" i="49"/>
  <c r="D17" i="49"/>
  <c r="D19" i="49"/>
  <c r="A5" i="87"/>
  <c r="AI7" i="45"/>
  <c r="J3" i="87"/>
  <c r="E32" i="49"/>
  <c r="D32" i="49"/>
  <c r="E31" i="49"/>
  <c r="D31" i="49"/>
  <c r="E30" i="49"/>
  <c r="D30" i="49"/>
  <c r="E28" i="49"/>
  <c r="D28" i="49"/>
  <c r="E27" i="49"/>
  <c r="D27" i="49"/>
  <c r="D11" i="49"/>
  <c r="D10" i="49"/>
  <c r="D7" i="49"/>
  <c r="E4" i="40"/>
  <c r="D4" i="40"/>
  <c r="C4" i="40"/>
  <c r="B4" i="40"/>
  <c r="C4" i="74"/>
  <c r="A9" i="32"/>
  <c r="A9" i="29"/>
  <c r="A9" i="28"/>
  <c r="E5" i="3"/>
  <c r="N27" i="24"/>
  <c r="L27" i="24"/>
  <c r="J27" i="24"/>
  <c r="H27" i="24"/>
  <c r="F27" i="24"/>
  <c r="E27" i="24"/>
  <c r="O26" i="24"/>
  <c r="M26" i="24"/>
  <c r="K26" i="24"/>
  <c r="I26" i="24"/>
  <c r="G26" i="24"/>
  <c r="E26" i="24"/>
  <c r="O25" i="24"/>
  <c r="M25" i="24"/>
  <c r="K25" i="24"/>
  <c r="I25" i="24"/>
  <c r="G25" i="24"/>
  <c r="E25" i="24"/>
  <c r="O24" i="24"/>
  <c r="M24" i="24"/>
  <c r="K24" i="24"/>
  <c r="I24" i="24"/>
  <c r="G24" i="24"/>
  <c r="E24" i="24"/>
  <c r="O23" i="24"/>
  <c r="M23" i="24"/>
  <c r="K23" i="24"/>
  <c r="I23" i="24"/>
  <c r="G23" i="24"/>
  <c r="E23" i="24"/>
  <c r="O22" i="24"/>
  <c r="M22" i="24"/>
  <c r="K22" i="24"/>
  <c r="I22" i="24"/>
  <c r="G22" i="24"/>
  <c r="E22" i="24"/>
  <c r="J11" i="24"/>
  <c r="V35" i="11"/>
  <c r="U35" i="11"/>
  <c r="V33" i="11"/>
  <c r="U33" i="11"/>
  <c r="V29" i="11"/>
  <c r="U29" i="11"/>
  <c r="V28" i="11"/>
  <c r="U28" i="11"/>
  <c r="V24" i="11"/>
  <c r="U24" i="11"/>
  <c r="V23" i="11"/>
  <c r="U23" i="11"/>
  <c r="V21" i="11"/>
  <c r="U21" i="11"/>
  <c r="V17" i="11"/>
  <c r="U17" i="11"/>
  <c r="V15" i="11"/>
  <c r="U15" i="11"/>
  <c r="V14" i="11"/>
  <c r="U14" i="11"/>
  <c r="V13" i="11"/>
  <c r="V12" i="11"/>
  <c r="V8" i="11"/>
  <c r="U8" i="11"/>
  <c r="V7" i="11"/>
  <c r="U7" i="11"/>
  <c r="B29" i="6"/>
  <c r="F18" i="19"/>
  <c r="D23" i="49"/>
  <c r="D25" i="49"/>
  <c r="D8" i="49"/>
  <c r="B27" i="6"/>
  <c r="D24" i="49"/>
  <c r="N10" i="39"/>
  <c r="D9" i="49"/>
  <c r="U13" i="11"/>
  <c r="U12" i="11"/>
  <c r="B80" i="88"/>
  <c r="B81" i="88"/>
  <c r="B82" i="88"/>
  <c r="B83" i="88"/>
  <c r="B84" i="88"/>
  <c r="B85" i="88"/>
  <c r="B86" i="88"/>
  <c r="B87" i="88"/>
  <c r="B88" i="88"/>
  <c r="B89" i="88"/>
  <c r="B90" i="88"/>
  <c r="B91" i="88"/>
  <c r="B92" i="88"/>
  <c r="S38" i="13"/>
  <c r="S37" i="13"/>
  <c r="S36" i="13"/>
  <c r="S35" i="13"/>
  <c r="S34" i="13"/>
  <c r="S33" i="13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S9" i="13"/>
  <c r="N19" i="13"/>
  <c r="N20" i="13"/>
  <c r="N21" i="13"/>
  <c r="N22" i="13"/>
  <c r="N23" i="13"/>
  <c r="N24" i="13"/>
  <c r="N25" i="13"/>
  <c r="N26" i="13"/>
  <c r="N27" i="13"/>
  <c r="N28" i="13"/>
  <c r="N29" i="13"/>
  <c r="N30" i="13"/>
  <c r="N31" i="13"/>
  <c r="N32" i="13"/>
  <c r="N33" i="13"/>
  <c r="N34" i="13"/>
  <c r="N35" i="13"/>
  <c r="N36" i="13"/>
  <c r="N37" i="13"/>
  <c r="N38" i="13"/>
  <c r="L38" i="13"/>
  <c r="L37" i="13"/>
  <c r="L36" i="13"/>
  <c r="L35" i="13"/>
  <c r="L34" i="13"/>
  <c r="L33" i="13"/>
  <c r="L32" i="13"/>
  <c r="L31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L9" i="13"/>
  <c r="K38" i="13"/>
  <c r="K37" i="13"/>
  <c r="K36" i="13"/>
  <c r="K35" i="13"/>
  <c r="K34" i="13"/>
  <c r="K33" i="13"/>
  <c r="K32" i="13"/>
  <c r="K31" i="13"/>
  <c r="K30" i="13"/>
  <c r="K29" i="13"/>
  <c r="K28" i="13"/>
  <c r="K27" i="13"/>
  <c r="K26" i="13"/>
  <c r="K25" i="13"/>
  <c r="K24" i="13"/>
  <c r="K23" i="13"/>
  <c r="K22" i="13"/>
  <c r="K21" i="13"/>
  <c r="K20" i="13"/>
  <c r="K19" i="13"/>
  <c r="AK24" i="45"/>
  <c r="AK25" i="45"/>
  <c r="AK26" i="45"/>
  <c r="AK27" i="45"/>
  <c r="AK28" i="45"/>
  <c r="AK29" i="45"/>
  <c r="AK30" i="45"/>
  <c r="AK31" i="45"/>
  <c r="AK32" i="45"/>
  <c r="AK23" i="45"/>
  <c r="P11" i="45"/>
  <c r="J31" i="50"/>
  <c r="H31" i="50"/>
  <c r="C55" i="74"/>
  <c r="C54" i="74"/>
  <c r="U64" i="9"/>
  <c r="U65" i="9"/>
  <c r="U66" i="9"/>
  <c r="U67" i="9"/>
  <c r="U63" i="9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B69" i="88"/>
  <c r="B70" i="88"/>
  <c r="BD24" i="45"/>
  <c r="BC24" i="45"/>
  <c r="BD25" i="45"/>
  <c r="BC25" i="45"/>
  <c r="BD26" i="45"/>
  <c r="BC26" i="45"/>
  <c r="BD27" i="45"/>
  <c r="BC27" i="45"/>
  <c r="BD28" i="45"/>
  <c r="BC28" i="45"/>
  <c r="BD29" i="45"/>
  <c r="BC29" i="45"/>
  <c r="BD30" i="45"/>
  <c r="BC30" i="45"/>
  <c r="BD31" i="45"/>
  <c r="BC31" i="45"/>
  <c r="BD32" i="45"/>
  <c r="BC32" i="45"/>
  <c r="BD23" i="45"/>
  <c r="BC23" i="45"/>
  <c r="BO3" i="14"/>
  <c r="BN3" i="14"/>
  <c r="BO4" i="14"/>
  <c r="BN4" i="14"/>
  <c r="BO5" i="14"/>
  <c r="BN5" i="14"/>
  <c r="BO6" i="14"/>
  <c r="BN6" i="14"/>
  <c r="BO7" i="14"/>
  <c r="BN7" i="14"/>
  <c r="BO8" i="14"/>
  <c r="BN8" i="14"/>
  <c r="BO9" i="14"/>
  <c r="BN9" i="14"/>
  <c r="BO10" i="14"/>
  <c r="BN10" i="14"/>
  <c r="BO11" i="14"/>
  <c r="BN11" i="14"/>
  <c r="BO12" i="14"/>
  <c r="BN12" i="14"/>
  <c r="BO13" i="14"/>
  <c r="BN13" i="14"/>
  <c r="BO14" i="14"/>
  <c r="BN14" i="14"/>
  <c r="BO15" i="14"/>
  <c r="BN15" i="14"/>
  <c r="BO16" i="14"/>
  <c r="BN16" i="14"/>
  <c r="BO17" i="14"/>
  <c r="BN17" i="14"/>
  <c r="BO18" i="14"/>
  <c r="BN18" i="14"/>
  <c r="BO19" i="14"/>
  <c r="BN19" i="14"/>
  <c r="BO20" i="14"/>
  <c r="BN20" i="14"/>
  <c r="BO21" i="14"/>
  <c r="BN21" i="14"/>
  <c r="BO22" i="14"/>
  <c r="BN22" i="14"/>
  <c r="BO23" i="14"/>
  <c r="BN23" i="14"/>
  <c r="BO24" i="14"/>
  <c r="BN24" i="14"/>
  <c r="BO25" i="14"/>
  <c r="BN25" i="14"/>
  <c r="BO26" i="14"/>
  <c r="BN26" i="14"/>
  <c r="BO27" i="14"/>
  <c r="BN27" i="14"/>
  <c r="BO28" i="14"/>
  <c r="BN28" i="14"/>
  <c r="BO29" i="14"/>
  <c r="BN29" i="14"/>
  <c r="BO30" i="14"/>
  <c r="BN30" i="14"/>
  <c r="BO31" i="14"/>
  <c r="BN31" i="14"/>
  <c r="BO2" i="14"/>
  <c r="BN2" i="14"/>
  <c r="B74" i="88"/>
  <c r="B75" i="88"/>
  <c r="B76" i="88"/>
  <c r="B77" i="88"/>
  <c r="B78" i="88"/>
  <c r="BB3" i="14"/>
  <c r="BD6" i="14"/>
  <c r="BA6" i="14"/>
  <c r="BD7" i="14"/>
  <c r="BA7" i="14"/>
  <c r="BD8" i="14"/>
  <c r="BA8" i="14"/>
  <c r="BD9" i="14"/>
  <c r="BA9" i="14"/>
  <c r="BD10" i="14"/>
  <c r="BA10" i="14"/>
  <c r="BD11" i="14"/>
  <c r="BA11" i="14"/>
  <c r="BD12" i="14"/>
  <c r="BA12" i="14"/>
  <c r="BD13" i="14"/>
  <c r="BA13" i="14"/>
  <c r="BD14" i="14"/>
  <c r="BA14" i="14"/>
  <c r="BD15" i="14"/>
  <c r="BA15" i="14"/>
  <c r="BD16" i="14"/>
  <c r="BA16" i="14"/>
  <c r="BD17" i="14"/>
  <c r="BA17" i="14"/>
  <c r="BD18" i="14"/>
  <c r="BA18" i="14"/>
  <c r="BD19" i="14"/>
  <c r="BA19" i="14"/>
  <c r="BD20" i="14"/>
  <c r="BA20" i="14"/>
  <c r="BD21" i="14"/>
  <c r="BA21" i="14"/>
  <c r="BD22" i="14"/>
  <c r="BA22" i="14"/>
  <c r="BD23" i="14"/>
  <c r="BA23" i="14"/>
  <c r="BD24" i="14"/>
  <c r="BA24" i="14"/>
  <c r="BD25" i="14"/>
  <c r="BA25" i="14"/>
  <c r="BD26" i="14"/>
  <c r="BA26" i="14"/>
  <c r="BD27" i="14"/>
  <c r="BA27" i="14"/>
  <c r="BD28" i="14"/>
  <c r="BA28" i="14"/>
  <c r="BD29" i="14"/>
  <c r="BA29" i="14"/>
  <c r="BD30" i="14"/>
  <c r="BA30" i="14"/>
  <c r="BD31" i="14"/>
  <c r="BA31" i="14"/>
  <c r="BC3" i="14"/>
  <c r="BC4" i="14"/>
  <c r="BC5" i="14"/>
  <c r="BC6" i="14"/>
  <c r="BC7" i="14"/>
  <c r="BC8" i="14"/>
  <c r="BC9" i="14"/>
  <c r="BC10" i="14"/>
  <c r="BC11" i="14"/>
  <c r="BC12" i="14"/>
  <c r="BC13" i="14"/>
  <c r="BC14" i="14"/>
  <c r="BC15" i="14"/>
  <c r="BC16" i="14"/>
  <c r="BC17" i="14"/>
  <c r="BC18" i="14"/>
  <c r="BC19" i="14"/>
  <c r="BC20" i="14"/>
  <c r="BC21" i="14"/>
  <c r="BC22" i="14"/>
  <c r="BC23" i="14"/>
  <c r="BC24" i="14"/>
  <c r="BC25" i="14"/>
  <c r="BC26" i="14"/>
  <c r="BC27" i="14"/>
  <c r="BC28" i="14"/>
  <c r="BC29" i="14"/>
  <c r="BC30" i="14"/>
  <c r="BC31" i="14"/>
  <c r="BC2" i="14"/>
  <c r="BB9" i="14"/>
  <c r="BB27" i="14"/>
  <c r="BB6" i="14"/>
  <c r="BB28" i="14"/>
  <c r="BB19" i="14"/>
  <c r="BB11" i="14"/>
  <c r="BB8" i="14"/>
  <c r="BB26" i="14"/>
  <c r="BB24" i="14"/>
  <c r="BB4" i="14"/>
  <c r="BB14" i="14"/>
  <c r="BB13" i="14"/>
  <c r="BB17" i="14"/>
  <c r="BB12" i="14"/>
  <c r="BB30" i="14"/>
  <c r="BB7" i="14"/>
  <c r="BB21" i="14"/>
  <c r="BB20" i="14"/>
  <c r="BB22" i="14"/>
  <c r="BB15" i="14"/>
  <c r="BB29" i="14"/>
  <c r="BB25" i="14"/>
  <c r="BB10" i="14"/>
  <c r="BB5" i="14"/>
  <c r="BB18" i="14"/>
  <c r="BB23" i="14"/>
  <c r="BB31" i="14"/>
  <c r="BB16" i="14"/>
  <c r="B26" i="6"/>
  <c r="B68" i="88"/>
  <c r="B33" i="6"/>
  <c r="N4" i="13"/>
  <c r="B45" i="88"/>
  <c r="B46" i="88"/>
  <c r="B47" i="88"/>
  <c r="B48" i="88"/>
  <c r="B49" i="88"/>
  <c r="B50" i="88"/>
  <c r="B51" i="88"/>
  <c r="B52" i="88"/>
  <c r="B53" i="88"/>
  <c r="B54" i="88"/>
  <c r="B55" i="88"/>
  <c r="B56" i="88"/>
  <c r="B57" i="88"/>
  <c r="B58" i="88"/>
  <c r="B59" i="88"/>
  <c r="B60" i="88"/>
  <c r="B61" i="88"/>
  <c r="B62" i="88"/>
  <c r="B63" i="88"/>
  <c r="B64" i="88"/>
  <c r="B65" i="88"/>
  <c r="B66" i="88"/>
  <c r="B67" i="88"/>
  <c r="N12" i="39"/>
  <c r="B2" i="88"/>
  <c r="B3" i="88"/>
  <c r="B4" i="88"/>
  <c r="B5" i="88"/>
  <c r="B6" i="88"/>
  <c r="B7" i="88"/>
  <c r="B8" i="88"/>
  <c r="B9" i="88"/>
  <c r="B10" i="88"/>
  <c r="B11" i="88"/>
  <c r="B13" i="88"/>
  <c r="B14" i="88"/>
  <c r="B15" i="88"/>
  <c r="B16" i="88"/>
  <c r="B17" i="88"/>
  <c r="B18" i="88"/>
  <c r="B19" i="88"/>
  <c r="B20" i="88"/>
  <c r="B21" i="88"/>
  <c r="B23" i="88"/>
  <c r="B24" i="88"/>
  <c r="B25" i="88"/>
  <c r="B26" i="88"/>
  <c r="B27" i="88"/>
  <c r="B28" i="88"/>
  <c r="B29" i="88"/>
  <c r="B30" i="88"/>
  <c r="B31" i="88"/>
  <c r="B32" i="88"/>
  <c r="B33" i="88"/>
  <c r="B34" i="88"/>
  <c r="B35" i="88"/>
  <c r="B36" i="88"/>
  <c r="B37" i="88"/>
  <c r="B38" i="88"/>
  <c r="B39" i="88"/>
  <c r="B40" i="88"/>
  <c r="B41" i="88"/>
  <c r="B42" i="88"/>
  <c r="B43" i="88"/>
  <c r="B44" i="88"/>
  <c r="B1" i="88"/>
  <c r="A114" i="9"/>
  <c r="A115" i="9"/>
  <c r="A116" i="9"/>
  <c r="A117" i="9"/>
  <c r="A118" i="9"/>
  <c r="A119" i="9"/>
  <c r="A120" i="9"/>
  <c r="A121" i="9"/>
  <c r="A122" i="9"/>
  <c r="A123" i="9"/>
  <c r="A124" i="9"/>
  <c r="A125" i="9"/>
  <c r="A69" i="9"/>
  <c r="A70" i="9"/>
  <c r="A71" i="9"/>
  <c r="A72" i="9"/>
  <c r="A73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18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" i="9"/>
  <c r="A113" i="9"/>
  <c r="I22" i="18"/>
  <c r="I23" i="18"/>
  <c r="A89" i="9"/>
  <c r="A74" i="9"/>
  <c r="AG24" i="45"/>
  <c r="AG25" i="45"/>
  <c r="AG26" i="45"/>
  <c r="AG27" i="45"/>
  <c r="AG28" i="45"/>
  <c r="AG29" i="45"/>
  <c r="AG30" i="45"/>
  <c r="AG31" i="45"/>
  <c r="AG32" i="45"/>
  <c r="AG23" i="45"/>
  <c r="BB2" i="14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E38" i="13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6" i="13"/>
  <c r="E15" i="13"/>
  <c r="E14" i="13"/>
  <c r="E13" i="13"/>
  <c r="E12" i="13"/>
  <c r="E11" i="13"/>
  <c r="E10" i="13"/>
  <c r="E9" i="13"/>
  <c r="E17" i="13"/>
  <c r="AA5" i="21"/>
  <c r="AA21" i="21"/>
  <c r="W14" i="21"/>
  <c r="C7" i="45"/>
  <c r="B3" i="42"/>
  <c r="B4" i="42"/>
  <c r="B5" i="42"/>
  <c r="B6" i="42"/>
  <c r="B7" i="42"/>
  <c r="B8" i="42"/>
  <c r="B9" i="42"/>
  <c r="B10" i="42"/>
  <c r="B11" i="42"/>
  <c r="B12" i="42"/>
  <c r="B13" i="42"/>
  <c r="B14" i="42"/>
  <c r="B15" i="42"/>
  <c r="B16" i="42"/>
  <c r="B17" i="42"/>
  <c r="A5" i="71"/>
  <c r="A6" i="71"/>
  <c r="A7" i="71"/>
  <c r="A8" i="71"/>
  <c r="A9" i="71"/>
  <c r="A10" i="71"/>
  <c r="A11" i="71"/>
  <c r="A12" i="71"/>
  <c r="A13" i="71"/>
  <c r="A14" i="71"/>
  <c r="A15" i="71"/>
  <c r="A16" i="71"/>
  <c r="A17" i="71"/>
  <c r="A18" i="71"/>
  <c r="A19" i="71"/>
  <c r="A20" i="71"/>
  <c r="A21" i="71"/>
  <c r="A22" i="71"/>
  <c r="A23" i="71"/>
  <c r="A24" i="71"/>
  <c r="A25" i="71"/>
  <c r="A26" i="71"/>
  <c r="A4" i="71"/>
  <c r="V4" i="71"/>
  <c r="V5" i="71"/>
  <c r="V6" i="71"/>
  <c r="V7" i="71"/>
  <c r="V8" i="71"/>
  <c r="V9" i="71"/>
  <c r="V10" i="71"/>
  <c r="V11" i="71"/>
  <c r="V12" i="71"/>
  <c r="V13" i="71"/>
  <c r="V14" i="71"/>
  <c r="V15" i="71"/>
  <c r="V16" i="71"/>
  <c r="V17" i="71"/>
  <c r="V18" i="71"/>
  <c r="V19" i="71"/>
  <c r="V20" i="71"/>
  <c r="V21" i="71"/>
  <c r="V22" i="71"/>
  <c r="V23" i="71"/>
  <c r="V24" i="71"/>
  <c r="V25" i="71"/>
  <c r="V26" i="71"/>
  <c r="D2" i="87"/>
  <c r="O2" i="87"/>
  <c r="O1" i="87"/>
  <c r="C4" i="87"/>
  <c r="B4" i="87"/>
  <c r="J1" i="87"/>
  <c r="D6" i="87"/>
  <c r="I46" i="20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C21" i="45"/>
  <c r="J18" i="39"/>
  <c r="J17" i="39"/>
  <c r="Y23" i="45"/>
  <c r="AA23" i="45"/>
  <c r="X24" i="45"/>
  <c r="AB24" i="45"/>
  <c r="Y24" i="45"/>
  <c r="AA24" i="45"/>
  <c r="X25" i="45"/>
  <c r="AB25" i="45"/>
  <c r="Y25" i="45"/>
  <c r="AA25" i="45"/>
  <c r="X26" i="45"/>
  <c r="AB26" i="45"/>
  <c r="Y26" i="45"/>
  <c r="AA26" i="45"/>
  <c r="X27" i="45"/>
  <c r="AB27" i="45"/>
  <c r="Y27" i="45"/>
  <c r="AA27" i="45"/>
  <c r="X28" i="45"/>
  <c r="AB28" i="45"/>
  <c r="Y28" i="45"/>
  <c r="AA28" i="45"/>
  <c r="X29" i="45"/>
  <c r="AB29" i="45"/>
  <c r="Y29" i="45"/>
  <c r="AA29" i="45"/>
  <c r="X30" i="45"/>
  <c r="AB30" i="45"/>
  <c r="Y30" i="45"/>
  <c r="AA30" i="45"/>
  <c r="X31" i="45"/>
  <c r="AB31" i="45"/>
  <c r="Y31" i="45"/>
  <c r="AA31" i="45"/>
  <c r="X32" i="45"/>
  <c r="AB32" i="45"/>
  <c r="Y32" i="45"/>
  <c r="AA32" i="45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B43" i="87"/>
  <c r="A43" i="87"/>
  <c r="B10" i="87"/>
  <c r="AB23" i="45"/>
  <c r="L24" i="45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E4" i="87"/>
  <c r="K5" i="87"/>
  <c r="I5" i="87"/>
  <c r="J5" i="87"/>
  <c r="L65" i="33"/>
  <c r="L66" i="33"/>
  <c r="L67" i="33"/>
  <c r="L64" i="33"/>
  <c r="G65" i="33"/>
  <c r="G66" i="33"/>
  <c r="G67" i="33"/>
  <c r="G64" i="33"/>
  <c r="B23" i="6"/>
  <c r="AC24" i="45"/>
  <c r="AC25" i="45"/>
  <c r="AC26" i="45"/>
  <c r="AC27" i="45"/>
  <c r="AC28" i="45"/>
  <c r="AC29" i="45"/>
  <c r="AC30" i="45"/>
  <c r="AC31" i="45"/>
  <c r="AC32" i="45"/>
  <c r="AC23" i="45"/>
  <c r="C51" i="74"/>
  <c r="C52" i="74"/>
  <c r="H51" i="74"/>
  <c r="K51" i="74"/>
  <c r="M53" i="74"/>
  <c r="N53" i="74"/>
  <c r="J51" i="74"/>
  <c r="G51" i="74"/>
  <c r="I51" i="74"/>
  <c r="A23" i="24"/>
  <c r="B22" i="24"/>
  <c r="AA25" i="84"/>
  <c r="AA2" i="84"/>
  <c r="AA25" i="16"/>
  <c r="O51" i="74"/>
  <c r="M51" i="74"/>
  <c r="N7" i="24"/>
  <c r="N3" i="24"/>
  <c r="N4" i="24"/>
  <c r="N6" i="24"/>
  <c r="N5" i="24"/>
  <c r="J7" i="24"/>
  <c r="J6" i="24"/>
  <c r="J3" i="24"/>
  <c r="J5" i="24"/>
  <c r="N51" i="74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N52" i="74"/>
  <c r="C44" i="5"/>
  <c r="C43" i="5"/>
  <c r="C40" i="5"/>
  <c r="C42" i="5"/>
  <c r="C39" i="5"/>
  <c r="C41" i="5"/>
  <c r="D20" i="5"/>
  <c r="D12" i="5"/>
  <c r="Z3" i="27"/>
  <c r="D6" i="5"/>
  <c r="E3" i="24"/>
  <c r="M75" i="75"/>
  <c r="M15" i="75"/>
  <c r="M14" i="75"/>
  <c r="M30" i="75"/>
  <c r="M39" i="75"/>
  <c r="M38" i="75"/>
  <c r="M37" i="75"/>
  <c r="M35" i="75"/>
  <c r="G46" i="20"/>
  <c r="H40" i="10"/>
  <c r="M46" i="20"/>
  <c r="M40" i="10"/>
  <c r="H39" i="10"/>
  <c r="G45" i="20"/>
  <c r="E95" i="5"/>
  <c r="E96" i="5"/>
  <c r="E97" i="5"/>
  <c r="I81" i="5"/>
  <c r="I82" i="5"/>
  <c r="I83" i="5"/>
  <c r="E83" i="5"/>
  <c r="E84" i="5"/>
  <c r="E85" i="5"/>
  <c r="H80" i="5"/>
  <c r="AA6" i="21"/>
  <c r="W15" i="21"/>
  <c r="F92" i="5"/>
  <c r="H16" i="21"/>
  <c r="D94" i="5"/>
  <c r="AA14" i="21"/>
  <c r="Y18" i="21"/>
  <c r="B24" i="28"/>
  <c r="D17" i="21"/>
  <c r="AA16" i="21"/>
  <c r="A24" i="28"/>
  <c r="A24" i="31"/>
  <c r="A24" i="30"/>
  <c r="A24" i="29"/>
  <c r="W7" i="21"/>
  <c r="H24" i="20"/>
  <c r="F32" i="20"/>
  <c r="A24" i="32"/>
  <c r="H82" i="5"/>
  <c r="H83" i="5"/>
  <c r="Y16" i="21"/>
  <c r="W16" i="21"/>
  <c r="G27" i="32"/>
  <c r="E94" i="5"/>
  <c r="H32" i="20"/>
  <c r="L22" i="20"/>
  <c r="I80" i="5"/>
  <c r="AA3" i="21"/>
  <c r="I27" i="32"/>
  <c r="B24" i="31"/>
  <c r="B24" i="32"/>
  <c r="B24" i="30"/>
  <c r="B24" i="29"/>
  <c r="G27" i="28"/>
  <c r="G27" i="29"/>
  <c r="G27" i="31"/>
  <c r="G27" i="30"/>
  <c r="G25" i="28"/>
  <c r="G25" i="31"/>
  <c r="G25" i="30"/>
  <c r="G25" i="29"/>
  <c r="AB16" i="21"/>
  <c r="I34" i="20"/>
  <c r="X14" i="21"/>
  <c r="AB14" i="21"/>
  <c r="I32" i="20"/>
  <c r="G25" i="32"/>
  <c r="G18" i="32"/>
  <c r="F94" i="5"/>
  <c r="F96" i="5"/>
  <c r="H81" i="5"/>
  <c r="D97" i="5"/>
  <c r="D96" i="5"/>
  <c r="I27" i="30"/>
  <c r="I27" i="31"/>
  <c r="I27" i="28"/>
  <c r="I27" i="29"/>
  <c r="B34" i="32"/>
  <c r="X6" i="21"/>
  <c r="AB6" i="21"/>
  <c r="I24" i="20"/>
  <c r="D81" i="5"/>
  <c r="L81" i="5"/>
  <c r="D88" i="5"/>
  <c r="L88" i="5"/>
  <c r="D84" i="5"/>
  <c r="L84" i="5"/>
  <c r="D85" i="5"/>
  <c r="L85" i="5"/>
  <c r="D89" i="5"/>
  <c r="L89" i="5"/>
  <c r="E82" i="5"/>
  <c r="A17" i="32"/>
  <c r="E81" i="5"/>
  <c r="A13" i="32"/>
  <c r="D83" i="5"/>
  <c r="L83" i="5"/>
  <c r="D82" i="5"/>
  <c r="L82" i="5"/>
  <c r="D92" i="5"/>
  <c r="D91" i="5"/>
  <c r="L91" i="5"/>
  <c r="AA11" i="21"/>
  <c r="W13" i="21"/>
  <c r="Y5" i="21"/>
  <c r="B23" i="20"/>
  <c r="Y3" i="21"/>
  <c r="B22" i="20"/>
  <c r="Z5" i="21"/>
  <c r="G33" i="29"/>
  <c r="G33" i="31"/>
  <c r="G33" i="30"/>
  <c r="G33" i="28"/>
  <c r="A30" i="32"/>
  <c r="F29" i="20"/>
  <c r="G33" i="32"/>
  <c r="F89" i="5"/>
  <c r="W11" i="21"/>
  <c r="C23" i="20"/>
  <c r="W13" i="11"/>
  <c r="W16" i="11"/>
  <c r="W29" i="11"/>
  <c r="W35" i="11"/>
  <c r="W23" i="11"/>
  <c r="W5" i="11"/>
  <c r="W30" i="11"/>
  <c r="W11" i="11"/>
  <c r="W25" i="11"/>
  <c r="W7" i="11"/>
  <c r="W6" i="11"/>
  <c r="W34" i="11"/>
  <c r="W21" i="11"/>
  <c r="W15" i="11"/>
  <c r="W31" i="11"/>
  <c r="W20" i="11"/>
  <c r="W33" i="11"/>
  <c r="W8" i="11"/>
  <c r="W10" i="11"/>
  <c r="W24" i="11"/>
  <c r="W28" i="11"/>
  <c r="W17" i="11"/>
  <c r="W18" i="11"/>
  <c r="W12" i="11"/>
  <c r="W19" i="11"/>
  <c r="W27" i="11"/>
  <c r="W14" i="11"/>
  <c r="W22" i="11"/>
  <c r="W9" i="11"/>
  <c r="W26" i="11"/>
  <c r="W32" i="11"/>
  <c r="X11" i="21"/>
  <c r="AB11" i="21"/>
  <c r="I29" i="20"/>
  <c r="I9" i="33"/>
  <c r="F6" i="31"/>
  <c r="F6" i="29"/>
  <c r="F6" i="28"/>
  <c r="F6" i="32"/>
  <c r="F6" i="30"/>
  <c r="H29" i="20"/>
  <c r="G25" i="84"/>
  <c r="G2" i="84"/>
  <c r="G25" i="16"/>
  <c r="G2" i="16"/>
  <c r="H75" i="5"/>
  <c r="E87" i="5"/>
  <c r="H34" i="5"/>
  <c r="H2" i="5"/>
  <c r="C7" i="18"/>
  <c r="C6" i="18"/>
  <c r="C5" i="18"/>
  <c r="C4" i="18"/>
  <c r="C3" i="18"/>
  <c r="C2" i="18"/>
  <c r="BF24" i="14"/>
  <c r="BF3" i="14"/>
  <c r="BF7" i="14"/>
  <c r="BF31" i="14"/>
  <c r="BF22" i="14"/>
  <c r="BF30" i="14"/>
  <c r="BF14" i="14"/>
  <c r="BF4" i="14"/>
  <c r="BF28" i="14"/>
  <c r="BF13" i="14"/>
  <c r="BF27" i="14"/>
  <c r="BF18" i="14"/>
  <c r="BF9" i="14"/>
  <c r="BF6" i="14"/>
  <c r="BF5" i="14"/>
  <c r="BF23" i="14"/>
  <c r="BF16" i="14"/>
  <c r="BF25" i="14"/>
  <c r="BF21" i="14"/>
  <c r="BF26" i="14"/>
  <c r="BF10" i="14"/>
  <c r="BF8" i="14"/>
  <c r="BF29" i="14"/>
  <c r="BF20" i="14"/>
  <c r="BF19" i="14"/>
  <c r="BF15" i="14"/>
  <c r="BF17" i="14"/>
  <c r="BF12" i="14"/>
  <c r="BF11" i="14"/>
  <c r="G88" i="5"/>
  <c r="F87" i="5"/>
  <c r="B49" i="39"/>
  <c r="L3" i="57"/>
  <c r="L9" i="58"/>
  <c r="I3" i="57"/>
  <c r="I9" i="58"/>
  <c r="G3" i="57"/>
  <c r="G9" i="58"/>
  <c r="E3" i="57"/>
  <c r="E9" i="58"/>
  <c r="C3" i="57"/>
  <c r="C9" i="58"/>
  <c r="BF2" i="14"/>
  <c r="M85" i="75"/>
  <c r="M77" i="75"/>
  <c r="B32" i="6"/>
  <c r="Q10" i="39"/>
  <c r="B31" i="6"/>
  <c r="Q11" i="39"/>
  <c r="K4" i="50"/>
  <c r="Q3" i="56"/>
  <c r="J4" i="50"/>
  <c r="Q2" i="56"/>
  <c r="M61" i="75"/>
  <c r="M45" i="75"/>
  <c r="M29" i="75"/>
  <c r="M13" i="75"/>
  <c r="B30" i="6"/>
  <c r="C25" i="6"/>
  <c r="B25" i="6"/>
  <c r="M4" i="33"/>
  <c r="AD29" i="12"/>
  <c r="B31" i="10"/>
  <c r="B20" i="6"/>
  <c r="B18" i="6"/>
  <c r="N2" i="13"/>
  <c r="D1" i="33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G3" i="13"/>
  <c r="I10" i="39"/>
  <c r="I11" i="39"/>
  <c r="O2" i="58"/>
  <c r="M2" i="10"/>
  <c r="J2" i="60"/>
  <c r="T2" i="13"/>
  <c r="D3" i="60"/>
  <c r="H3" i="60"/>
  <c r="D2" i="60"/>
  <c r="E3" i="17"/>
  <c r="F3" i="20"/>
  <c r="D3" i="58"/>
  <c r="J3" i="58"/>
  <c r="D2" i="58"/>
  <c r="K3" i="20"/>
  <c r="F2" i="20"/>
  <c r="I3" i="17"/>
  <c r="E2" i="17"/>
  <c r="G2" i="13"/>
  <c r="I3" i="10"/>
  <c r="E2" i="10"/>
  <c r="AS3" i="14"/>
  <c r="T10" i="13"/>
  <c r="AS4" i="14"/>
  <c r="T11" i="13"/>
  <c r="AS5" i="14"/>
  <c r="T12" i="13"/>
  <c r="AS6" i="14"/>
  <c r="T13" i="13"/>
  <c r="AS7" i="14"/>
  <c r="T14" i="13"/>
  <c r="AS8" i="14"/>
  <c r="T15" i="13"/>
  <c r="AS9" i="14"/>
  <c r="T16" i="13"/>
  <c r="AS10" i="14"/>
  <c r="T17" i="13"/>
  <c r="AS11" i="14"/>
  <c r="T18" i="13"/>
  <c r="AS12" i="14"/>
  <c r="T19" i="13"/>
  <c r="AS13" i="14"/>
  <c r="T20" i="13"/>
  <c r="AS14" i="14"/>
  <c r="T21" i="13"/>
  <c r="AS15" i="14"/>
  <c r="T22" i="13"/>
  <c r="AS16" i="14"/>
  <c r="T23" i="13"/>
  <c r="AS17" i="14"/>
  <c r="T24" i="13"/>
  <c r="AS18" i="14"/>
  <c r="T25" i="13"/>
  <c r="AS19" i="14"/>
  <c r="T26" i="13"/>
  <c r="AS20" i="14"/>
  <c r="T27" i="13"/>
  <c r="AS21" i="14"/>
  <c r="T28" i="13"/>
  <c r="AS22" i="14"/>
  <c r="T29" i="13"/>
  <c r="AS23" i="14"/>
  <c r="T30" i="13"/>
  <c r="AS24" i="14"/>
  <c r="T31" i="13"/>
  <c r="AS25" i="14"/>
  <c r="T32" i="13"/>
  <c r="AS26" i="14"/>
  <c r="T33" i="13"/>
  <c r="AS27" i="14"/>
  <c r="T34" i="13"/>
  <c r="AS28" i="14"/>
  <c r="T35" i="13"/>
  <c r="AS29" i="14"/>
  <c r="T36" i="13"/>
  <c r="AS30" i="14"/>
  <c r="T37" i="13"/>
  <c r="AS31" i="14"/>
  <c r="T38" i="13"/>
  <c r="AS2" i="14"/>
  <c r="T9" i="13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AN31" i="14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W31" i="14"/>
  <c r="AN2" i="14"/>
  <c r="W2" i="14"/>
  <c r="M38" i="13"/>
  <c r="M37" i="13"/>
  <c r="M36" i="13"/>
  <c r="M35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9" i="75"/>
  <c r="M18" i="13"/>
  <c r="M17" i="13"/>
  <c r="M16" i="13"/>
  <c r="M15" i="13"/>
  <c r="M14" i="13"/>
  <c r="M13" i="13"/>
  <c r="M12" i="13"/>
  <c r="M11" i="13"/>
  <c r="M10" i="13"/>
  <c r="M9" i="13"/>
  <c r="M84" i="75"/>
  <c r="M88" i="75"/>
  <c r="M86" i="75"/>
  <c r="M82" i="75"/>
  <c r="AJ3" i="45"/>
  <c r="M79" i="75"/>
  <c r="M78" i="75"/>
  <c r="M76" i="75"/>
  <c r="M74" i="75"/>
  <c r="AI24" i="45"/>
  <c r="AI25" i="45"/>
  <c r="AI26" i="45"/>
  <c r="AI27" i="45"/>
  <c r="AI28" i="45"/>
  <c r="AI29" i="45"/>
  <c r="AI30" i="45"/>
  <c r="AI31" i="45"/>
  <c r="AI32" i="45"/>
  <c r="AI23" i="45"/>
  <c r="P40" i="45"/>
  <c r="M68" i="75"/>
  <c r="B47" i="39"/>
  <c r="A75" i="78"/>
  <c r="F75" i="78"/>
  <c r="A15" i="39"/>
  <c r="C75" i="78"/>
  <c r="AI9" i="45"/>
  <c r="A17" i="39"/>
  <c r="AI37" i="45"/>
  <c r="A43" i="39"/>
  <c r="AI36" i="45"/>
  <c r="A42" i="39"/>
  <c r="AI34" i="45"/>
  <c r="A40" i="39"/>
  <c r="AI35" i="45"/>
  <c r="A41" i="39"/>
  <c r="AI33" i="45"/>
  <c r="A39" i="39"/>
  <c r="AI22" i="45"/>
  <c r="A26" i="39"/>
  <c r="A29" i="39"/>
  <c r="A30" i="39"/>
  <c r="A31" i="39"/>
  <c r="A32" i="39"/>
  <c r="A33" i="39"/>
  <c r="A34" i="39"/>
  <c r="A35" i="39"/>
  <c r="A36" i="39"/>
  <c r="A37" i="39"/>
  <c r="A28" i="39"/>
  <c r="M69" i="75"/>
  <c r="A22" i="78"/>
  <c r="F22" i="78"/>
  <c r="A12" i="78"/>
  <c r="C12" i="78"/>
  <c r="A60" i="78"/>
  <c r="F60" i="78"/>
  <c r="A47" i="78"/>
  <c r="F47" i="78"/>
  <c r="A34" i="78"/>
  <c r="C34" i="78"/>
  <c r="M32" i="45"/>
  <c r="G37" i="39"/>
  <c r="O32" i="45"/>
  <c r="H37" i="39"/>
  <c r="Q32" i="45"/>
  <c r="K37" i="39"/>
  <c r="R32" i="45"/>
  <c r="M37" i="39"/>
  <c r="S32" i="45"/>
  <c r="C53" i="74"/>
  <c r="AZ32" i="45"/>
  <c r="AY32" i="45"/>
  <c r="K28" i="39"/>
  <c r="Q22" i="45"/>
  <c r="K26" i="39"/>
  <c r="AH32" i="45"/>
  <c r="AN32" i="45"/>
  <c r="O37" i="39"/>
  <c r="AF32" i="45"/>
  <c r="AJ32" i="45"/>
  <c r="B37" i="39"/>
  <c r="F34" i="78"/>
  <c r="C22" i="78"/>
  <c r="F12" i="78"/>
  <c r="Z32" i="45"/>
  <c r="R37" i="39"/>
  <c r="C47" i="78"/>
  <c r="C60" i="78"/>
  <c r="M70" i="75"/>
  <c r="M67" i="75"/>
  <c r="M71" i="75"/>
  <c r="M66" i="75"/>
  <c r="C36" i="11"/>
  <c r="D36" i="11"/>
  <c r="E36" i="11"/>
  <c r="F36" i="11"/>
  <c r="G36" i="11"/>
  <c r="H36" i="11"/>
  <c r="I36" i="11"/>
  <c r="J36" i="11"/>
  <c r="K36" i="11"/>
  <c r="L36" i="11"/>
  <c r="M36" i="11"/>
  <c r="N36" i="11"/>
  <c r="O36" i="11"/>
  <c r="P36" i="11"/>
  <c r="Q36" i="11"/>
  <c r="R36" i="11"/>
  <c r="S36" i="11"/>
  <c r="T36" i="11"/>
  <c r="U36" i="11"/>
  <c r="V36" i="11"/>
  <c r="W36" i="11"/>
  <c r="X36" i="11"/>
  <c r="BB36" i="45"/>
  <c r="B46" i="33"/>
  <c r="R46" i="33"/>
  <c r="BB37" i="45"/>
  <c r="B47" i="33"/>
  <c r="R47" i="33"/>
  <c r="O11" i="45"/>
  <c r="BB6" i="45"/>
  <c r="BB22" i="45"/>
  <c r="B32" i="33"/>
  <c r="R32" i="33"/>
  <c r="P50" i="45"/>
  <c r="B59" i="33"/>
  <c r="P42" i="45"/>
  <c r="P43" i="45"/>
  <c r="P44" i="45"/>
  <c r="P45" i="45"/>
  <c r="P46" i="45"/>
  <c r="P47" i="45"/>
  <c r="P49" i="45"/>
  <c r="O30" i="39"/>
  <c r="S26" i="45"/>
  <c r="O31" i="39"/>
  <c r="S27" i="45"/>
  <c r="O32" i="39"/>
  <c r="S28" i="45"/>
  <c r="O33" i="39"/>
  <c r="S29" i="45"/>
  <c r="O34" i="39"/>
  <c r="S30" i="45"/>
  <c r="O35" i="39"/>
  <c r="S31" i="45"/>
  <c r="O36" i="39"/>
  <c r="G29" i="39"/>
  <c r="H29" i="39"/>
  <c r="K29" i="39"/>
  <c r="M29" i="39"/>
  <c r="G30" i="39"/>
  <c r="H30" i="39"/>
  <c r="K30" i="39"/>
  <c r="M30" i="39"/>
  <c r="M26" i="45"/>
  <c r="G31" i="39"/>
  <c r="O26" i="45"/>
  <c r="H31" i="39"/>
  <c r="Q26" i="45"/>
  <c r="K31" i="39"/>
  <c r="R26" i="45"/>
  <c r="M31" i="39"/>
  <c r="M27" i="45"/>
  <c r="G32" i="39"/>
  <c r="O27" i="45"/>
  <c r="H32" i="39"/>
  <c r="Q27" i="45"/>
  <c r="K32" i="39"/>
  <c r="R27" i="45"/>
  <c r="M32" i="39"/>
  <c r="M28" i="45"/>
  <c r="G33" i="39"/>
  <c r="O28" i="45"/>
  <c r="H33" i="39"/>
  <c r="Q28" i="45"/>
  <c r="K33" i="39"/>
  <c r="R28" i="45"/>
  <c r="M33" i="39"/>
  <c r="M29" i="45"/>
  <c r="G34" i="39"/>
  <c r="O29" i="45"/>
  <c r="H34" i="39"/>
  <c r="Q29" i="45"/>
  <c r="K34" i="39"/>
  <c r="R29" i="45"/>
  <c r="M34" i="39"/>
  <c r="M30" i="45"/>
  <c r="G35" i="39"/>
  <c r="O30" i="45"/>
  <c r="H35" i="39"/>
  <c r="Q30" i="45"/>
  <c r="K35" i="39"/>
  <c r="R30" i="45"/>
  <c r="M35" i="39"/>
  <c r="M31" i="45"/>
  <c r="G36" i="39"/>
  <c r="O31" i="45"/>
  <c r="H36" i="39"/>
  <c r="Q31" i="45"/>
  <c r="K36" i="39"/>
  <c r="R31" i="45"/>
  <c r="M36" i="39"/>
  <c r="M28" i="39"/>
  <c r="H28" i="39"/>
  <c r="G28" i="39"/>
  <c r="AH27" i="45"/>
  <c r="AH30" i="45"/>
  <c r="AH31" i="45"/>
  <c r="AH24" i="45"/>
  <c r="AH25" i="45"/>
  <c r="AH23" i="45"/>
  <c r="AH26" i="45"/>
  <c r="AH28" i="45"/>
  <c r="AH29" i="45"/>
  <c r="G4" i="87"/>
  <c r="AN17" i="45"/>
  <c r="AN19" i="45"/>
  <c r="AN16" i="45"/>
  <c r="AN18" i="45"/>
  <c r="E16" i="33"/>
  <c r="A17" i="87"/>
  <c r="A47" i="87"/>
  <c r="AF31" i="45"/>
  <c r="AJ31" i="45"/>
  <c r="B36" i="39"/>
  <c r="AF30" i="45"/>
  <c r="AJ30" i="45"/>
  <c r="B35" i="39"/>
  <c r="AF29" i="45"/>
  <c r="AJ29" i="45"/>
  <c r="B34" i="39"/>
  <c r="AF28" i="45"/>
  <c r="AJ28" i="45"/>
  <c r="B33" i="39"/>
  <c r="AF27" i="45"/>
  <c r="AJ27" i="45"/>
  <c r="B32" i="39"/>
  <c r="AF26" i="45"/>
  <c r="AJ26" i="45"/>
  <c r="B31" i="39"/>
  <c r="AF25" i="45"/>
  <c r="AJ25" i="45"/>
  <c r="B30" i="39"/>
  <c r="AF24" i="45"/>
  <c r="AJ24" i="45"/>
  <c r="B29" i="39"/>
  <c r="AF23" i="45"/>
  <c r="AJ23" i="45"/>
  <c r="B28" i="39"/>
  <c r="BB34" i="45"/>
  <c r="B44" i="33"/>
  <c r="R44" i="33"/>
  <c r="BB35" i="45"/>
  <c r="B45" i="33"/>
  <c r="R45" i="33"/>
  <c r="BB33" i="45"/>
  <c r="B43" i="33"/>
  <c r="R43" i="33"/>
  <c r="BB9" i="45"/>
  <c r="C27" i="71"/>
  <c r="D27" i="71"/>
  <c r="E27" i="71"/>
  <c r="F27" i="71"/>
  <c r="G27" i="71"/>
  <c r="H27" i="71"/>
  <c r="I27" i="71"/>
  <c r="J27" i="71"/>
  <c r="K27" i="71"/>
  <c r="L27" i="71"/>
  <c r="M27" i="71"/>
  <c r="N27" i="71"/>
  <c r="O27" i="71"/>
  <c r="P27" i="71"/>
  <c r="Q27" i="71"/>
  <c r="R27" i="71"/>
  <c r="S27" i="71"/>
  <c r="T27" i="71"/>
  <c r="U27" i="71"/>
  <c r="C9" i="39"/>
  <c r="B4" i="45"/>
  <c r="C4" i="45"/>
  <c r="T35" i="11"/>
  <c r="T7" i="11"/>
  <c r="T8" i="11"/>
  <c r="T9" i="11"/>
  <c r="T12" i="11"/>
  <c r="T13" i="11"/>
  <c r="T14" i="11"/>
  <c r="T15" i="11"/>
  <c r="T17" i="11"/>
  <c r="T21" i="11"/>
  <c r="T23" i="11"/>
  <c r="T24" i="11"/>
  <c r="T28" i="11"/>
  <c r="T29" i="11"/>
  <c r="T33" i="11"/>
  <c r="T5" i="11"/>
  <c r="U15" i="71"/>
  <c r="U19" i="71"/>
  <c r="K18" i="20"/>
  <c r="K17" i="20"/>
  <c r="K16" i="20"/>
  <c r="K15" i="20"/>
  <c r="K14" i="20"/>
  <c r="K13" i="20"/>
  <c r="K12" i="20"/>
  <c r="K11" i="20"/>
  <c r="K10" i="20"/>
  <c r="B22" i="27"/>
  <c r="C22" i="27"/>
  <c r="B21" i="27"/>
  <c r="C21" i="27"/>
  <c r="B20" i="27"/>
  <c r="C20" i="27"/>
  <c r="B19" i="27"/>
  <c r="C19" i="27"/>
  <c r="B18" i="27"/>
  <c r="C18" i="27"/>
  <c r="B17" i="27"/>
  <c r="C17" i="27"/>
  <c r="B16" i="27"/>
  <c r="C16" i="27"/>
  <c r="B15" i="27"/>
  <c r="C15" i="27"/>
  <c r="B14" i="27"/>
  <c r="C14" i="27"/>
  <c r="B13" i="27"/>
  <c r="C13" i="27"/>
  <c r="B12" i="27"/>
  <c r="C12" i="27"/>
  <c r="B11" i="27"/>
  <c r="C11" i="27"/>
  <c r="G9" i="27"/>
  <c r="A5" i="11"/>
  <c r="A6" i="11"/>
  <c r="A7" i="11"/>
  <c r="X9" i="11"/>
  <c r="X12" i="11"/>
  <c r="X13" i="11"/>
  <c r="X15" i="11"/>
  <c r="X17" i="11"/>
  <c r="X21" i="11"/>
  <c r="X23" i="11"/>
  <c r="X24" i="11"/>
  <c r="X33" i="11"/>
  <c r="X35" i="11"/>
  <c r="P12" i="25"/>
  <c r="X28" i="11"/>
  <c r="M13" i="25"/>
  <c r="L13" i="25"/>
  <c r="X14" i="11"/>
  <c r="M9" i="25"/>
  <c r="M8" i="25"/>
  <c r="M7" i="25"/>
  <c r="M6" i="25"/>
  <c r="M5" i="25"/>
  <c r="L8" i="25"/>
  <c r="L5" i="25"/>
  <c r="U16" i="71"/>
  <c r="L3" i="25"/>
  <c r="F31" i="10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G57" i="87"/>
  <c r="M57" i="87"/>
  <c r="A57" i="87"/>
  <c r="C61" i="87"/>
  <c r="O61" i="87"/>
  <c r="I61" i="87"/>
  <c r="C50" i="87"/>
  <c r="I50" i="87"/>
  <c r="O50" i="87"/>
  <c r="U12" i="71"/>
  <c r="U10" i="71"/>
  <c r="B46" i="45"/>
  <c r="B42" i="45"/>
  <c r="M51" i="39"/>
  <c r="B49" i="45"/>
  <c r="B45" i="45"/>
  <c r="B48" i="45"/>
  <c r="B44" i="45"/>
  <c r="B47" i="45"/>
  <c r="B43" i="45"/>
  <c r="B7" i="45"/>
  <c r="B40" i="45"/>
  <c r="I47" i="39"/>
  <c r="U20" i="71"/>
  <c r="U22" i="71"/>
  <c r="G46" i="87"/>
  <c r="M46" i="87"/>
  <c r="A46" i="87"/>
  <c r="L18" i="20"/>
  <c r="L17" i="20"/>
  <c r="L16" i="20"/>
  <c r="L15" i="20"/>
  <c r="L14" i="20"/>
  <c r="L13" i="20"/>
  <c r="L12" i="20"/>
  <c r="L11" i="20"/>
  <c r="L10" i="20"/>
  <c r="C58" i="5"/>
  <c r="C64" i="5"/>
  <c r="C56" i="5"/>
  <c r="C52" i="5"/>
  <c r="C63" i="5"/>
  <c r="C59" i="5"/>
  <c r="C55" i="5"/>
  <c r="C62" i="5"/>
  <c r="C65" i="5"/>
  <c r="C61" i="5"/>
  <c r="C57" i="5"/>
  <c r="C53" i="5"/>
  <c r="C54" i="5"/>
  <c r="C60" i="5"/>
  <c r="B17" i="87"/>
  <c r="M56" i="87"/>
  <c r="I56" i="87"/>
  <c r="G45" i="87"/>
  <c r="A56" i="87"/>
  <c r="O45" i="87"/>
  <c r="G56" i="87"/>
  <c r="C56" i="87"/>
  <c r="O56" i="87"/>
  <c r="M45" i="87"/>
  <c r="I45" i="87"/>
  <c r="A45" i="87"/>
  <c r="C45" i="87"/>
  <c r="U6" i="71"/>
  <c r="U4" i="71"/>
  <c r="C51" i="5"/>
  <c r="O29" i="39"/>
  <c r="F7" i="87"/>
  <c r="B18" i="20"/>
  <c r="X5" i="11"/>
  <c r="U8" i="71"/>
  <c r="U25" i="71"/>
  <c r="U21" i="71"/>
  <c r="U17" i="71"/>
  <c r="U5" i="71"/>
  <c r="X8" i="11"/>
  <c r="U24" i="71"/>
  <c r="U13" i="71"/>
  <c r="X29" i="11"/>
  <c r="X7" i="11"/>
  <c r="U23" i="71"/>
  <c r="U9" i="71"/>
  <c r="AN22" i="45"/>
  <c r="A8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C14" i="81"/>
  <c r="C15" i="81"/>
  <c r="C16" i="81"/>
  <c r="C17" i="81"/>
  <c r="C18" i="81"/>
  <c r="C19" i="81"/>
  <c r="C20" i="81"/>
  <c r="C21" i="81"/>
  <c r="C22" i="81"/>
  <c r="C23" i="81"/>
  <c r="C24" i="81"/>
  <c r="C13" i="8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D42" i="26"/>
  <c r="D41" i="26"/>
  <c r="D40" i="26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P28" i="26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T26" i="68"/>
  <c r="U26" i="68"/>
  <c r="V26" i="68"/>
  <c r="W26" i="68"/>
  <c r="X26" i="68"/>
  <c r="Y26" i="68"/>
  <c r="Z26" i="68"/>
  <c r="AA26" i="68"/>
  <c r="P27" i="68"/>
  <c r="Q27" i="68"/>
  <c r="R27" i="68"/>
  <c r="S27" i="68"/>
  <c r="T27" i="68"/>
  <c r="U27" i="68"/>
  <c r="V27" i="68"/>
  <c r="W27" i="68"/>
  <c r="X27" i="68"/>
  <c r="Y27" i="68"/>
  <c r="Z27" i="68"/>
  <c r="AA27" i="68"/>
  <c r="P28" i="68"/>
  <c r="Q28" i="68"/>
  <c r="R28" i="68"/>
  <c r="S28" i="68"/>
  <c r="T28" i="68"/>
  <c r="U28" i="68"/>
  <c r="V28" i="68"/>
  <c r="W28" i="68"/>
  <c r="X28" i="68"/>
  <c r="Y28" i="68"/>
  <c r="Z28" i="68"/>
  <c r="AA28" i="68"/>
  <c r="P29" i="68"/>
  <c r="Q29" i="68"/>
  <c r="R29" i="68"/>
  <c r="S29" i="68"/>
  <c r="T29" i="68"/>
  <c r="U29" i="68"/>
  <c r="V29" i="68"/>
  <c r="W29" i="68"/>
  <c r="X29" i="68"/>
  <c r="Y29" i="68"/>
  <c r="Z29" i="68"/>
  <c r="AA29" i="68"/>
  <c r="P30" i="68"/>
  <c r="Q30" i="68"/>
  <c r="R30" i="68"/>
  <c r="S30" i="68"/>
  <c r="T30" i="68"/>
  <c r="U30" i="68"/>
  <c r="V30" i="68"/>
  <c r="W30" i="68"/>
  <c r="X30" i="68"/>
  <c r="Y30" i="68"/>
  <c r="Z30" i="68"/>
  <c r="AA30" i="68"/>
  <c r="P31" i="68"/>
  <c r="Q31" i="68"/>
  <c r="R31" i="68"/>
  <c r="S31" i="68"/>
  <c r="T31" i="68"/>
  <c r="U31" i="68"/>
  <c r="V31" i="68"/>
  <c r="W31" i="68"/>
  <c r="X31" i="68"/>
  <c r="Y31" i="68"/>
  <c r="Z31" i="68"/>
  <c r="AA31" i="68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M47" i="87"/>
  <c r="M58" i="87"/>
  <c r="G58" i="87"/>
  <c r="G47" i="87"/>
  <c r="A58" i="87"/>
  <c r="M11" i="79"/>
  <c r="I11" i="79"/>
  <c r="E11" i="79"/>
  <c r="I10" i="79"/>
  <c r="E10" i="79"/>
  <c r="I9" i="79"/>
  <c r="M8" i="79"/>
  <c r="I8" i="79"/>
  <c r="E8" i="79"/>
  <c r="I7" i="79"/>
  <c r="M6" i="79"/>
  <c r="I6" i="79"/>
  <c r="Q28" i="26"/>
  <c r="J28" i="26"/>
  <c r="G28" i="26"/>
  <c r="H28" i="26"/>
  <c r="N28" i="26"/>
  <c r="K28" i="26"/>
  <c r="I28" i="26"/>
  <c r="O28" i="26"/>
  <c r="M10" i="79"/>
  <c r="M9" i="79"/>
  <c r="E9" i="79"/>
  <c r="M7" i="79"/>
  <c r="E7" i="79"/>
  <c r="E6" i="79"/>
  <c r="M28" i="26"/>
  <c r="F28" i="26"/>
  <c r="L28" i="26"/>
  <c r="H29" i="45"/>
  <c r="H32" i="45"/>
  <c r="H30" i="45"/>
  <c r="H31" i="45"/>
  <c r="H28" i="45"/>
  <c r="O28" i="39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9" i="11"/>
  <c r="O6" i="26"/>
  <c r="I19" i="79"/>
  <c r="G8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J40" i="26"/>
  <c r="N40" i="26"/>
  <c r="F41" i="26"/>
  <c r="J41" i="26"/>
  <c r="N41" i="26"/>
  <c r="F42" i="26"/>
  <c r="J42" i="26"/>
  <c r="N42" i="26"/>
  <c r="F43" i="26"/>
  <c r="J43" i="26"/>
  <c r="N43" i="26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L40" i="26"/>
  <c r="P40" i="26"/>
  <c r="H41" i="26"/>
  <c r="L41" i="26"/>
  <c r="P41" i="26"/>
  <c r="H42" i="26"/>
  <c r="L42" i="26"/>
  <c r="P42" i="26"/>
  <c r="H43" i="26"/>
  <c r="L43" i="26"/>
  <c r="P43" i="26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0" i="26"/>
  <c r="M41" i="26"/>
  <c r="I42" i="26"/>
  <c r="Q42" i="26"/>
  <c r="M43" i="26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G41" i="26"/>
  <c r="O41" i="26"/>
  <c r="K42" i="26"/>
  <c r="G43" i="26"/>
  <c r="O43" i="26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I41" i="26"/>
  <c r="Q41" i="26"/>
  <c r="M42" i="26"/>
  <c r="I43" i="26"/>
  <c r="Q43" i="26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O10" i="26"/>
  <c r="G56" i="26"/>
  <c r="K53" i="26"/>
  <c r="O50" i="26"/>
  <c r="J47" i="26"/>
  <c r="K45" i="26"/>
  <c r="G40" i="26"/>
  <c r="Q36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O40" i="26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/>
  <c r="A74" i="78"/>
  <c r="C74" i="78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AD31" i="45"/>
  <c r="L36" i="39"/>
  <c r="AD27" i="45"/>
  <c r="L32" i="39"/>
  <c r="AD26" i="45"/>
  <c r="L31" i="39"/>
  <c r="AD24" i="45"/>
  <c r="L29" i="39"/>
  <c r="AD28" i="45"/>
  <c r="L33" i="39"/>
  <c r="E52" i="74"/>
  <c r="L37" i="39"/>
  <c r="AD32" i="45"/>
  <c r="F6" i="87"/>
  <c r="AD29" i="45"/>
  <c r="L34" i="39"/>
  <c r="L28" i="39"/>
  <c r="AD23" i="45"/>
  <c r="AD30" i="45"/>
  <c r="L35" i="39"/>
  <c r="AD25" i="45"/>
  <c r="L30" i="39"/>
  <c r="F74" i="78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A60" i="87"/>
  <c r="G49" i="87"/>
  <c r="G60" i="87"/>
  <c r="M60" i="87"/>
  <c r="M49" i="87"/>
  <c r="A49" i="87"/>
  <c r="F17" i="87"/>
  <c r="A11" i="1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/>
  <c r="M52" i="75"/>
  <c r="M54" i="75"/>
  <c r="M48" i="75"/>
  <c r="A14" i="11"/>
  <c r="M36" i="75"/>
  <c r="A15" i="1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/>
  <c r="A17" i="11"/>
  <c r="M10" i="75"/>
  <c r="A18" i="11"/>
  <c r="M9" i="75"/>
  <c r="M8" i="75"/>
  <c r="M7" i="75"/>
  <c r="M6" i="75"/>
  <c r="M5" i="75"/>
  <c r="M4" i="75"/>
  <c r="M3" i="75"/>
  <c r="M12" i="75"/>
  <c r="M11" i="75"/>
  <c r="C6" i="8"/>
  <c r="A19" i="11"/>
  <c r="C1619" i="8"/>
  <c r="A20" i="11"/>
  <c r="D43" i="58"/>
  <c r="M43" i="75"/>
  <c r="A21" i="11"/>
  <c r="A22" i="11"/>
  <c r="F18" i="20"/>
  <c r="A23" i="11"/>
  <c r="G3" i="27"/>
  <c r="B9" i="20"/>
  <c r="G4" i="27"/>
  <c r="B12" i="20"/>
  <c r="G5" i="27"/>
  <c r="B14" i="20"/>
  <c r="G6" i="27"/>
  <c r="B15" i="20"/>
  <c r="G7" i="27"/>
  <c r="B16" i="20"/>
  <c r="F14" i="18"/>
  <c r="B23" i="17"/>
  <c r="F13" i="18"/>
  <c r="B19" i="17"/>
  <c r="D9" i="18"/>
  <c r="B16" i="17"/>
  <c r="E16" i="17"/>
  <c r="H10" i="17"/>
  <c r="H11" i="17"/>
  <c r="H12" i="17"/>
  <c r="H13" i="17"/>
  <c r="H14" i="17"/>
  <c r="H9" i="17"/>
  <c r="D3" i="18"/>
  <c r="B10" i="17"/>
  <c r="D4" i="18"/>
  <c r="B11" i="17"/>
  <c r="D5" i="18"/>
  <c r="B12" i="17"/>
  <c r="D6" i="18"/>
  <c r="B13" i="17"/>
  <c r="D7" i="18"/>
  <c r="B14" i="17"/>
  <c r="D2" i="18"/>
  <c r="B9" i="17"/>
  <c r="A24" i="11"/>
  <c r="A25" i="11"/>
  <c r="AR3" i="14"/>
  <c r="AR4" i="14"/>
  <c r="AR5" i="14"/>
  <c r="AR6" i="14"/>
  <c r="AR7" i="14"/>
  <c r="AR8" i="14"/>
  <c r="AR9" i="14"/>
  <c r="AR10" i="14"/>
  <c r="AR11" i="14"/>
  <c r="AR12" i="14"/>
  <c r="AR13" i="14"/>
  <c r="AR14" i="14"/>
  <c r="AR15" i="14"/>
  <c r="AR16" i="14"/>
  <c r="AR17" i="14"/>
  <c r="AR18" i="14"/>
  <c r="AR19" i="14"/>
  <c r="AR20" i="14"/>
  <c r="AR21" i="14"/>
  <c r="AR22" i="14"/>
  <c r="AR23" i="14"/>
  <c r="AR24" i="14"/>
  <c r="AR25" i="14"/>
  <c r="AR26" i="14"/>
  <c r="AR27" i="14"/>
  <c r="AR28" i="14"/>
  <c r="AR29" i="14"/>
  <c r="AR30" i="14"/>
  <c r="AR31" i="14"/>
  <c r="B35" i="84"/>
  <c r="AR2" i="14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AQ2" i="14"/>
  <c r="F37" i="13"/>
  <c r="B34" i="84"/>
  <c r="B34" i="16"/>
  <c r="F36" i="13"/>
  <c r="B33" i="84"/>
  <c r="B33" i="16"/>
  <c r="F32" i="13"/>
  <c r="B29" i="84"/>
  <c r="B29" i="16"/>
  <c r="F28" i="13"/>
  <c r="B23" i="84"/>
  <c r="B23" i="16"/>
  <c r="F24" i="13"/>
  <c r="B19" i="84"/>
  <c r="B19" i="16"/>
  <c r="F20" i="13"/>
  <c r="B15" i="84"/>
  <c r="B15" i="16"/>
  <c r="F16" i="13"/>
  <c r="B11" i="84"/>
  <c r="B11" i="16"/>
  <c r="F12" i="13"/>
  <c r="B7" i="84"/>
  <c r="B7" i="16"/>
  <c r="F35" i="13"/>
  <c r="B32" i="84"/>
  <c r="B32" i="16"/>
  <c r="F23" i="13"/>
  <c r="B18" i="16"/>
  <c r="B18" i="84"/>
  <c r="F11" i="13"/>
  <c r="B6" i="16"/>
  <c r="B6" i="84"/>
  <c r="F34" i="13"/>
  <c r="B31" i="84"/>
  <c r="B31" i="16"/>
  <c r="F30" i="13"/>
  <c r="B27" i="84"/>
  <c r="B27" i="16"/>
  <c r="F26" i="13"/>
  <c r="B21" i="84"/>
  <c r="B21" i="16"/>
  <c r="F22" i="13"/>
  <c r="B17" i="84"/>
  <c r="B17" i="16"/>
  <c r="F18" i="13"/>
  <c r="B13" i="84"/>
  <c r="B13" i="16"/>
  <c r="F14" i="13"/>
  <c r="B9" i="84"/>
  <c r="B9" i="16"/>
  <c r="F10" i="13"/>
  <c r="B5" i="84"/>
  <c r="B5" i="16"/>
  <c r="F31" i="13"/>
  <c r="B28" i="84"/>
  <c r="B28" i="16"/>
  <c r="F27" i="13"/>
  <c r="B22" i="16"/>
  <c r="B22" i="84"/>
  <c r="F19" i="13"/>
  <c r="B14" i="16"/>
  <c r="B14" i="84"/>
  <c r="F15" i="13"/>
  <c r="B10" i="16"/>
  <c r="B10" i="84"/>
  <c r="F33" i="13"/>
  <c r="B30" i="84"/>
  <c r="B30" i="16"/>
  <c r="F29" i="13"/>
  <c r="B24" i="16"/>
  <c r="B24" i="84"/>
  <c r="F25" i="13"/>
  <c r="B20" i="16"/>
  <c r="B20" i="84"/>
  <c r="F21" i="13"/>
  <c r="B16" i="16"/>
  <c r="B16" i="84"/>
  <c r="F17" i="13"/>
  <c r="B12" i="16"/>
  <c r="B12" i="84"/>
  <c r="F13" i="13"/>
  <c r="B8" i="16"/>
  <c r="B8" i="84"/>
  <c r="F9" i="13"/>
  <c r="B4" i="16"/>
  <c r="B4" i="84"/>
  <c r="F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/>
  <c r="H77" i="5"/>
  <c r="B28" i="6"/>
  <c r="L2" i="20"/>
  <c r="B22" i="6"/>
  <c r="B21" i="6"/>
  <c r="D3" i="87"/>
  <c r="C3" i="74"/>
  <c r="F3" i="29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R3" i="13"/>
  <c r="R4" i="13"/>
  <c r="K4" i="10"/>
  <c r="K2" i="10"/>
  <c r="R2" i="13"/>
  <c r="E4" i="10"/>
  <c r="G4" i="13"/>
  <c r="A28" i="11"/>
  <c r="E3" i="10"/>
  <c r="A29" i="11"/>
  <c r="D76" i="5"/>
  <c r="C9" i="13"/>
  <c r="B19" i="6"/>
  <c r="D3" i="5"/>
  <c r="D35" i="5"/>
  <c r="J2" i="56"/>
  <c r="H2" i="50"/>
  <c r="N11" i="39"/>
  <c r="H2" i="60"/>
  <c r="J2" i="58"/>
  <c r="K2" i="20"/>
  <c r="I2" i="17"/>
  <c r="I2" i="10"/>
  <c r="A30" i="11"/>
  <c r="AP6" i="14"/>
  <c r="R13" i="13"/>
  <c r="AP8" i="14"/>
  <c r="R15" i="13"/>
  <c r="AP9" i="14"/>
  <c r="R16" i="13"/>
  <c r="AP10" i="14"/>
  <c r="R17" i="13"/>
  <c r="AP11" i="14"/>
  <c r="R18" i="13"/>
  <c r="AP12" i="14"/>
  <c r="R19" i="13"/>
  <c r="AP13" i="14"/>
  <c r="R20" i="13"/>
  <c r="AP14" i="14"/>
  <c r="R21" i="13"/>
  <c r="AP15" i="14"/>
  <c r="R22" i="13"/>
  <c r="AP16" i="14"/>
  <c r="R23" i="13"/>
  <c r="AP17" i="14"/>
  <c r="R24" i="13"/>
  <c r="AP18" i="14"/>
  <c r="R25" i="13"/>
  <c r="AP19" i="14"/>
  <c r="R26" i="13"/>
  <c r="AP20" i="14"/>
  <c r="R27" i="13"/>
  <c r="AP21" i="14"/>
  <c r="R28" i="13"/>
  <c r="AP22" i="14"/>
  <c r="R29" i="13"/>
  <c r="AP23" i="14"/>
  <c r="R30" i="13"/>
  <c r="AP24" i="14"/>
  <c r="R31" i="13"/>
  <c r="AP25" i="14"/>
  <c r="R32" i="13"/>
  <c r="AP26" i="14"/>
  <c r="R33" i="13"/>
  <c r="AP27" i="14"/>
  <c r="R34" i="13"/>
  <c r="AP28" i="14"/>
  <c r="R35" i="13"/>
  <c r="AP29" i="14"/>
  <c r="R36" i="13"/>
  <c r="AP30" i="14"/>
  <c r="R37" i="13"/>
  <c r="AP31" i="14"/>
  <c r="R38" i="13"/>
  <c r="O38" i="13"/>
  <c r="F35" i="84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P12" i="13"/>
  <c r="F7" i="84"/>
  <c r="P16" i="13"/>
  <c r="P20" i="13"/>
  <c r="P24" i="13"/>
  <c r="P28" i="13"/>
  <c r="P32" i="13"/>
  <c r="F29" i="16"/>
  <c r="F29" i="84"/>
  <c r="P36" i="13"/>
  <c r="F33" i="16"/>
  <c r="F33" i="84"/>
  <c r="P13" i="13"/>
  <c r="F8" i="84"/>
  <c r="F8" i="16"/>
  <c r="P17" i="13"/>
  <c r="P21" i="13"/>
  <c r="P25" i="13"/>
  <c r="P29" i="13"/>
  <c r="P33" i="13"/>
  <c r="F30" i="84"/>
  <c r="F30" i="16"/>
  <c r="P37" i="13"/>
  <c r="F34" i="84"/>
  <c r="F34" i="16"/>
  <c r="P10" i="13"/>
  <c r="P14" i="13"/>
  <c r="P18" i="13"/>
  <c r="P22" i="13"/>
  <c r="P26" i="13"/>
  <c r="P30" i="13"/>
  <c r="F27" i="16"/>
  <c r="F27" i="84"/>
  <c r="P34" i="13"/>
  <c r="F31" i="16"/>
  <c r="F31" i="84"/>
  <c r="P11" i="13"/>
  <c r="P15" i="13"/>
  <c r="P19" i="13"/>
  <c r="P23" i="13"/>
  <c r="P27" i="13"/>
  <c r="P31" i="13"/>
  <c r="F28" i="84"/>
  <c r="F28" i="16"/>
  <c r="P35" i="13"/>
  <c r="F32" i="84"/>
  <c r="F32" i="16"/>
  <c r="P38" i="13"/>
  <c r="F35" i="16"/>
  <c r="A31" i="11"/>
  <c r="AD22" i="12"/>
  <c r="B26" i="10"/>
  <c r="AD23" i="12"/>
  <c r="B27" i="10"/>
  <c r="AD24" i="12"/>
  <c r="B28" i="10"/>
  <c r="AD25" i="12"/>
  <c r="B29" i="10"/>
  <c r="AD21" i="12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J55" i="5"/>
  <c r="J56" i="5"/>
  <c r="J57" i="5"/>
  <c r="J58" i="5"/>
  <c r="J59" i="5"/>
  <c r="J60" i="5"/>
  <c r="J61" i="5"/>
  <c r="J62" i="5"/>
  <c r="J63" i="5"/>
  <c r="J64" i="5"/>
  <c r="J65" i="5"/>
  <c r="AD6" i="12"/>
  <c r="B10" i="10"/>
  <c r="AD7" i="12"/>
  <c r="B11" i="10"/>
  <c r="AD8" i="12"/>
  <c r="B12" i="10"/>
  <c r="AD9" i="12"/>
  <c r="B13" i="10"/>
  <c r="AD10" i="12"/>
  <c r="B14" i="10"/>
  <c r="AD11" i="12"/>
  <c r="B15" i="10"/>
  <c r="AD12" i="12"/>
  <c r="B16" i="10"/>
  <c r="AD13" i="12"/>
  <c r="B17" i="10"/>
  <c r="AD14" i="12"/>
  <c r="B18" i="10"/>
  <c r="AD15" i="12"/>
  <c r="B19" i="10"/>
  <c r="AD16" i="12"/>
  <c r="B20" i="10"/>
  <c r="AD17" i="12"/>
  <c r="B21" i="10"/>
  <c r="AD18" i="12"/>
  <c r="B22" i="10"/>
  <c r="AD19" i="12"/>
  <c r="B23" i="10"/>
  <c r="AD5" i="12"/>
  <c r="B9" i="10"/>
  <c r="F7" i="16"/>
  <c r="F29" i="10"/>
  <c r="I29" i="10"/>
  <c r="G29" i="10"/>
  <c r="F28" i="10"/>
  <c r="F27" i="10"/>
  <c r="F26" i="10"/>
  <c r="F25" i="10"/>
  <c r="G28" i="10"/>
  <c r="I28" i="10"/>
  <c r="I27" i="10"/>
  <c r="G27" i="10"/>
  <c r="I26" i="10"/>
  <c r="G26" i="10"/>
  <c r="I25" i="10"/>
  <c r="G25" i="10"/>
  <c r="I23" i="10"/>
  <c r="L23" i="10"/>
  <c r="L22" i="10"/>
  <c r="I22" i="10"/>
  <c r="L21" i="10"/>
  <c r="I21" i="10"/>
  <c r="L20" i="10"/>
  <c r="I20" i="10"/>
  <c r="I19" i="10"/>
  <c r="L19" i="10"/>
  <c r="L18" i="10"/>
  <c r="I18" i="10"/>
  <c r="L17" i="10"/>
  <c r="I17" i="10"/>
  <c r="L16" i="10"/>
  <c r="I16" i="10"/>
  <c r="I15" i="10"/>
  <c r="L15" i="10"/>
  <c r="I14" i="10"/>
  <c r="L14" i="10"/>
  <c r="L13" i="10"/>
  <c r="I13" i="10"/>
  <c r="I12" i="10"/>
  <c r="I11" i="10"/>
  <c r="I10" i="10"/>
  <c r="I9" i="10"/>
  <c r="L12" i="10"/>
  <c r="J54" i="5"/>
  <c r="L11" i="10"/>
  <c r="J53" i="5"/>
  <c r="L10" i="10"/>
  <c r="J52" i="5"/>
  <c r="L9" i="10"/>
  <c r="J51" i="5"/>
  <c r="C70" i="5"/>
  <c r="C69" i="5"/>
  <c r="C68" i="5"/>
  <c r="C67" i="5"/>
  <c r="C66" i="5"/>
  <c r="A32" i="11"/>
  <c r="B25" i="10"/>
  <c r="E70" i="5"/>
  <c r="J70" i="5"/>
  <c r="J69" i="5"/>
  <c r="E69" i="5"/>
  <c r="J68" i="5"/>
  <c r="E68" i="5"/>
  <c r="J67" i="5"/>
  <c r="E67" i="5"/>
  <c r="E66" i="5"/>
  <c r="J66" i="5"/>
  <c r="A33" i="11"/>
  <c r="A34" i="11"/>
  <c r="B24" i="6"/>
  <c r="N3" i="13"/>
  <c r="J6" i="33"/>
  <c r="I10" i="33"/>
  <c r="J4" i="56"/>
  <c r="N9" i="39"/>
  <c r="H4" i="50"/>
  <c r="J4" i="58"/>
  <c r="H4" i="60"/>
  <c r="I4" i="17"/>
  <c r="K4" i="20"/>
  <c r="I4" i="10"/>
  <c r="A35" i="11"/>
  <c r="M1" i="74"/>
  <c r="F5" i="3"/>
  <c r="G5" i="3"/>
  <c r="Y18" i="12"/>
  <c r="Y17" i="12"/>
  <c r="Y16" i="12"/>
  <c r="Y15" i="12"/>
  <c r="M3" i="33"/>
  <c r="Y13" i="12"/>
  <c r="X16" i="12"/>
  <c r="AE16" i="12"/>
  <c r="C20" i="10"/>
  <c r="AB16" i="12"/>
  <c r="AC16" i="12"/>
  <c r="X18" i="12"/>
  <c r="AE18" i="12"/>
  <c r="C22" i="10"/>
  <c r="AC18" i="12"/>
  <c r="AB18" i="12"/>
  <c r="AB17" i="12"/>
  <c r="AC17" i="12"/>
  <c r="X17" i="12"/>
  <c r="AE17" i="12"/>
  <c r="C21" i="10"/>
  <c r="X15" i="12"/>
  <c r="AE15" i="12"/>
  <c r="C19" i="10"/>
  <c r="AB15" i="12"/>
  <c r="AC15" i="12"/>
  <c r="Y14" i="12"/>
  <c r="X19" i="12"/>
  <c r="X14" i="12"/>
  <c r="AC14" i="12"/>
  <c r="AB14" i="12"/>
  <c r="F23" i="20"/>
  <c r="F24" i="20"/>
  <c r="W6" i="21"/>
  <c r="Y6" i="21"/>
  <c r="D25" i="3"/>
  <c r="D8" i="3"/>
  <c r="E25" i="3"/>
  <c r="E24" i="3"/>
  <c r="B5" i="28"/>
  <c r="G24" i="20"/>
  <c r="G16" i="30"/>
  <c r="G16" i="31"/>
  <c r="G15" i="28"/>
  <c r="A13" i="28"/>
  <c r="G15" i="29"/>
  <c r="G15" i="30"/>
  <c r="G15" i="31"/>
  <c r="X5" i="21"/>
  <c r="Y7" i="12"/>
  <c r="Y6" i="12"/>
  <c r="V18" i="12"/>
  <c r="W18" i="12"/>
  <c r="W17" i="12"/>
  <c r="V17" i="12"/>
  <c r="W16" i="12"/>
  <c r="V16" i="12"/>
  <c r="W15" i="12"/>
  <c r="V15" i="12"/>
  <c r="W14" i="12"/>
  <c r="V14" i="12"/>
  <c r="W13" i="12"/>
  <c r="V13" i="12"/>
  <c r="G59" i="5"/>
  <c r="Y12" i="12"/>
  <c r="X5" i="12"/>
  <c r="AA18" i="12"/>
  <c r="AE14" i="12"/>
  <c r="C18" i="10"/>
  <c r="AA15" i="12"/>
  <c r="AB12" i="12"/>
  <c r="AC12" i="12"/>
  <c r="X12" i="12"/>
  <c r="G63" i="5"/>
  <c r="G64" i="5"/>
  <c r="AA16" i="12"/>
  <c r="G61" i="5"/>
  <c r="Y9" i="12"/>
  <c r="E64" i="5"/>
  <c r="AA17" i="12"/>
  <c r="G62" i="5"/>
  <c r="Y19" i="12"/>
  <c r="AE19" i="12"/>
  <c r="C23" i="10"/>
  <c r="G60" i="5"/>
  <c r="Y11" i="12"/>
  <c r="Y10" i="12"/>
  <c r="Y8" i="12"/>
  <c r="G13" i="32"/>
  <c r="G15" i="32"/>
  <c r="G17" i="32"/>
  <c r="G19" i="32"/>
  <c r="G22" i="10"/>
  <c r="AA14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B24" i="20"/>
  <c r="F82" i="5"/>
  <c r="G23" i="20"/>
  <c r="F81" i="5"/>
  <c r="X7" i="12"/>
  <c r="X11" i="12"/>
  <c r="X13" i="12"/>
  <c r="AE13" i="12"/>
  <c r="C17" i="10"/>
  <c r="X10" i="12"/>
  <c r="X9" i="12"/>
  <c r="X6" i="12"/>
  <c r="X8" i="12"/>
  <c r="F23" i="10"/>
  <c r="F19" i="10"/>
  <c r="F20" i="10"/>
  <c r="F21" i="10"/>
  <c r="F22" i="10"/>
  <c r="E65" i="5"/>
  <c r="E63" i="5"/>
  <c r="E62" i="5"/>
  <c r="E61" i="5"/>
  <c r="I15" i="32"/>
  <c r="I19" i="32"/>
  <c r="A13" i="31"/>
  <c r="A30" i="28"/>
  <c r="A13" i="30"/>
  <c r="A13" i="29"/>
  <c r="AB5" i="21"/>
  <c r="I23" i="20"/>
  <c r="AE7" i="12"/>
  <c r="C11" i="10"/>
  <c r="AE6" i="12"/>
  <c r="C10" i="10"/>
  <c r="AE12" i="12"/>
  <c r="C16" i="10"/>
  <c r="V19" i="12"/>
  <c r="W19" i="12"/>
  <c r="W12" i="12"/>
  <c r="V12" i="12"/>
  <c r="V11" i="12"/>
  <c r="W11" i="12"/>
  <c r="V10" i="12"/>
  <c r="W10" i="12"/>
  <c r="V9" i="12"/>
  <c r="W9" i="12"/>
  <c r="W8" i="12"/>
  <c r="V8" i="12"/>
  <c r="W7" i="12"/>
  <c r="V7" i="12"/>
  <c r="W6" i="12"/>
  <c r="V6" i="12"/>
  <c r="G58" i="5"/>
  <c r="AE9" i="12"/>
  <c r="C13" i="10"/>
  <c r="AA12" i="12"/>
  <c r="AE11" i="12"/>
  <c r="C15" i="10"/>
  <c r="AE8" i="12"/>
  <c r="C12" i="10"/>
  <c r="G65" i="5"/>
  <c r="AE10" i="12"/>
  <c r="C14" i="10"/>
  <c r="G23" i="10"/>
  <c r="G19" i="10"/>
  <c r="G20" i="10"/>
  <c r="G21" i="10"/>
  <c r="AA8" i="12"/>
  <c r="AA9" i="12"/>
  <c r="AA13" i="12"/>
  <c r="AA10" i="12"/>
  <c r="AA19" i="12"/>
  <c r="AA11" i="12"/>
  <c r="AA6" i="12"/>
  <c r="AA7" i="12"/>
  <c r="A30" i="29"/>
  <c r="A30" i="30"/>
  <c r="A30" i="31"/>
  <c r="J28" i="10"/>
  <c r="G69" i="5"/>
  <c r="J27" i="10"/>
  <c r="G68" i="5"/>
  <c r="J26" i="10"/>
  <c r="G67" i="5"/>
  <c r="J29" i="10"/>
  <c r="G70" i="5"/>
  <c r="J25" i="10"/>
  <c r="G66" i="5"/>
  <c r="B2" i="49"/>
  <c r="B3" i="49"/>
  <c r="C3" i="49"/>
  <c r="D5" i="49"/>
  <c r="E14" i="49"/>
  <c r="E20" i="49"/>
  <c r="D15" i="49"/>
  <c r="E19" i="49"/>
  <c r="D12" i="49"/>
  <c r="D20" i="49"/>
  <c r="D14" i="49"/>
  <c r="J29" i="13"/>
  <c r="J30" i="13"/>
  <c r="J31" i="13"/>
  <c r="J32" i="13"/>
  <c r="J33" i="13"/>
  <c r="J34" i="13"/>
  <c r="J35" i="13"/>
  <c r="J36" i="13"/>
  <c r="J37" i="13"/>
  <c r="J38" i="13"/>
  <c r="C28" i="84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/>
  <c r="C35" i="84"/>
  <c r="AG28" i="14"/>
  <c r="AF28" i="14"/>
  <c r="N28" i="14"/>
  <c r="BH28" i="14"/>
  <c r="BI28" i="14"/>
  <c r="AV28" i="14"/>
  <c r="AW28" i="14"/>
  <c r="I35" i="16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G31" i="14"/>
  <c r="AF31" i="14"/>
  <c r="AG30" i="14"/>
  <c r="AF30" i="14"/>
  <c r="AG29" i="14"/>
  <c r="AF29" i="14"/>
  <c r="AG27" i="14"/>
  <c r="AF27" i="14"/>
  <c r="AG26" i="14"/>
  <c r="AF26" i="14"/>
  <c r="AG25" i="14"/>
  <c r="AF25" i="14"/>
  <c r="AG24" i="14"/>
  <c r="AF24" i="14"/>
  <c r="AG23" i="14"/>
  <c r="AF23" i="14"/>
  <c r="AG22" i="14"/>
  <c r="AF22" i="14"/>
  <c r="AE28" i="14"/>
  <c r="N24" i="14"/>
  <c r="N31" i="14"/>
  <c r="N30" i="14"/>
  <c r="N23" i="14"/>
  <c r="N25" i="14"/>
  <c r="N29" i="14"/>
  <c r="N26" i="14"/>
  <c r="N27" i="14"/>
  <c r="N22" i="14"/>
  <c r="BM28" i="14"/>
  <c r="BL28" i="14"/>
  <c r="BH25" i="14"/>
  <c r="BI25" i="14"/>
  <c r="BH22" i="14"/>
  <c r="BI22" i="14"/>
  <c r="BH24" i="14"/>
  <c r="BI24" i="14"/>
  <c r="BH26" i="14"/>
  <c r="BI26" i="14"/>
  <c r="BH31" i="14"/>
  <c r="BI31" i="14"/>
  <c r="BH29" i="14"/>
  <c r="BI29" i="14"/>
  <c r="BH23" i="14"/>
  <c r="BI23" i="14"/>
  <c r="BH27" i="14"/>
  <c r="BI27" i="14"/>
  <c r="BH30" i="14"/>
  <c r="BI30" i="14"/>
  <c r="AV23" i="14"/>
  <c r="AW23" i="14"/>
  <c r="AW30" i="14"/>
  <c r="AV30" i="14"/>
  <c r="AV25" i="14"/>
  <c r="AW25" i="14"/>
  <c r="AV22" i="14"/>
  <c r="AW22" i="14"/>
  <c r="AW24" i="14"/>
  <c r="AV24" i="14"/>
  <c r="AW26" i="14"/>
  <c r="AV26" i="14"/>
  <c r="AV31" i="14"/>
  <c r="AW31" i="14"/>
  <c r="AV29" i="14"/>
  <c r="AW29" i="14"/>
  <c r="AV27" i="14"/>
  <c r="AW27" i="14"/>
  <c r="AE31" i="14"/>
  <c r="AE30" i="14"/>
  <c r="AE29" i="14"/>
  <c r="AE27" i="14"/>
  <c r="AE26" i="14"/>
  <c r="AE25" i="14"/>
  <c r="AE24" i="14"/>
  <c r="AE23" i="14"/>
  <c r="AE22" i="14"/>
  <c r="BM30" i="14"/>
  <c r="BL26" i="14"/>
  <c r="BM26" i="14"/>
  <c r="BM24" i="14"/>
  <c r="BL29" i="14"/>
  <c r="BL27" i="14"/>
  <c r="BL22" i="14"/>
  <c r="BM29" i="14"/>
  <c r="BM22" i="14"/>
  <c r="BL30" i="14"/>
  <c r="BL31" i="14"/>
  <c r="BL25" i="14"/>
  <c r="BM27" i="14"/>
  <c r="BM31" i="14"/>
  <c r="BM25" i="14"/>
  <c r="BM23" i="14"/>
  <c r="BL23" i="14"/>
  <c r="BL24" i="14"/>
  <c r="D10" i="50"/>
  <c r="K8" i="50"/>
  <c r="R19" i="39"/>
  <c r="N19" i="39"/>
  <c r="N18" i="39"/>
  <c r="R22" i="39"/>
  <c r="R21" i="39"/>
  <c r="R20" i="39"/>
  <c r="N22" i="39"/>
  <c r="N21" i="39"/>
  <c r="N20" i="39"/>
  <c r="H16" i="74"/>
  <c r="C6" i="74"/>
  <c r="F21" i="74"/>
  <c r="F20" i="74"/>
  <c r="A20" i="74"/>
  <c r="F19" i="74"/>
  <c r="O6" i="74"/>
  <c r="M6" i="74"/>
  <c r="N6" i="74"/>
  <c r="O21" i="74"/>
  <c r="O20" i="74"/>
  <c r="O19" i="74"/>
  <c r="M2" i="74"/>
  <c r="I2" i="74"/>
  <c r="C2" i="74"/>
  <c r="C24" i="74"/>
  <c r="C36" i="74"/>
  <c r="C42" i="74"/>
  <c r="C48" i="74"/>
  <c r="C45" i="74"/>
  <c r="C39" i="74"/>
  <c r="C27" i="74"/>
  <c r="C33" i="74"/>
  <c r="C30" i="74"/>
  <c r="C35" i="74"/>
  <c r="C47" i="74"/>
  <c r="C38" i="74"/>
  <c r="C50" i="74"/>
  <c r="C29" i="74"/>
  <c r="C41" i="74"/>
  <c r="C44" i="74"/>
  <c r="C26" i="74"/>
  <c r="E31" i="74"/>
  <c r="C32" i="74"/>
  <c r="C49" i="74"/>
  <c r="E49" i="74"/>
  <c r="C43" i="74"/>
  <c r="E43" i="74"/>
  <c r="C40" i="74"/>
  <c r="E40" i="74"/>
  <c r="C37" i="74"/>
  <c r="E37" i="74"/>
  <c r="C31" i="74"/>
  <c r="C25" i="74"/>
  <c r="E25" i="74"/>
  <c r="C28" i="74"/>
  <c r="E28" i="74"/>
  <c r="C34" i="74"/>
  <c r="E34" i="74"/>
  <c r="C46" i="74"/>
  <c r="E46" i="74"/>
  <c r="H45" i="74"/>
  <c r="K45" i="74"/>
  <c r="J45" i="74"/>
  <c r="K42" i="74"/>
  <c r="H42" i="74"/>
  <c r="J42" i="74"/>
  <c r="H39" i="74"/>
  <c r="K39" i="74"/>
  <c r="J39" i="74"/>
  <c r="H36" i="74"/>
  <c r="K36" i="74"/>
  <c r="J36" i="74"/>
  <c r="K33" i="74"/>
  <c r="H33" i="74"/>
  <c r="J33" i="74"/>
  <c r="H30" i="74"/>
  <c r="J30" i="74"/>
  <c r="H27" i="74"/>
  <c r="J27" i="74"/>
  <c r="H48" i="74"/>
  <c r="K48" i="74"/>
  <c r="J48" i="74"/>
  <c r="D21" i="74"/>
  <c r="A21" i="74"/>
  <c r="M21" i="74"/>
  <c r="D19" i="74"/>
  <c r="A19" i="74"/>
  <c r="M19" i="74"/>
  <c r="H24" i="74"/>
  <c r="I36" i="74"/>
  <c r="G36" i="74"/>
  <c r="I33" i="74"/>
  <c r="G33" i="74"/>
  <c r="G45" i="74"/>
  <c r="I45" i="74"/>
  <c r="G39" i="74"/>
  <c r="I39" i="74"/>
  <c r="G48" i="74"/>
  <c r="I48" i="74"/>
  <c r="G42" i="74"/>
  <c r="I42" i="74"/>
  <c r="J24" i="74"/>
  <c r="D20" i="74"/>
  <c r="M44" i="74"/>
  <c r="N44" i="74"/>
  <c r="M38" i="74"/>
  <c r="M20" i="74"/>
  <c r="N20" i="74"/>
  <c r="M35" i="74"/>
  <c r="N35" i="74"/>
  <c r="M47" i="74"/>
  <c r="N47" i="74"/>
  <c r="M41" i="74"/>
  <c r="N41" i="74"/>
  <c r="M50" i="74"/>
  <c r="A6" i="74"/>
  <c r="N50" i="74"/>
  <c r="N38" i="74"/>
  <c r="O45" i="74"/>
  <c r="O33" i="74"/>
  <c r="O24" i="74"/>
  <c r="O48" i="74"/>
  <c r="M45" i="74"/>
  <c r="N45" i="74"/>
  <c r="O42" i="74"/>
  <c r="O39" i="74"/>
  <c r="O36" i="74"/>
  <c r="O30" i="74"/>
  <c r="O27" i="74"/>
  <c r="M36" i="74"/>
  <c r="N36" i="74"/>
  <c r="M48" i="74"/>
  <c r="N48" i="74"/>
  <c r="M33" i="74"/>
  <c r="M42" i="74"/>
  <c r="M39" i="74"/>
  <c r="N39" i="74"/>
  <c r="N21" i="74"/>
  <c r="N19" i="74"/>
  <c r="N33" i="74"/>
  <c r="N42" i="74"/>
  <c r="N25" i="74"/>
  <c r="N49" i="74"/>
  <c r="N46" i="74"/>
  <c r="N43" i="74"/>
  <c r="N40" i="74"/>
  <c r="N37" i="74"/>
  <c r="N34" i="74"/>
  <c r="N31" i="74"/>
  <c r="N28" i="74"/>
  <c r="K25" i="74"/>
  <c r="K20" i="50"/>
  <c r="K49" i="74"/>
  <c r="K46" i="74"/>
  <c r="K40" i="74"/>
  <c r="K37" i="74"/>
  <c r="J6" i="87"/>
  <c r="K31" i="74"/>
  <c r="K28" i="74"/>
  <c r="K52" i="74"/>
  <c r="BB32" i="45"/>
  <c r="B42" i="33"/>
  <c r="R42" i="33"/>
  <c r="K43" i="74"/>
  <c r="K34" i="74"/>
  <c r="D9" i="50"/>
  <c r="D8" i="50"/>
  <c r="B13" i="87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9" i="13"/>
  <c r="C4" i="84"/>
  <c r="C20" i="84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E9" i="16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AB15" i="84"/>
  <c r="L15" i="84"/>
  <c r="X15" i="84"/>
  <c r="H15" i="84"/>
  <c r="T15" i="84"/>
  <c r="AB11" i="84"/>
  <c r="X11" i="84"/>
  <c r="T11" i="84"/>
  <c r="P11" i="84"/>
  <c r="L11" i="84"/>
  <c r="H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AB12" i="84"/>
  <c r="W12" i="84"/>
  <c r="Q12" i="84"/>
  <c r="L12" i="84"/>
  <c r="G12" i="84"/>
  <c r="AA12" i="84"/>
  <c r="U12" i="84"/>
  <c r="P12" i="84"/>
  <c r="K12" i="84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E7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T22" i="16"/>
  <c r="M22" i="16"/>
  <c r="V22" i="16"/>
  <c r="Y22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AA8" i="84"/>
  <c r="W8" i="84"/>
  <c r="S8" i="84"/>
  <c r="O8" i="84"/>
  <c r="K8" i="84"/>
  <c r="G8" i="84"/>
  <c r="AD8" i="84"/>
  <c r="Z8" i="84"/>
  <c r="V8" i="84"/>
  <c r="R8" i="84"/>
  <c r="N8" i="84"/>
  <c r="J8" i="84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D24" i="5"/>
  <c r="D19" i="60"/>
  <c r="D18" i="60"/>
  <c r="J10" i="60"/>
  <c r="H10" i="60"/>
  <c r="H9" i="60"/>
  <c r="D27" i="5"/>
  <c r="C46" i="52"/>
  <c r="D9" i="60"/>
  <c r="D10" i="60"/>
  <c r="D8" i="60"/>
  <c r="C30" i="59"/>
  <c r="C33" i="59"/>
  <c r="C34" i="59"/>
  <c r="C35" i="59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D26" i="5"/>
  <c r="D84" i="33"/>
  <c r="D40" i="60"/>
  <c r="E35" i="60"/>
  <c r="E41" i="50"/>
  <c r="D25" i="5"/>
  <c r="G18" i="60"/>
  <c r="C41" i="56"/>
  <c r="M83" i="75"/>
  <c r="D77" i="33"/>
  <c r="F71" i="39"/>
  <c r="D42" i="39"/>
  <c r="D43" i="39"/>
  <c r="D11" i="60"/>
  <c r="D41" i="60"/>
  <c r="D38" i="60"/>
  <c r="D39" i="60"/>
  <c r="D12" i="50"/>
  <c r="K18" i="50"/>
  <c r="L18" i="50"/>
  <c r="C27" i="52"/>
  <c r="E27" i="50"/>
  <c r="D82" i="33"/>
  <c r="D85" i="33"/>
  <c r="D83" i="33"/>
  <c r="D81" i="33"/>
  <c r="K35" i="57"/>
  <c r="D15" i="5"/>
  <c r="D19" i="5"/>
  <c r="D18" i="5"/>
  <c r="D17" i="5"/>
  <c r="D16" i="5"/>
  <c r="D72" i="33"/>
  <c r="D76" i="33"/>
  <c r="D71" i="33"/>
  <c r="D75" i="33"/>
  <c r="D73" i="33"/>
  <c r="D70" i="33"/>
  <c r="D74" i="33"/>
  <c r="AZ35" i="45"/>
  <c r="AY35" i="45"/>
  <c r="AZ34" i="45"/>
  <c r="AY34" i="45"/>
  <c r="AZ33" i="45"/>
  <c r="AY33" i="45"/>
  <c r="AZ31" i="45"/>
  <c r="AZ30" i="45"/>
  <c r="AZ29" i="45"/>
  <c r="AZ28" i="45"/>
  <c r="AZ27" i="45"/>
  <c r="AZ26" i="45"/>
  <c r="L41" i="39"/>
  <c r="K41" i="39"/>
  <c r="L40" i="39"/>
  <c r="K40" i="39"/>
  <c r="L39" i="39"/>
  <c r="K39" i="39"/>
  <c r="H18" i="39"/>
  <c r="H17" i="39"/>
  <c r="Q1" i="33"/>
  <c r="M1" i="33"/>
  <c r="AN35" i="45"/>
  <c r="AN34" i="45"/>
  <c r="AN33" i="45"/>
  <c r="AN31" i="45"/>
  <c r="AN30" i="45"/>
  <c r="AN29" i="45"/>
  <c r="AN28" i="45"/>
  <c r="AN27" i="45"/>
  <c r="AN26" i="45"/>
  <c r="AN25" i="45"/>
  <c r="AN24" i="45"/>
  <c r="AN23" i="45"/>
  <c r="AN9" i="45"/>
  <c r="F18" i="33"/>
  <c r="E18" i="33"/>
  <c r="C18" i="33"/>
  <c r="G18" i="33"/>
  <c r="G17" i="33"/>
  <c r="E17" i="33"/>
  <c r="AY26" i="45"/>
  <c r="Z26" i="45"/>
  <c r="AY27" i="45"/>
  <c r="Z27" i="45"/>
  <c r="AY28" i="45"/>
  <c r="Z28" i="45"/>
  <c r="AY29" i="45"/>
  <c r="Z29" i="45"/>
  <c r="AY30" i="45"/>
  <c r="Z30" i="45"/>
  <c r="AY31" i="45"/>
  <c r="Z31" i="45"/>
  <c r="AL56" i="45"/>
  <c r="BB15" i="45"/>
  <c r="J20" i="33"/>
  <c r="BB14" i="45"/>
  <c r="J19" i="33"/>
  <c r="BB19" i="45"/>
  <c r="J26" i="33"/>
  <c r="BB17" i="45"/>
  <c r="J24" i="33"/>
  <c r="BB18" i="45"/>
  <c r="J25" i="33"/>
  <c r="BB13" i="45"/>
  <c r="J18" i="33"/>
  <c r="F3" i="39"/>
  <c r="BB31" i="45"/>
  <c r="B41" i="33"/>
  <c r="R41" i="33"/>
  <c r="R36" i="39"/>
  <c r="R35" i="39"/>
  <c r="BB30" i="45"/>
  <c r="B40" i="33"/>
  <c r="R40" i="33"/>
  <c r="R34" i="39"/>
  <c r="BB29" i="45"/>
  <c r="B39" i="33"/>
  <c r="R39" i="33"/>
  <c r="R33" i="39"/>
  <c r="BB28" i="45"/>
  <c r="B38" i="33"/>
  <c r="R38" i="33"/>
  <c r="R32" i="39"/>
  <c r="BB27" i="45"/>
  <c r="B37" i="33"/>
  <c r="R37" i="33"/>
  <c r="R31" i="39"/>
  <c r="BB26" i="45"/>
  <c r="B36" i="33"/>
  <c r="R36" i="33"/>
  <c r="R30" i="39"/>
  <c r="BB25" i="45"/>
  <c r="B35" i="33"/>
  <c r="R35" i="33"/>
  <c r="R29" i="39"/>
  <c r="BB24" i="45"/>
  <c r="B34" i="33"/>
  <c r="R34" i="33"/>
  <c r="BB23" i="45"/>
  <c r="B33" i="33"/>
  <c r="R33" i="33"/>
  <c r="R28" i="39"/>
  <c r="AN12" i="45"/>
  <c r="AN11" i="45"/>
  <c r="AN15" i="45"/>
  <c r="AN14" i="45"/>
  <c r="AN13" i="45"/>
  <c r="BB12" i="45"/>
  <c r="J17" i="33"/>
  <c r="BB16" i="45"/>
  <c r="J23" i="33"/>
  <c r="I23" i="33"/>
  <c r="BB11" i="45"/>
  <c r="J16" i="33"/>
  <c r="AN52" i="45"/>
  <c r="AW56" i="45"/>
  <c r="AT56" i="45"/>
  <c r="AN56" i="45"/>
  <c r="AP56" i="45"/>
  <c r="AR56" i="45"/>
  <c r="AM56" i="45"/>
  <c r="AU56" i="45"/>
  <c r="AX56" i="45"/>
  <c r="AQ56" i="45"/>
  <c r="AV56" i="45"/>
  <c r="AO56" i="45"/>
  <c r="AS56" i="45"/>
  <c r="K5" i="39"/>
  <c r="K4" i="39"/>
  <c r="K6" i="39"/>
  <c r="K7" i="39"/>
  <c r="P7" i="39"/>
  <c r="P6" i="39"/>
  <c r="P5" i="39"/>
  <c r="P4" i="39"/>
  <c r="K52" i="39"/>
  <c r="M58" i="39"/>
  <c r="M57" i="39"/>
  <c r="M54" i="39"/>
  <c r="M56" i="39"/>
  <c r="M52" i="39"/>
  <c r="M55" i="39"/>
  <c r="M53" i="39"/>
  <c r="M15" i="39"/>
  <c r="I56" i="39"/>
  <c r="G56" i="39"/>
  <c r="BB40" i="45"/>
  <c r="AI40" i="45"/>
  <c r="A47" i="39"/>
  <c r="F7" i="39"/>
  <c r="F4" i="39"/>
  <c r="F5" i="39"/>
  <c r="F6" i="39"/>
  <c r="K51" i="39"/>
  <c r="AI39" i="45"/>
  <c r="A49" i="39"/>
  <c r="K56" i="39"/>
  <c r="AI46" i="45"/>
  <c r="A55" i="39"/>
  <c r="K55" i="39"/>
  <c r="AI45" i="45"/>
  <c r="A54" i="39"/>
  <c r="K54" i="39"/>
  <c r="AI44" i="45"/>
  <c r="A53" i="39"/>
  <c r="K53" i="39"/>
  <c r="AI48" i="45"/>
  <c r="A57" i="39"/>
  <c r="G57" i="39"/>
  <c r="H57" i="39"/>
  <c r="AI49" i="45"/>
  <c r="I58" i="39"/>
  <c r="J58" i="39"/>
  <c r="AI43" i="45"/>
  <c r="A52" i="39"/>
  <c r="I52" i="39"/>
  <c r="AI42" i="45"/>
  <c r="A51" i="39"/>
  <c r="I51" i="39"/>
  <c r="I16" i="33"/>
  <c r="D22" i="74"/>
  <c r="M22" i="74"/>
  <c r="N22" i="74"/>
  <c r="G47" i="39"/>
  <c r="AI47" i="45"/>
  <c r="A56" i="39"/>
  <c r="I58" i="33"/>
  <c r="M15" i="74"/>
  <c r="N15" i="74"/>
  <c r="L53" i="33"/>
  <c r="M10" i="74"/>
  <c r="N10" i="74"/>
  <c r="L55" i="33"/>
  <c r="M12" i="74"/>
  <c r="N12" i="74"/>
  <c r="M9" i="74"/>
  <c r="N9" i="74"/>
  <c r="L54" i="33"/>
  <c r="M11" i="74"/>
  <c r="N11" i="74"/>
  <c r="L51" i="33"/>
  <c r="M8" i="74"/>
  <c r="N8" i="74"/>
  <c r="F57" i="33"/>
  <c r="M14" i="74"/>
  <c r="N14" i="74"/>
  <c r="L56" i="33"/>
  <c r="M13" i="74"/>
  <c r="Q41" i="45"/>
  <c r="I52" i="33"/>
  <c r="L52" i="33"/>
  <c r="I51" i="33"/>
  <c r="AN48" i="45"/>
  <c r="AN49" i="45"/>
  <c r="AN46" i="45"/>
  <c r="AN47" i="45"/>
  <c r="AN44" i="45"/>
  <c r="AN45" i="45"/>
  <c r="AN43" i="45"/>
  <c r="AN42" i="45"/>
  <c r="AN40" i="45"/>
  <c r="A22" i="74"/>
  <c r="N13" i="74"/>
  <c r="M16" i="74"/>
  <c r="N16" i="74"/>
  <c r="BB44" i="45"/>
  <c r="BB45" i="45"/>
  <c r="BB46" i="45"/>
  <c r="BB48" i="45"/>
  <c r="BB47" i="45"/>
  <c r="BB49" i="45"/>
  <c r="BB43" i="45"/>
  <c r="BB42" i="45"/>
  <c r="G59" i="39"/>
  <c r="D1" i="39"/>
  <c r="F59" i="33"/>
  <c r="I59" i="33"/>
  <c r="I59" i="39"/>
  <c r="L59" i="33"/>
  <c r="K59" i="39"/>
  <c r="O41" i="45"/>
  <c r="AL57" i="45"/>
  <c r="AE50" i="45"/>
  <c r="M17" i="74"/>
  <c r="BB50" i="45"/>
  <c r="AN50" i="45"/>
  <c r="AN53" i="45"/>
  <c r="E3" i="39"/>
  <c r="J59" i="39"/>
  <c r="H59" i="39"/>
  <c r="BB41" i="45"/>
  <c r="AX57" i="45"/>
  <c r="AO57" i="45"/>
  <c r="AN57" i="45"/>
  <c r="AP57" i="45"/>
  <c r="AW57" i="45"/>
  <c r="AV57" i="45"/>
  <c r="AT57" i="45"/>
  <c r="AS57" i="45"/>
  <c r="AQ57" i="45"/>
  <c r="AR57" i="45"/>
  <c r="AU57" i="45"/>
  <c r="N17" i="74"/>
  <c r="A8" i="74"/>
  <c r="BB7" i="45"/>
  <c r="Q7" i="45"/>
  <c r="F15" i="39"/>
  <c r="AN54" i="45"/>
  <c r="G30" i="33"/>
  <c r="J6" i="39"/>
  <c r="O6" i="39"/>
  <c r="O4" i="39"/>
  <c r="E5" i="39"/>
  <c r="H5" i="74"/>
  <c r="J13" i="33"/>
  <c r="H22" i="39"/>
  <c r="L59" i="39"/>
  <c r="AM57" i="45"/>
  <c r="AN58" i="45"/>
  <c r="L4" i="39"/>
  <c r="I64" i="33"/>
  <c r="G3" i="39"/>
  <c r="D63" i="33"/>
  <c r="F13" i="33"/>
  <c r="J4" i="39"/>
  <c r="L5" i="39"/>
  <c r="I65" i="33"/>
  <c r="Q5" i="39"/>
  <c r="N65" i="33"/>
  <c r="L7" i="39"/>
  <c r="I67" i="33"/>
  <c r="J7" i="39"/>
  <c r="J5" i="39"/>
  <c r="O5" i="39"/>
  <c r="E7" i="39"/>
  <c r="E4" i="39"/>
  <c r="Q6" i="39"/>
  <c r="N66" i="33"/>
  <c r="Q4" i="39"/>
  <c r="N64" i="33"/>
  <c r="O7" i="39"/>
  <c r="E6" i="39"/>
  <c r="Q7" i="39"/>
  <c r="N67" i="33"/>
  <c r="L6" i="39"/>
  <c r="I66" i="33"/>
  <c r="G4" i="39"/>
  <c r="G7" i="39"/>
  <c r="G5" i="39"/>
  <c r="D64" i="33"/>
  <c r="D65" i="33"/>
  <c r="D67" i="33"/>
  <c r="G6" i="39"/>
  <c r="D66" i="33"/>
  <c r="AD17" i="10"/>
  <c r="AD11" i="10"/>
  <c r="AD15" i="10"/>
  <c r="AD13" i="10"/>
  <c r="AD9" i="10"/>
  <c r="AD10" i="10"/>
  <c r="AD12" i="10"/>
  <c r="AD14" i="10"/>
  <c r="AD16" i="10"/>
  <c r="AD18" i="10"/>
  <c r="G56" i="5"/>
  <c r="G53" i="5"/>
  <c r="F13" i="10"/>
  <c r="F15" i="10"/>
  <c r="F16" i="10"/>
  <c r="F14" i="10"/>
  <c r="F10" i="10"/>
  <c r="F11" i="10"/>
  <c r="F18" i="10"/>
  <c r="F17" i="10"/>
  <c r="F12" i="10"/>
  <c r="E59" i="5"/>
  <c r="E58" i="5"/>
  <c r="E60" i="5"/>
  <c r="G57" i="5"/>
  <c r="G55" i="5"/>
  <c r="G54" i="5"/>
  <c r="G52" i="5"/>
  <c r="J14" i="10"/>
  <c r="G18" i="10"/>
  <c r="G17" i="10"/>
  <c r="G16" i="10"/>
  <c r="Y5" i="12"/>
  <c r="AB5" i="12"/>
  <c r="AC5" i="12"/>
  <c r="G12" i="10"/>
  <c r="E54" i="5"/>
  <c r="G10" i="10"/>
  <c r="E52" i="5"/>
  <c r="G15" i="10"/>
  <c r="E57" i="5"/>
  <c r="G13" i="10"/>
  <c r="E55" i="5"/>
  <c r="G14" i="10"/>
  <c r="E56" i="5"/>
  <c r="G11" i="10"/>
  <c r="E53" i="5"/>
  <c r="J21" i="10"/>
  <c r="J20" i="10"/>
  <c r="J19" i="10"/>
  <c r="J17" i="10"/>
  <c r="J16" i="10"/>
  <c r="J15" i="10"/>
  <c r="J13" i="10"/>
  <c r="J12" i="10"/>
  <c r="J22" i="10"/>
  <c r="J10" i="10"/>
  <c r="J11" i="10"/>
  <c r="J23" i="10"/>
  <c r="J18" i="10"/>
  <c r="W5" i="12"/>
  <c r="V5" i="12"/>
  <c r="G9" i="10"/>
  <c r="AE5" i="12"/>
  <c r="C9" i="10"/>
  <c r="AA5" i="12"/>
  <c r="G51" i="5"/>
  <c r="F9" i="10"/>
  <c r="E51" i="5"/>
  <c r="J9" i="10"/>
  <c r="Y9" i="21"/>
  <c r="B26" i="20"/>
  <c r="B39" i="20"/>
  <c r="C4" i="16"/>
  <c r="O9" i="13"/>
  <c r="L40" i="5"/>
  <c r="L43" i="5"/>
  <c r="L131" i="5"/>
  <c r="B3" i="3"/>
  <c r="C3" i="3"/>
  <c r="B2" i="3"/>
  <c r="D14" i="1"/>
  <c r="D22" i="1"/>
  <c r="T19" i="2"/>
  <c r="T27" i="2"/>
  <c r="B5" i="5"/>
  <c r="F17" i="19"/>
  <c r="A21" i="19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AA2" i="16"/>
  <c r="B3" i="28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BD5" i="14"/>
  <c r="BA5" i="14"/>
  <c r="AP5" i="14"/>
  <c r="R12" i="13"/>
  <c r="K17" i="13"/>
  <c r="K13" i="13"/>
  <c r="K16" i="13"/>
  <c r="K12" i="13"/>
  <c r="K10" i="13"/>
  <c r="K15" i="13"/>
  <c r="K18" i="13"/>
  <c r="K11" i="13"/>
  <c r="AP7" i="14"/>
  <c r="R14" i="13"/>
  <c r="K14" i="13"/>
  <c r="BD2" i="14"/>
  <c r="BA2" i="14"/>
  <c r="K9" i="13"/>
  <c r="BD4" i="14"/>
  <c r="BA4" i="14"/>
  <c r="AP4" i="14"/>
  <c r="R11" i="13"/>
  <c r="BD3" i="14"/>
  <c r="BA3" i="14"/>
  <c r="AP3" i="14"/>
  <c r="R10" i="13"/>
  <c r="D23" i="16"/>
  <c r="D23" i="84"/>
  <c r="D22" i="16"/>
  <c r="D22" i="84"/>
  <c r="D21" i="84"/>
  <c r="D21" i="16"/>
  <c r="D20" i="84"/>
  <c r="D20" i="16"/>
  <c r="D19" i="84"/>
  <c r="D19" i="16"/>
  <c r="D18" i="16"/>
  <c r="D18" i="84"/>
  <c r="D17" i="16"/>
  <c r="D17" i="84"/>
  <c r="D15" i="84"/>
  <c r="D15" i="16"/>
  <c r="D14" i="84"/>
  <c r="D14" i="16"/>
  <c r="D13" i="84"/>
  <c r="D13" i="16"/>
  <c r="D12" i="84"/>
  <c r="D12" i="16"/>
  <c r="D16" i="84"/>
  <c r="D16" i="16"/>
  <c r="D11" i="84"/>
  <c r="D11" i="16"/>
  <c r="D10" i="84"/>
  <c r="D10" i="16"/>
  <c r="D9" i="16"/>
  <c r="D9" i="84"/>
  <c r="D8" i="16"/>
  <c r="D8" i="84"/>
  <c r="D7" i="16"/>
  <c r="D7" i="84"/>
  <c r="D6" i="16"/>
  <c r="D6" i="84"/>
  <c r="D5" i="84"/>
  <c r="D5" i="16"/>
  <c r="AP2" i="14"/>
  <c r="D4" i="84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/>
  <c r="G43" i="20"/>
  <c r="H37" i="10"/>
  <c r="B36" i="20"/>
  <c r="G36" i="20"/>
  <c r="L96" i="5"/>
  <c r="Y10" i="21"/>
  <c r="B27" i="20"/>
  <c r="Y12" i="21"/>
  <c r="B29" i="20"/>
  <c r="W12" i="21"/>
  <c r="F16" i="20"/>
  <c r="D24" i="3"/>
  <c r="E31" i="3"/>
  <c r="F15" i="20"/>
  <c r="Y13" i="21"/>
  <c r="B30" i="20"/>
  <c r="F14" i="20"/>
  <c r="AE14" i="10"/>
  <c r="AE18" i="10"/>
  <c r="E20" i="3"/>
  <c r="D16" i="3"/>
  <c r="D14" i="3"/>
  <c r="D15" i="3"/>
  <c r="D28" i="3"/>
  <c r="E1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L132" i="5"/>
  <c r="L42" i="5"/>
  <c r="E14" i="3"/>
  <c r="D27" i="3"/>
  <c r="D30" i="3"/>
  <c r="L134" i="5"/>
  <c r="AE11" i="10"/>
  <c r="L44" i="5"/>
  <c r="L41" i="5"/>
  <c r="L39" i="5"/>
  <c r="D31" i="3"/>
  <c r="L133" i="5"/>
  <c r="AE10" i="10"/>
  <c r="L55" i="5"/>
  <c r="A18" i="19"/>
  <c r="D5" i="3"/>
  <c r="P9" i="13"/>
  <c r="E4" i="16"/>
  <c r="D4" i="16"/>
  <c r="J4" i="24"/>
  <c r="G14" i="29"/>
  <c r="G31" i="29"/>
  <c r="G14" i="30"/>
  <c r="G31" i="30"/>
  <c r="G14" i="31"/>
  <c r="G31" i="31"/>
  <c r="G13" i="29"/>
  <c r="G30" i="29"/>
  <c r="G13" i="30"/>
  <c r="G30" i="30"/>
  <c r="G13" i="31"/>
  <c r="G30" i="31"/>
  <c r="G32" i="31"/>
  <c r="G32" i="30"/>
  <c r="G32" i="29"/>
  <c r="G14" i="28"/>
  <c r="G31" i="28"/>
  <c r="G13" i="28"/>
  <c r="G30" i="28"/>
  <c r="G32" i="28"/>
  <c r="F16" i="16"/>
  <c r="F24" i="84"/>
  <c r="F22" i="84"/>
  <c r="F13" i="16"/>
  <c r="F16" i="84"/>
  <c r="F20" i="16"/>
  <c r="F24" i="16"/>
  <c r="F19" i="84"/>
  <c r="F13" i="84"/>
  <c r="F11" i="16"/>
  <c r="F14" i="84"/>
  <c r="F14" i="16"/>
  <c r="F22" i="16"/>
  <c r="F15" i="84"/>
  <c r="F19" i="16"/>
  <c r="F15" i="16"/>
  <c r="F21" i="84"/>
  <c r="F11" i="84"/>
  <c r="F20" i="84"/>
  <c r="F23" i="84"/>
  <c r="F21" i="16"/>
  <c r="F10" i="84"/>
  <c r="F12" i="84"/>
  <c r="F23" i="16"/>
  <c r="F10" i="16"/>
  <c r="F12" i="16"/>
  <c r="F18" i="84"/>
  <c r="F18" i="16"/>
  <c r="F17" i="84"/>
  <c r="F17" i="16"/>
  <c r="F6" i="84"/>
  <c r="F6" i="16"/>
  <c r="F5" i="84"/>
  <c r="F5" i="16"/>
  <c r="R9" i="13"/>
  <c r="I16" i="20"/>
  <c r="G31" i="32"/>
  <c r="G30" i="32"/>
  <c r="F9" i="16"/>
  <c r="F9" i="84"/>
  <c r="F4" i="84"/>
  <c r="F12" i="20"/>
  <c r="G32" i="32"/>
  <c r="G26" i="20"/>
  <c r="F84" i="5"/>
  <c r="G27" i="20"/>
  <c r="F85" i="5"/>
  <c r="G29" i="20"/>
  <c r="F88" i="5"/>
  <c r="G42" i="20"/>
  <c r="Y24" i="21"/>
  <c r="J27" i="20"/>
  <c r="F34" i="20"/>
  <c r="W24" i="21"/>
  <c r="G30" i="20"/>
  <c r="AG21" i="14"/>
  <c r="AF21" i="14"/>
  <c r="AG20" i="14"/>
  <c r="AF20" i="14"/>
  <c r="AG19" i="14"/>
  <c r="AF19" i="14"/>
  <c r="AG18" i="14"/>
  <c r="AF18" i="14"/>
  <c r="AG17" i="14"/>
  <c r="AF17" i="14"/>
  <c r="AG16" i="14"/>
  <c r="AF16" i="14"/>
  <c r="AG15" i="14"/>
  <c r="AF15" i="14"/>
  <c r="AG14" i="14"/>
  <c r="AF14" i="14"/>
  <c r="AG13" i="14"/>
  <c r="AF13" i="14"/>
  <c r="AG12" i="14"/>
  <c r="AF12" i="14"/>
  <c r="AG11" i="14"/>
  <c r="AF11" i="14"/>
  <c r="AG10" i="14"/>
  <c r="AF10" i="14"/>
  <c r="AG9" i="14"/>
  <c r="AF9" i="14"/>
  <c r="AG8" i="14"/>
  <c r="AF8" i="14"/>
  <c r="AG7" i="14"/>
  <c r="AF7" i="14"/>
  <c r="AG6" i="14"/>
  <c r="AF6" i="14"/>
  <c r="AG5" i="14"/>
  <c r="AF5" i="14"/>
  <c r="AG4" i="14"/>
  <c r="AF4" i="14"/>
  <c r="AG3" i="14"/>
  <c r="AF3" i="14"/>
  <c r="AG2" i="14"/>
  <c r="AF2" i="14"/>
  <c r="D7" i="3"/>
  <c r="D23" i="3"/>
  <c r="C23" i="3"/>
  <c r="L136" i="5"/>
  <c r="L52" i="5"/>
  <c r="L27" i="10"/>
  <c r="L26" i="10"/>
  <c r="L29" i="10"/>
  <c r="L28" i="10"/>
  <c r="L25" i="10"/>
  <c r="AF14" i="10"/>
  <c r="L135" i="5"/>
  <c r="AE12" i="10"/>
  <c r="AF12" i="10"/>
  <c r="AF11" i="10"/>
  <c r="AF18" i="10"/>
  <c r="F4" i="16"/>
  <c r="L68" i="5"/>
  <c r="L69" i="5"/>
  <c r="D9" i="3"/>
  <c r="E3" i="3"/>
  <c r="D39" i="3"/>
  <c r="E23" i="3"/>
  <c r="D38" i="3"/>
  <c r="AF10" i="10"/>
  <c r="AE9" i="10"/>
  <c r="AF9" i="10"/>
  <c r="L53" i="5"/>
  <c r="L56" i="5"/>
  <c r="L51" i="5"/>
  <c r="L66" i="5"/>
  <c r="L54" i="5"/>
  <c r="L58" i="5"/>
  <c r="AE17" i="10"/>
  <c r="AF17" i="10"/>
  <c r="AE16" i="10"/>
  <c r="AF16" i="10"/>
  <c r="L59" i="5"/>
  <c r="E2" i="3"/>
  <c r="L70" i="5"/>
  <c r="L67" i="5"/>
  <c r="AE13" i="10"/>
  <c r="AF13" i="10"/>
  <c r="AE15" i="10"/>
  <c r="AF15" i="10"/>
  <c r="L57" i="5"/>
  <c r="N14" i="14"/>
  <c r="N19" i="14"/>
  <c r="N13" i="14"/>
  <c r="N7" i="14"/>
  <c r="N18" i="14"/>
  <c r="N10" i="14"/>
  <c r="N8" i="14"/>
  <c r="N17" i="14"/>
  <c r="N20" i="14"/>
  <c r="N12" i="14"/>
  <c r="N16" i="14"/>
  <c r="N9" i="14"/>
  <c r="N11" i="14"/>
  <c r="N21" i="14"/>
  <c r="N15" i="14"/>
  <c r="N9" i="13"/>
  <c r="N11" i="13"/>
  <c r="N10" i="13"/>
  <c r="N12" i="13"/>
  <c r="N18" i="13"/>
  <c r="N13" i="13"/>
  <c r="N15" i="13"/>
  <c r="N14" i="13"/>
  <c r="N17" i="13"/>
  <c r="N16" i="13"/>
  <c r="Z7" i="27"/>
  <c r="D10" i="5"/>
  <c r="BH4" i="14"/>
  <c r="BI4" i="14"/>
  <c r="BH6" i="14"/>
  <c r="BI6" i="14"/>
  <c r="BH8" i="14"/>
  <c r="BI8" i="14"/>
  <c r="BH10" i="14"/>
  <c r="BI10" i="14"/>
  <c r="BH12" i="14"/>
  <c r="BI12" i="14"/>
  <c r="BH14" i="14"/>
  <c r="BI14" i="14"/>
  <c r="BH16" i="14"/>
  <c r="BI16" i="14"/>
  <c r="BH18" i="14"/>
  <c r="BI18" i="14"/>
  <c r="BH20" i="14"/>
  <c r="BI20" i="14"/>
  <c r="BH3" i="14"/>
  <c r="BI3" i="14"/>
  <c r="BH7" i="14"/>
  <c r="BI7" i="14"/>
  <c r="BH11" i="14"/>
  <c r="BI11" i="14"/>
  <c r="BH15" i="14"/>
  <c r="BI15" i="14"/>
  <c r="BH19" i="14"/>
  <c r="BI19" i="14"/>
  <c r="BH5" i="14"/>
  <c r="BI5" i="14"/>
  <c r="BH9" i="14"/>
  <c r="BI9" i="14"/>
  <c r="BH13" i="14"/>
  <c r="BI13" i="14"/>
  <c r="BH17" i="14"/>
  <c r="BI17" i="14"/>
  <c r="BH21" i="14"/>
  <c r="BI21" i="14"/>
  <c r="BH2" i="14"/>
  <c r="BI2" i="14"/>
  <c r="AW17" i="14"/>
  <c r="AV17" i="14"/>
  <c r="AV7" i="14"/>
  <c r="AW7" i="14"/>
  <c r="AV11" i="14"/>
  <c r="AW11" i="14"/>
  <c r="AV15" i="14"/>
  <c r="AW15" i="14"/>
  <c r="AV19" i="14"/>
  <c r="AW19" i="14"/>
  <c r="AV5" i="14"/>
  <c r="AW5" i="14"/>
  <c r="AV9" i="14"/>
  <c r="AW9" i="14"/>
  <c r="AV13" i="14"/>
  <c r="AW13" i="14"/>
  <c r="AV21" i="14"/>
  <c r="AW21" i="14"/>
  <c r="AW4" i="14"/>
  <c r="AV4" i="14"/>
  <c r="AW6" i="14"/>
  <c r="AV6" i="14"/>
  <c r="AW8" i="14"/>
  <c r="AV8" i="14"/>
  <c r="AW10" i="14"/>
  <c r="AV10" i="14"/>
  <c r="AW12" i="14"/>
  <c r="AV12" i="14"/>
  <c r="AV14" i="14"/>
  <c r="AW14" i="14"/>
  <c r="AW16" i="14"/>
  <c r="AV16" i="14"/>
  <c r="AW18" i="14"/>
  <c r="AV18" i="14"/>
  <c r="AW20" i="14"/>
  <c r="AV20" i="14"/>
  <c r="AV3" i="14"/>
  <c r="AW3" i="14"/>
  <c r="AW2" i="14"/>
  <c r="AV2" i="14"/>
  <c r="I15" i="20"/>
  <c r="E15" i="20"/>
  <c r="Z6" i="27"/>
  <c r="D9" i="5"/>
  <c r="E14" i="20"/>
  <c r="E16" i="20"/>
  <c r="Z5" i="27"/>
  <c r="D8" i="5"/>
  <c r="I14" i="20"/>
  <c r="I12" i="20"/>
  <c r="Z4" i="27"/>
  <c r="G6" i="5"/>
  <c r="L27" i="20"/>
  <c r="J83" i="5"/>
  <c r="H36" i="10"/>
  <c r="E12" i="20"/>
  <c r="Y11" i="21"/>
  <c r="AE21" i="14"/>
  <c r="AE20" i="14"/>
  <c r="AE19" i="14"/>
  <c r="AE18" i="14"/>
  <c r="AE17" i="14"/>
  <c r="AE16" i="14"/>
  <c r="AE15" i="14"/>
  <c r="AE14" i="14"/>
  <c r="AE13" i="14"/>
  <c r="AE12" i="14"/>
  <c r="AE9" i="14"/>
  <c r="AE8" i="14"/>
  <c r="AE6" i="14"/>
  <c r="AE11" i="14"/>
  <c r="AE10" i="14"/>
  <c r="AE7" i="14"/>
  <c r="AE5" i="14"/>
  <c r="AE2" i="14"/>
  <c r="AE3" i="14"/>
  <c r="AE4" i="14"/>
  <c r="BM2" i="14"/>
  <c r="BM20" i="14"/>
  <c r="BM16" i="14"/>
  <c r="BM12" i="14"/>
  <c r="BM8" i="14"/>
  <c r="BL5" i="14"/>
  <c r="BL16" i="14"/>
  <c r="BL21" i="14"/>
  <c r="BM18" i="14"/>
  <c r="BL8" i="14"/>
  <c r="BL7" i="14"/>
  <c r="BM10" i="14"/>
  <c r="BM4" i="14"/>
  <c r="BM5" i="14"/>
  <c r="BM15" i="14"/>
  <c r="BM7" i="14"/>
  <c r="BL9" i="14"/>
  <c r="BL10" i="14"/>
  <c r="BM6" i="14"/>
  <c r="BM17" i="14"/>
  <c r="BL13" i="14"/>
  <c r="BL15" i="14"/>
  <c r="BL20" i="14"/>
  <c r="BL12" i="14"/>
  <c r="BL4" i="14"/>
  <c r="BM13" i="14"/>
  <c r="BL2" i="14"/>
  <c r="BL11" i="14"/>
  <c r="BL18" i="14"/>
  <c r="BM3" i="14"/>
  <c r="BM14" i="14"/>
  <c r="BM21" i="14"/>
  <c r="BM9" i="14"/>
  <c r="BM19" i="14"/>
  <c r="BM11" i="14"/>
  <c r="BL17" i="14"/>
  <c r="BL19" i="14"/>
  <c r="BL3" i="14"/>
  <c r="BL14" i="14"/>
  <c r="BL6" i="14"/>
  <c r="D87" i="5"/>
  <c r="B34" i="20"/>
  <c r="Y15" i="21"/>
  <c r="B32" i="20"/>
  <c r="G92" i="5"/>
  <c r="E91" i="5"/>
  <c r="F91" i="5"/>
  <c r="G32" i="20"/>
  <c r="Y14" i="21"/>
  <c r="W19" i="21"/>
  <c r="Y19" i="21"/>
  <c r="B37" i="20"/>
  <c r="G26" i="31"/>
  <c r="G26" i="29"/>
  <c r="G26" i="30"/>
  <c r="G26" i="32"/>
  <c r="G37" i="20"/>
  <c r="L97" i="5"/>
  <c r="F97" i="5"/>
  <c r="Y17" i="21"/>
  <c r="G24" i="31"/>
  <c r="G24" i="30"/>
  <c r="G24" i="29"/>
  <c r="G24" i="32"/>
  <c r="G24" i="28"/>
  <c r="D95" i="5"/>
  <c r="F95" i="5"/>
  <c r="G35" i="20"/>
  <c r="L95" i="5"/>
  <c r="Y23" i="21"/>
  <c r="J26" i="20"/>
  <c r="W23" i="21"/>
  <c r="W21" i="21"/>
  <c r="L26" i="20"/>
  <c r="J82" i="5"/>
  <c r="Y21" i="21"/>
  <c r="J22" i="20"/>
  <c r="AB21" i="21"/>
  <c r="N22" i="20"/>
  <c r="J80" i="5"/>
  <c r="Y22" i="21"/>
  <c r="W22" i="21"/>
  <c r="J81" i="5"/>
  <c r="L24" i="20"/>
  <c r="G22" i="29"/>
  <c r="G36" i="29"/>
  <c r="G22" i="31"/>
  <c r="G22" i="30"/>
  <c r="G22" i="28"/>
  <c r="AB3" i="21"/>
  <c r="I22" i="20"/>
  <c r="G36" i="32"/>
  <c r="E80" i="5"/>
  <c r="F22" i="20"/>
  <c r="Y8" i="21"/>
  <c r="F80" i="5"/>
  <c r="I36" i="32"/>
  <c r="I22" i="29"/>
  <c r="I22" i="30"/>
  <c r="I36" i="29"/>
  <c r="I22" i="31"/>
  <c r="I22" i="28"/>
  <c r="L11" i="24"/>
  <c r="L12" i="24"/>
  <c r="L4" i="24"/>
  <c r="L9" i="24"/>
  <c r="L10" i="24"/>
  <c r="G18" i="29"/>
  <c r="G20" i="31"/>
  <c r="G19" i="29"/>
  <c r="G19" i="31"/>
  <c r="G18" i="28"/>
  <c r="G19" i="30"/>
  <c r="G17" i="28"/>
  <c r="G18" i="31"/>
  <c r="G17" i="29"/>
  <c r="G18" i="30"/>
  <c r="C9" i="32"/>
  <c r="C9" i="29"/>
  <c r="G36" i="28"/>
  <c r="G36" i="30"/>
  <c r="G36" i="31"/>
  <c r="G34" i="31"/>
  <c r="B35" i="31"/>
  <c r="G35" i="31"/>
  <c r="G34" i="30"/>
  <c r="B35" i="30"/>
  <c r="G35" i="30"/>
  <c r="G17" i="30"/>
  <c r="G16" i="29"/>
  <c r="G17" i="31"/>
  <c r="G34" i="32"/>
  <c r="G16" i="28"/>
  <c r="F83" i="5"/>
  <c r="G25" i="20"/>
  <c r="H42" i="20"/>
  <c r="F42" i="20"/>
  <c r="F36" i="10"/>
  <c r="D103" i="5"/>
  <c r="I15" i="24"/>
  <c r="I36" i="28"/>
  <c r="I36" i="30"/>
  <c r="I36" i="31"/>
  <c r="L13" i="24"/>
  <c r="L14" i="24"/>
  <c r="L15" i="24"/>
  <c r="L3" i="24"/>
  <c r="L7" i="24"/>
  <c r="L5" i="24"/>
  <c r="L6" i="24"/>
  <c r="B21" i="28"/>
  <c r="G21" i="28"/>
  <c r="B21" i="30"/>
  <c r="G21" i="30"/>
  <c r="B21" i="31"/>
  <c r="G21" i="31"/>
  <c r="C9" i="31"/>
  <c r="C9" i="30"/>
  <c r="C9" i="28"/>
  <c r="B21" i="29"/>
  <c r="G21" i="29"/>
  <c r="G34" i="29"/>
  <c r="B35" i="29"/>
  <c r="G35" i="29"/>
  <c r="G34" i="28"/>
  <c r="B35" i="28"/>
  <c r="G35" i="28"/>
  <c r="F106" i="5"/>
  <c r="K39" i="10"/>
  <c r="L45" i="20"/>
  <c r="K40" i="10"/>
  <c r="H103" i="5"/>
  <c r="L46" i="20"/>
  <c r="F40" i="10"/>
  <c r="F46" i="20"/>
  <c r="D106" i="5"/>
  <c r="H104" i="5"/>
  <c r="K42" i="10"/>
  <c r="L48" i="20"/>
  <c r="K38" i="10"/>
  <c r="L44" i="20"/>
  <c r="F105" i="5"/>
  <c r="L8" i="24"/>
  <c r="F37" i="10"/>
  <c r="F103" i="5"/>
  <c r="F43" i="20"/>
  <c r="J103" i="5"/>
  <c r="F48" i="20"/>
  <c r="F42" i="10"/>
  <c r="H105" i="5"/>
  <c r="K41" i="10"/>
  <c r="L47" i="20"/>
  <c r="D104" i="5"/>
  <c r="F45" i="20"/>
  <c r="F39" i="10"/>
  <c r="D105" i="5"/>
  <c r="F44" i="20"/>
  <c r="F38" i="10"/>
  <c r="J104" i="5"/>
  <c r="F41" i="10"/>
  <c r="F47" i="20"/>
  <c r="H44" i="20"/>
  <c r="K37" i="10"/>
  <c r="F104" i="5"/>
  <c r="L43" i="20"/>
  <c r="N7" i="87"/>
  <c r="O7" i="87"/>
  <c r="M59" i="87"/>
  <c r="D4" i="87"/>
  <c r="D5" i="87"/>
  <c r="N5" i="87"/>
  <c r="O5" i="87"/>
  <c r="D48" i="87"/>
  <c r="A48" i="87"/>
  <c r="D59" i="87"/>
  <c r="G59" i="87"/>
  <c r="G48" i="87"/>
  <c r="J48" i="87"/>
  <c r="M48" i="87"/>
  <c r="P48" i="87"/>
  <c r="P59" i="87"/>
  <c r="A59" i="87"/>
  <c r="J59" i="87"/>
  <c r="M50" i="87"/>
  <c r="G61" i="87"/>
  <c r="G50" i="87"/>
  <c r="A50" i="87"/>
  <c r="M61" i="87"/>
  <c r="A61" i="87"/>
  <c r="B19" i="87"/>
  <c r="N6" i="87"/>
  <c r="O6" i="87"/>
</calcChain>
</file>

<file path=xl/sharedStrings.xml><?xml version="1.0" encoding="utf-8"?>
<sst xmlns="http://schemas.openxmlformats.org/spreadsheetml/2006/main" count="13348" uniqueCount="7924">
  <si>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</si>
  <si>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</si>
  <si>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</si>
  <si>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</si>
  <si>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</si>
  <si>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</si>
  <si>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</si>
  <si>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</si>
  <si>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</si>
  <si>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</si>
  <si>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</si>
  <si>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</si>
  <si>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</si>
  <si>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</si>
  <si>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</si>
  <si>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</si>
  <si>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</si>
  <si>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</si>
  <si>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</si>
  <si>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</si>
  <si>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</si>
  <si>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</si>
  <si>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</si>
  <si>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</si>
  <si>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</si>
  <si>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</si>
  <si>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</si>
  <si>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</si>
  <si>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</si>
  <si>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</si>
  <si>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</si>
  <si>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</si>
  <si>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</si>
  <si>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</si>
  <si>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</si>
  <si>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</si>
  <si>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</si>
  <si>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</si>
  <si>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</si>
  <si>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</si>
  <si>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</si>
  <si>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</si>
  <si>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</si>
  <si>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</si>
  <si>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</si>
  <si>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</si>
  <si>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</si>
  <si>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</si>
  <si>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</si>
  <si>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</si>
  <si>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</si>
  <si>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</si>
  <si>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</si>
  <si>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</si>
  <si>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</si>
  <si>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</si>
  <si>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</si>
  <si>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</si>
  <si>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</si>
  <si>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</si>
  <si>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</si>
  <si>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</si>
  <si>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</si>
  <si>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</si>
  <si>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</si>
  <si>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</si>
  <si>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</si>
  <si>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</si>
  <si>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</si>
  <si>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</si>
  <si>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</si>
  <si>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</si>
  <si>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</si>
  <si>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</si>
  <si>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</si>
  <si>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</si>
  <si>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</si>
  <si>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</si>
  <si>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</si>
  <si>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</si>
  <si>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</si>
  <si>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</si>
  <si>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</si>
  <si>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</si>
  <si>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</si>
  <si>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</si>
  <si>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</si>
  <si>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</si>
  <si>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</si>
  <si>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</si>
  <si>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</si>
  <si>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</si>
  <si>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</si>
  <si>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</si>
  <si>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</si>
  <si>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</si>
  <si>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60-50 ml</t>
  </si>
  <si>
    <t>50-40 ml</t>
  </si>
  <si>
    <t>40-30 ml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</si>
  <si>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</si>
  <si>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</si>
  <si>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</si>
  <si>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</si>
  <si>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</si>
  <si>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</si>
  <si>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</si>
  <si>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</si>
  <si>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</si>
  <si>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</si>
  <si>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</si>
  <si>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</si>
  <si>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</si>
  <si>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</si>
  <si>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</si>
  <si>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</si>
  <si>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</si>
  <si>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</si>
  <si>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</si>
  <si>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</si>
  <si>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</si>
  <si>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</si>
  <si>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</si>
  <si>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</si>
  <si>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</si>
  <si>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</si>
  <si>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</si>
  <si>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</si>
  <si>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</si>
  <si>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</si>
  <si>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</si>
  <si>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</si>
  <si>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</si>
  <si>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</si>
  <si>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</si>
  <si>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</si>
  <si>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</si>
  <si>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</si>
  <si>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</si>
  <si>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</si>
  <si>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</si>
  <si>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</si>
  <si>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</si>
  <si>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</si>
  <si>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</si>
  <si>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</si>
  <si>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</si>
  <si>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</si>
  <si>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</si>
  <si>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</si>
  <si>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</si>
  <si>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</si>
  <si>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</si>
  <si>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</si>
  <si>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</si>
  <si>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</si>
  <si>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</si>
  <si>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</si>
  <si>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</si>
  <si>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</si>
  <si>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</si>
  <si>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</si>
  <si>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</si>
  <si>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</si>
  <si>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</si>
  <si>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</si>
  <si>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</si>
  <si>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</si>
  <si>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</si>
  <si>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</si>
  <si>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</si>
  <si>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</si>
  <si>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</si>
  <si>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</si>
  <si>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</si>
  <si>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</si>
  <si>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</si>
  <si>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</si>
  <si>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</si>
  <si>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</si>
  <si>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</si>
  <si>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</si>
  <si>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</si>
  <si>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</si>
  <si>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</si>
  <si>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</si>
  <si>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</si>
  <si>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</si>
  <si>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</si>
  <si>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</si>
  <si>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</si>
  <si>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</si>
  <si>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</si>
  <si>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</si>
  <si>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</si>
  <si>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</si>
  <si>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</si>
  <si>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</si>
  <si>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</si>
  <si>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</si>
  <si>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</si>
  <si>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</si>
  <si>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</si>
  <si>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</si>
  <si>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</si>
  <si>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</si>
  <si>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</si>
  <si>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</si>
  <si>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</si>
  <si>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</si>
  <si>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</si>
  <si>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</si>
  <si>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</si>
  <si>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</si>
  <si>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</si>
  <si>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</si>
  <si>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</si>
  <si>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</si>
  <si>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</si>
  <si>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</si>
  <si>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</si>
  <si>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</si>
  <si>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</si>
  <si>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</si>
  <si>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</si>
  <si>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</si>
  <si>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</si>
  <si>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</si>
  <si>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</si>
  <si>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</si>
  <si>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</si>
  <si>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</si>
  <si>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</si>
  <si>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</si>
  <si>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</si>
  <si>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</si>
  <si>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</si>
  <si>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</si>
  <si>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</si>
  <si>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</si>
  <si>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</si>
  <si>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</si>
  <si>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</si>
  <si>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</si>
  <si>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</si>
  <si>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</si>
  <si>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</si>
  <si>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</si>
  <si>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</si>
  <si>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</si>
  <si>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</si>
  <si>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</si>
  <si>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</si>
  <si>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</si>
  <si>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</si>
  <si>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</si>
  <si>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</si>
  <si>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</si>
  <si>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</si>
  <si>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</si>
  <si>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</si>
  <si>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</si>
  <si>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</si>
  <si>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</si>
  <si>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</si>
  <si>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</si>
  <si>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</si>
  <si>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</si>
  <si>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</si>
  <si>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</si>
  <si>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</si>
  <si>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</si>
  <si>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</si>
  <si>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</si>
  <si>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</si>
  <si>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</si>
  <si>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</si>
  <si>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</si>
  <si>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</si>
  <si>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</si>
  <si>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</si>
  <si>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</si>
  <si>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</si>
  <si>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</si>
  <si>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</si>
  <si>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</si>
  <si>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</si>
  <si>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</si>
  <si>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</si>
  <si>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</si>
  <si>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</si>
  <si>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</si>
  <si>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</si>
  <si>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</si>
  <si>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</si>
  <si>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</si>
  <si>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</si>
  <si>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</si>
  <si>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</si>
  <si>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</si>
  <si>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</si>
  <si>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</si>
  <si>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</si>
  <si>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</si>
  <si>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</si>
  <si>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</si>
  <si>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</si>
  <si>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</si>
  <si>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</si>
  <si>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</si>
  <si>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</si>
  <si>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</si>
  <si>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</si>
  <si>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KCl  (7,4%) (1 mmol/ml)</t>
  </si>
  <si>
    <t>2 ml</t>
  </si>
  <si>
    <t>20 ml</t>
  </si>
  <si>
    <t>80-65 ml</t>
  </si>
  <si>
    <t>65-50 ml</t>
  </si>
  <si>
    <t>55 ml</t>
  </si>
  <si>
    <t>40 ml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</si>
  <si>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</si>
  <si>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</si>
  <si>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</si>
  <si>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</si>
  <si>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</si>
  <si>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</si>
  <si>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</si>
  <si>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</si>
  <si>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</si>
  <si>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</si>
  <si>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</si>
  <si>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</si>
  <si>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</si>
  <si>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</si>
  <si>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</si>
  <si>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</si>
  <si>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</si>
  <si>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</si>
  <si>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</si>
  <si>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</si>
  <si>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</si>
  <si>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</si>
  <si>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</si>
  <si>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</si>
  <si>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</si>
  <si>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</si>
  <si>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</si>
  <si>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</si>
  <si>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</si>
  <si>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Ringer lactaat</t>
  </si>
  <si>
    <t>Geboortedatum</t>
  </si>
  <si>
    <t>Datum</t>
  </si>
  <si>
    <t>Naam</t>
  </si>
  <si>
    <t>Generiek</t>
  </si>
  <si>
    <t>2 tot 6</t>
  </si>
  <si>
    <t>6 tot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</si>
  <si>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</si>
  <si>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</si>
  <si>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</si>
  <si>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</si>
  <si>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</si>
  <si>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</si>
  <si>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</si>
  <si>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</si>
  <si>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</si>
  <si>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</si>
  <si>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</si>
  <si>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</si>
  <si>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</si>
  <si>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</si>
  <si>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</si>
  <si>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</si>
  <si>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</si>
  <si>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</si>
  <si>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</si>
  <si>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</si>
  <si>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</si>
  <si>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</si>
  <si>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</si>
  <si>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</si>
  <si>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</si>
  <si>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</si>
  <si>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</si>
  <si>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</si>
  <si>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</si>
  <si>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</si>
  <si>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</si>
  <si>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</si>
  <si>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</si>
  <si>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</si>
  <si>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</si>
  <si>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</si>
  <si>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</si>
  <si>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</si>
  <si>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</si>
  <si>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</si>
  <si>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</si>
  <si>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</si>
  <si>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</si>
  <si>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</si>
  <si>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</si>
  <si>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</si>
  <si>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</si>
  <si>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</si>
  <si>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</si>
  <si>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</si>
  <si>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</si>
  <si>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</si>
  <si>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</si>
  <si>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</si>
  <si>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</si>
  <si>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</si>
  <si>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</si>
  <si>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</si>
  <si>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</si>
  <si>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</si>
  <si>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</si>
  <si>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</si>
  <si>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</si>
  <si>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</si>
  <si>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</si>
  <si>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</si>
  <si>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</si>
  <si>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</si>
  <si>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</si>
  <si>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</si>
  <si>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</si>
  <si>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</si>
  <si>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</si>
  <si>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</si>
  <si>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</si>
  <si>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</si>
  <si>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</si>
  <si>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</si>
  <si>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</si>
  <si>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</si>
  <si>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</si>
  <si>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</si>
  <si>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</si>
  <si>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</si>
  <si>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</si>
  <si>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</si>
  <si>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</si>
  <si>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</si>
  <si>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</si>
  <si>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</si>
  <si>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</si>
  <si>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</si>
  <si>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</si>
  <si>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</si>
  <si>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</si>
  <si>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</si>
  <si>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</si>
  <si>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</si>
  <si>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</si>
  <si>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</si>
  <si>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</si>
  <si>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</si>
  <si>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</si>
  <si>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</si>
  <si>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</si>
  <si>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</si>
  <si>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</si>
  <si>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</si>
  <si>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</si>
  <si>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</si>
  <si>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</si>
  <si>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</si>
  <si>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</si>
  <si>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</si>
  <si>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</si>
  <si>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</si>
  <si>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</si>
  <si>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</si>
  <si>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</si>
  <si>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</si>
  <si>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</si>
  <si>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</si>
  <si>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</si>
  <si>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</si>
  <si>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</si>
  <si>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</si>
  <si>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</si>
  <si>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</si>
  <si>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</si>
  <si>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</si>
  <si>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</si>
  <si>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</si>
  <si>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</si>
  <si>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</si>
  <si>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</si>
  <si>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</si>
  <si>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</si>
  <si>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</si>
  <si>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</si>
  <si>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</si>
  <si>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</si>
  <si>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</si>
  <si>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</si>
  <si>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</si>
  <si>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</si>
  <si>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</si>
  <si>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</si>
  <si>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</si>
  <si>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</si>
  <si>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</si>
  <si>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</si>
  <si>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</si>
  <si>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</si>
  <si>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</si>
  <si>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</si>
  <si>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</si>
  <si>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</si>
  <si>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</si>
  <si>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</si>
  <si>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</si>
  <si>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</si>
  <si>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</si>
  <si>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</si>
  <si>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</si>
  <si>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</si>
  <si>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</si>
  <si>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</si>
  <si>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</si>
  <si>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</si>
  <si>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</si>
  <si>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</si>
  <si>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</si>
  <si>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</si>
  <si>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</si>
  <si>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</si>
  <si>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</si>
  <si>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</si>
  <si>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</si>
  <si>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</si>
  <si>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</si>
  <si>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</si>
  <si>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</si>
  <si>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</si>
  <si>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</si>
  <si>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</si>
  <si>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</si>
  <si>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</si>
  <si>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</si>
  <si>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</si>
  <si>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</si>
  <si>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</si>
  <si>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</si>
  <si>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</si>
  <si>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</si>
  <si>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</si>
  <si>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</si>
  <si>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</si>
  <si>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</si>
  <si>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</si>
  <si>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</si>
  <si>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</si>
  <si>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</si>
  <si>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</si>
  <si>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</si>
  <si>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</si>
  <si>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</si>
  <si>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</si>
  <si>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</si>
  <si>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</si>
  <si>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</si>
  <si>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</si>
  <si>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</si>
  <si>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</si>
  <si>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</si>
  <si>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</si>
  <si>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</si>
  <si>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</si>
  <si>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</si>
  <si>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</si>
  <si>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</si>
  <si>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</si>
  <si>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</si>
  <si>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</si>
  <si>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</si>
  <si>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</si>
  <si>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</si>
  <si>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</si>
  <si>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</si>
  <si>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</si>
  <si>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</si>
  <si>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</si>
  <si>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</si>
  <si>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</si>
  <si>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</si>
  <si>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</si>
  <si>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</si>
  <si>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</si>
  <si>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</si>
  <si>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</si>
  <si>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</si>
  <si>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</si>
  <si>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</si>
  <si>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</si>
  <si>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</si>
  <si>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</si>
  <si>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</si>
  <si>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</si>
  <si>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</si>
  <si>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</si>
  <si>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</si>
  <si>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</si>
  <si>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</si>
  <si>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</si>
  <si>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</si>
  <si>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</si>
  <si>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</si>
  <si>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</si>
  <si>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</si>
  <si>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</si>
  <si>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</si>
  <si>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</si>
  <si>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</si>
  <si>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</si>
  <si>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</si>
  <si>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</si>
  <si>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</si>
  <si>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</si>
  <si>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</si>
  <si>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</si>
  <si>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</si>
  <si>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</si>
  <si>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</si>
  <si>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</si>
  <si>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</si>
  <si>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</si>
  <si>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</si>
  <si>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</si>
  <si>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</si>
  <si>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</si>
  <si>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</si>
  <si>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</si>
  <si>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</si>
  <si>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</si>
  <si>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</si>
  <si>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</si>
  <si>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</si>
  <si>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</si>
  <si>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</si>
  <si>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</si>
  <si>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</si>
  <si>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</si>
  <si>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</si>
  <si>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</si>
  <si>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</si>
  <si>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</si>
  <si>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</si>
  <si>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</si>
  <si>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</si>
  <si>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</si>
  <si>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</si>
  <si>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</si>
  <si>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</si>
  <si>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</si>
  <si>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</si>
  <si>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</si>
  <si>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</si>
  <si>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</si>
  <si>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</si>
  <si>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</si>
  <si>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</si>
  <si>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</si>
  <si>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</si>
  <si>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</si>
  <si>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</si>
  <si>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</si>
  <si>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</si>
  <si>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</si>
  <si>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</si>
  <si>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</si>
  <si>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</si>
  <si>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</si>
  <si>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</si>
  <si>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</si>
  <si>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</si>
  <si>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</si>
  <si>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</si>
  <si>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</si>
  <si>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</si>
  <si>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</si>
  <si>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</si>
  <si>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</si>
  <si>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</si>
  <si>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</si>
  <si>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</si>
  <si>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</si>
  <si>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</si>
  <si>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</si>
  <si>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</si>
  <si>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</si>
  <si>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</si>
  <si>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</si>
  <si>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</si>
  <si>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</si>
  <si>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</si>
  <si>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</si>
  <si>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</si>
  <si>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</si>
  <si>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</si>
  <si>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</si>
  <si>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</si>
  <si>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</si>
  <si>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</si>
  <si>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</si>
  <si>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</si>
  <si>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</si>
  <si>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</si>
  <si>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</si>
  <si>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</si>
  <si>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</si>
  <si>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</si>
  <si>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</si>
  <si>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</si>
  <si>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</si>
  <si>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</si>
  <si>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</si>
  <si>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</si>
  <si>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</si>
  <si>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</si>
  <si>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</si>
  <si>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</si>
  <si>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</si>
  <si>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</si>
  <si>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</si>
  <si>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</si>
  <si>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</si>
  <si>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</si>
  <si>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</si>
  <si>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</si>
  <si>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</si>
  <si>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</si>
  <si>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</si>
  <si>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</si>
  <si>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</si>
  <si>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</si>
  <si>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</si>
  <si>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</si>
  <si>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</si>
  <si>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</si>
  <si>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</si>
  <si>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</si>
  <si>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</si>
  <si>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</si>
  <si>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</si>
  <si>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</si>
  <si>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</si>
  <si>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</si>
  <si>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</si>
  <si>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</si>
  <si>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</si>
  <si>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</si>
  <si>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</si>
  <si>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</si>
  <si>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</si>
  <si>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</si>
  <si>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</si>
  <si>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</si>
  <si>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</si>
  <si>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</si>
  <si>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</si>
  <si>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</si>
  <si>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</si>
  <si>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</si>
  <si>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</si>
  <si>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</si>
  <si>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</si>
  <si>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</si>
  <si>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</si>
  <si>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</si>
  <si>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</si>
  <si>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</si>
  <si>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</si>
  <si>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</si>
  <si>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</si>
  <si>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</si>
  <si>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</si>
  <si>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</si>
  <si>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</si>
  <si>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</si>
  <si>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</si>
  <si>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</si>
  <si>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</si>
  <si>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</si>
  <si>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</si>
  <si>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</si>
  <si>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</si>
  <si>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</si>
  <si>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</si>
  <si>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</si>
  <si>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</si>
  <si>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</si>
  <si>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</si>
  <si>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</si>
  <si>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</si>
  <si>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</si>
  <si>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</si>
  <si>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</si>
  <si>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</si>
  <si>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</si>
  <si>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</si>
  <si>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</si>
  <si>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</si>
  <si>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</si>
  <si>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</si>
  <si>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</si>
  <si>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</si>
  <si>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</si>
  <si>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</si>
  <si>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</si>
  <si>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</si>
  <si>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</si>
  <si>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</si>
  <si>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</si>
  <si>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</si>
  <si>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</si>
  <si>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</si>
  <si>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</si>
  <si>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</si>
  <si>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</si>
  <si>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</si>
  <si>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</si>
  <si>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</si>
  <si>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</si>
  <si>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</si>
  <si>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</si>
  <si>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</si>
  <si>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</si>
  <si>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</si>
  <si>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</si>
  <si>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</si>
  <si>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</si>
  <si>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</si>
  <si>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</si>
  <si>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</si>
  <si>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</si>
  <si>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</si>
  <si>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</si>
  <si>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</si>
  <si>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</si>
  <si>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</si>
  <si>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</si>
  <si>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Medicament 14</t>
  </si>
  <si>
    <t>Voeding via gastrostoma</t>
  </si>
  <si>
    <t>Silastic: NaCl 0.9%: 2 ml/uur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</si>
  <si>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</si>
  <si>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</si>
  <si>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</si>
  <si>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</si>
  <si>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</si>
  <si>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</si>
  <si>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</si>
  <si>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</si>
  <si>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</si>
  <si>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</si>
  <si>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</si>
  <si>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</si>
  <si>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</si>
  <si>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</si>
  <si>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</si>
  <si>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</si>
  <si>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</si>
  <si>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</si>
  <si>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</si>
  <si>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</si>
  <si>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</si>
  <si>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</si>
  <si>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</si>
  <si>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</si>
  <si>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</si>
  <si>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</si>
  <si>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</si>
  <si>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</si>
  <si>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</si>
  <si>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</si>
  <si>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</si>
  <si>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</si>
  <si>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</si>
  <si>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</si>
  <si>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</si>
  <si>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</si>
  <si>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</si>
  <si>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</si>
  <si>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</si>
  <si>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</si>
  <si>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</si>
  <si>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</si>
  <si>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</si>
  <si>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</si>
  <si>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</si>
  <si>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</si>
  <si>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</si>
  <si>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</si>
  <si>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</si>
  <si>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</si>
  <si>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</si>
  <si>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</si>
  <si>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</si>
  <si>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</si>
  <si>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</si>
  <si>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</si>
  <si>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</si>
  <si>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</si>
  <si>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</si>
  <si>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</si>
  <si>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</si>
  <si>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</si>
  <si>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</si>
  <si>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</si>
  <si>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</si>
  <si>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</si>
  <si>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</si>
  <si>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</si>
  <si>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</si>
  <si>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</si>
  <si>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</si>
  <si>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</si>
  <si>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</si>
  <si>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</si>
  <si>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</si>
  <si>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</si>
  <si>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</si>
  <si>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</si>
  <si>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</si>
  <si>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</si>
  <si>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</si>
  <si>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</si>
  <si>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</si>
  <si>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</si>
  <si>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</si>
  <si>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</si>
  <si>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</si>
  <si>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</si>
  <si>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</si>
  <si>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</si>
  <si>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</si>
  <si>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</si>
  <si>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</si>
  <si>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</si>
  <si>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</si>
  <si>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</si>
  <si>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</si>
  <si>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</si>
  <si>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</si>
  <si>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</si>
  <si>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</si>
  <si>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</si>
  <si>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</si>
  <si>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</si>
  <si>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</si>
  <si>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</si>
  <si>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</si>
  <si>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</si>
  <si>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</si>
  <si>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</si>
  <si>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</si>
  <si>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</si>
  <si>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</si>
  <si>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</si>
  <si>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</si>
  <si>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</si>
  <si>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</si>
  <si>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</si>
  <si>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</si>
  <si>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</si>
  <si>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</si>
  <si>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</si>
  <si>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</si>
  <si>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</si>
  <si>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</si>
  <si>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</si>
  <si>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</si>
  <si>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</si>
  <si>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</si>
  <si>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</si>
  <si>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</si>
  <si>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</si>
  <si>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</si>
  <si>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</si>
  <si>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</si>
  <si>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</si>
  <si>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</si>
  <si>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</si>
  <si>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</si>
  <si>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</si>
  <si>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</si>
  <si>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</si>
  <si>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</si>
  <si>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</si>
  <si>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</si>
  <si>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</si>
  <si>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</si>
  <si>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</si>
  <si>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</si>
  <si>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</si>
  <si>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</si>
  <si>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</si>
  <si>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</si>
  <si>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</si>
  <si>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</si>
  <si>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</si>
  <si>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</si>
  <si>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</si>
  <si>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</si>
  <si>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</si>
  <si>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</si>
  <si>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</si>
  <si>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</si>
  <si>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</si>
  <si>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</si>
  <si>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</si>
  <si>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</si>
  <si>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</si>
  <si>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</si>
  <si>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</si>
  <si>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</si>
  <si>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</si>
  <si>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</si>
  <si>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</si>
  <si>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</si>
  <si>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</si>
  <si>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</si>
  <si>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</si>
  <si>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</si>
  <si>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</si>
  <si>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</si>
  <si>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</si>
  <si>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</si>
  <si>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</si>
  <si>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</si>
  <si>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</si>
  <si>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</si>
  <si>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</si>
  <si>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</si>
  <si>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</si>
  <si>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</si>
  <si>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</si>
  <si>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</si>
  <si>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</si>
  <si>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</si>
  <si>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</si>
  <si>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</si>
  <si>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</si>
  <si>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</si>
  <si>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</si>
  <si>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</si>
  <si>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</si>
  <si>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</si>
  <si>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</si>
  <si>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</si>
  <si>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</si>
  <si>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</si>
  <si>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</si>
  <si>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</si>
  <si>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</si>
  <si>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</si>
  <si>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</si>
  <si>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</si>
  <si>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</si>
  <si>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</si>
  <si>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</si>
  <si>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</si>
  <si>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</si>
  <si>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</si>
  <si>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</si>
  <si>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</si>
  <si>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</si>
  <si>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</si>
  <si>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</si>
  <si>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</si>
  <si>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</si>
  <si>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</si>
  <si>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</si>
  <si>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</si>
  <si>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</si>
  <si>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</si>
  <si>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</si>
  <si>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</si>
  <si>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</si>
  <si>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</si>
  <si>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</si>
  <si>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</si>
  <si>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</si>
  <si>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</si>
  <si>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</si>
  <si>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</si>
  <si>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</si>
  <si>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</si>
  <si>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</si>
  <si>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</si>
  <si>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</si>
  <si>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</si>
  <si>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</si>
  <si>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</si>
  <si>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</si>
  <si>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</si>
  <si>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</si>
  <si>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</si>
  <si>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</si>
  <si>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</si>
  <si>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</si>
  <si>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</si>
  <si>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</si>
  <si>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</si>
  <si>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</si>
  <si>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</si>
  <si>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</si>
  <si>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</si>
  <si>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</si>
  <si>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</si>
  <si>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</si>
  <si>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</si>
  <si>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</si>
  <si>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</si>
  <si>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</si>
  <si>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</si>
  <si>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</si>
  <si>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</si>
  <si>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</si>
  <si>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</si>
  <si>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</si>
  <si>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</si>
  <si>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</si>
  <si>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</si>
  <si>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</si>
  <si>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</si>
  <si>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</si>
  <si>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</si>
  <si>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</si>
  <si>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</si>
  <si>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</si>
  <si>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</si>
  <si>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</si>
  <si>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</si>
  <si>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</si>
  <si>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</si>
  <si>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</si>
  <si>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</si>
  <si>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</si>
  <si>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</si>
  <si>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</si>
  <si>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</si>
  <si>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</si>
  <si>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</si>
  <si>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</si>
  <si>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</si>
  <si>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</si>
  <si>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</si>
  <si>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</si>
  <si>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</si>
  <si>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</si>
  <si>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</si>
  <si>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</si>
  <si>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</si>
  <si>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</si>
  <si>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</si>
  <si>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</si>
  <si>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</si>
  <si>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</si>
  <si>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</si>
  <si>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</si>
  <si>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</si>
  <si>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</si>
  <si>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</si>
  <si>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</si>
  <si>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</si>
  <si>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</si>
  <si>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</si>
  <si>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</si>
  <si>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</si>
  <si>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</si>
  <si>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</si>
  <si>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</si>
  <si>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</si>
  <si>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</si>
  <si>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</si>
  <si>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</si>
  <si>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</si>
  <si>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</si>
  <si>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</si>
  <si>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</si>
  <si>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</si>
  <si>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</si>
  <si>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</si>
  <si>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</si>
  <si>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</si>
  <si>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</si>
  <si>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</si>
  <si>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</si>
  <si>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</si>
  <si>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</si>
  <si>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</si>
  <si>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</si>
  <si>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</si>
  <si>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</si>
  <si>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</si>
  <si>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</si>
  <si>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</si>
  <si>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</si>
  <si>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</si>
  <si>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</si>
  <si>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</si>
  <si>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</si>
  <si>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</si>
  <si>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</si>
  <si>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</si>
  <si>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</si>
  <si>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</si>
  <si>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</si>
  <si>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</si>
  <si>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</si>
  <si>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</si>
  <si>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</si>
  <si>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</si>
  <si>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</si>
  <si>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</si>
  <si>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</si>
  <si>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</si>
  <si>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</si>
  <si>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</si>
  <si>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</si>
  <si>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</si>
  <si>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</si>
  <si>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</si>
  <si>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</si>
  <si>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</si>
  <si>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</si>
  <si>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</si>
  <si>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</si>
  <si>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</si>
  <si>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</si>
  <si>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</si>
  <si>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</si>
  <si>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</si>
  <si>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</si>
  <si>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</si>
  <si>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</si>
  <si>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</si>
  <si>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</si>
  <si>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</si>
  <si>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</si>
  <si>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</si>
  <si>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</si>
  <si>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</si>
  <si>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</si>
  <si>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</si>
  <si>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</si>
  <si>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</si>
  <si>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</si>
  <si>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</si>
  <si>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</si>
  <si>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</si>
  <si>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</si>
  <si>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</si>
  <si>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</si>
  <si>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</si>
  <si>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</si>
  <si>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</si>
  <si>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</si>
  <si>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</si>
  <si>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</si>
  <si>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</si>
  <si>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</si>
  <si>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</si>
  <si>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</si>
  <si>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</si>
  <si>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</si>
  <si>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</si>
  <si>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</si>
  <si>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</si>
  <si>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</si>
  <si>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</si>
  <si>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</si>
  <si>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</si>
  <si>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</si>
  <si>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</si>
  <si>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</si>
  <si>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</si>
  <si>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</si>
  <si>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</si>
  <si>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</si>
  <si>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</si>
  <si>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</si>
  <si>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</si>
  <si>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</si>
  <si>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</si>
  <si>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</si>
  <si>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</si>
  <si>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</si>
  <si>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</si>
  <si>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</si>
  <si>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</si>
  <si>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</si>
  <si>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</si>
  <si>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</si>
  <si>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</si>
  <si>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</si>
  <si>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</si>
  <si>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</si>
  <si>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</si>
  <si>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</si>
  <si>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</si>
  <si>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</si>
  <si>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</si>
  <si>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</si>
  <si>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</si>
  <si>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</si>
  <si>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</si>
  <si>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</si>
  <si>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</si>
  <si>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</si>
  <si>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</si>
  <si>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</si>
  <si>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</si>
  <si>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</si>
  <si>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</si>
  <si>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</si>
  <si>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</si>
  <si>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</si>
  <si>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</si>
  <si>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</si>
  <si>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</si>
  <si>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</si>
  <si>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</si>
  <si>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</si>
  <si>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</si>
  <si>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</si>
  <si>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</si>
  <si>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</si>
  <si>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</si>
  <si>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</si>
  <si>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</si>
  <si>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</si>
  <si>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</si>
  <si>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</si>
  <si>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</si>
  <si>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</si>
  <si>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</si>
  <si>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</si>
  <si>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</si>
  <si>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</si>
  <si>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</si>
  <si>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</si>
  <si>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</si>
  <si>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</si>
  <si>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</si>
  <si>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</si>
  <si>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</si>
  <si>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</si>
  <si>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</si>
  <si>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</si>
  <si>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</si>
  <si>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</si>
  <si>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</si>
  <si>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</si>
  <si>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</si>
  <si>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</si>
  <si>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</si>
  <si>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</si>
  <si>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</si>
  <si>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</si>
  <si>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</si>
  <si>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</si>
  <si>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</si>
  <si>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</si>
  <si>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</si>
  <si>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</si>
  <si>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</si>
  <si>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</si>
  <si>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</si>
  <si>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</si>
  <si>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</si>
  <si>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</si>
  <si>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</si>
  <si>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</si>
  <si>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</si>
  <si>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</si>
  <si>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</si>
  <si>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</si>
  <si>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</si>
  <si>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</si>
  <si>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</si>
  <si>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</si>
  <si>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</si>
  <si>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</si>
  <si>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</si>
  <si>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</si>
  <si>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</si>
  <si>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</si>
  <si>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</si>
  <si>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</si>
  <si>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</si>
  <si>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</si>
  <si>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</si>
  <si>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</si>
  <si>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</si>
  <si>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</si>
  <si>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</si>
  <si>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</si>
  <si>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</si>
  <si>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</si>
  <si>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</si>
  <si>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</si>
  <si>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</si>
  <si>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</si>
  <si>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</si>
  <si>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</si>
  <si>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</si>
  <si>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</si>
  <si>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</si>
  <si>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</si>
  <si>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</si>
  <si>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</si>
  <si>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</si>
  <si>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</si>
  <si>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</si>
  <si>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</si>
  <si>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</si>
  <si>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</si>
  <si>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</si>
  <si>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</si>
  <si>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</si>
  <si>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</si>
  <si>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</si>
  <si>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</si>
  <si>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</si>
  <si>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</si>
  <si>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</si>
  <si>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</si>
  <si>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</si>
  <si>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</si>
  <si>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</si>
  <si>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</si>
  <si>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</si>
  <si>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</si>
  <si>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</si>
  <si>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</si>
  <si>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</si>
  <si>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</si>
  <si>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</si>
  <si>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</si>
  <si>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</si>
  <si>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</si>
  <si>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</si>
  <si>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</si>
  <si>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</si>
  <si>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</si>
  <si>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</si>
  <si>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</si>
  <si>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</si>
  <si>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</si>
  <si>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</si>
  <si>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</si>
  <si>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</si>
  <si>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</si>
  <si>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</si>
  <si>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</si>
  <si>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</si>
  <si>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</si>
  <si>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</si>
  <si>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</si>
  <si>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</si>
  <si>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</si>
  <si>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</si>
  <si>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</si>
  <si>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</si>
  <si>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</si>
  <si>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</si>
  <si>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</si>
  <si>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</si>
  <si>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</si>
  <si>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</si>
  <si>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</si>
  <si>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</si>
  <si>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</si>
  <si>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</si>
  <si>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</si>
  <si>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</si>
  <si>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</si>
  <si>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</si>
  <si>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</si>
  <si>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</si>
  <si>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</si>
  <si>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</si>
  <si>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</si>
  <si>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</si>
  <si>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</si>
  <si>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</si>
  <si>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</si>
  <si>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</si>
  <si>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</si>
  <si>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</si>
  <si>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</si>
  <si>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</si>
  <si>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</si>
  <si>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</si>
  <si>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</si>
  <si>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</si>
  <si>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</si>
  <si>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</si>
  <si>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</si>
  <si>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</si>
  <si>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</si>
  <si>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</si>
  <si>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</si>
  <si>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</si>
  <si>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</si>
  <si>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</si>
  <si>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</si>
  <si>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</si>
  <si>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</si>
  <si>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</si>
  <si>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</si>
  <si>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</si>
  <si>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</si>
  <si>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</si>
  <si>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</si>
  <si>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</si>
  <si>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</si>
  <si>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</si>
  <si>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</si>
  <si>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</si>
  <si>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</si>
  <si>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</si>
  <si>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</si>
  <si>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</si>
  <si>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</si>
  <si>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</si>
  <si>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</si>
  <si>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</si>
  <si>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</si>
  <si>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</si>
  <si>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</si>
  <si>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</si>
  <si>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</si>
  <si>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</si>
  <si>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</si>
  <si>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</si>
  <si>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</si>
  <si>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</si>
  <si>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</si>
  <si>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</si>
  <si>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</si>
  <si>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</si>
  <si>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</si>
  <si>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</si>
  <si>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</si>
  <si>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</si>
  <si>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</si>
  <si>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</si>
  <si>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</si>
  <si>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</si>
  <si>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</si>
  <si>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</si>
  <si>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</si>
  <si>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</si>
  <si>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</si>
  <si>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</si>
  <si>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</si>
  <si>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</si>
  <si>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</si>
  <si>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</si>
  <si>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</si>
  <si>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</si>
  <si>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</si>
  <si>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</si>
  <si>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</si>
  <si>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</si>
  <si>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</si>
  <si>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</si>
  <si>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</si>
  <si>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</si>
  <si>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</si>
  <si>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</si>
  <si>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</si>
  <si>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</si>
  <si>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</si>
  <si>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</si>
  <si>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</si>
  <si>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</si>
  <si>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</si>
  <si>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</si>
  <si>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</si>
  <si>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</si>
  <si>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</si>
  <si>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</si>
  <si>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</si>
  <si>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</si>
  <si>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</si>
  <si>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</si>
  <si>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</si>
  <si>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</si>
  <si>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</si>
  <si>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</si>
  <si>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</si>
  <si>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</si>
  <si>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</si>
  <si>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</si>
  <si>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</si>
  <si>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</si>
  <si>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</si>
  <si>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</si>
  <si>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</si>
  <si>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</si>
  <si>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</si>
  <si>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</si>
  <si>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</si>
  <si>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</si>
  <si>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</si>
  <si>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</si>
  <si>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</si>
  <si>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</si>
  <si>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</si>
  <si>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</si>
  <si>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</si>
  <si>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</si>
  <si>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</si>
  <si>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</si>
  <si>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</si>
  <si>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</si>
  <si>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</si>
  <si>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</si>
  <si>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</si>
  <si>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</si>
  <si>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</si>
  <si>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</si>
  <si>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</si>
  <si>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</si>
  <si>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</si>
  <si>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</si>
  <si>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</si>
  <si>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</si>
  <si>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</si>
  <si>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</si>
  <si>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</si>
  <si>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</si>
  <si>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</si>
  <si>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</si>
  <si>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</si>
  <si>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</si>
  <si>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</si>
  <si>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</si>
  <si>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</si>
  <si>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</si>
  <si>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</si>
  <si>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</si>
  <si>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</si>
  <si>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</si>
  <si>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</si>
  <si>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</si>
  <si>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</si>
  <si>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</si>
  <si>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</si>
  <si>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</si>
  <si>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</si>
  <si>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</si>
  <si>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</si>
  <si>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</si>
  <si>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</si>
  <si>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</si>
  <si>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</si>
  <si>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</si>
  <si>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</si>
  <si>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</si>
  <si>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</si>
  <si>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</si>
  <si>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</si>
  <si>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</si>
  <si>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</si>
  <si>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</si>
  <si>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</si>
  <si>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</si>
  <si>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</si>
  <si>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</si>
  <si>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</si>
  <si>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</si>
  <si>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</si>
  <si>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</si>
  <si>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</si>
  <si>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</si>
  <si>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</si>
  <si>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</si>
  <si>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</si>
  <si>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</si>
  <si>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</si>
  <si>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</si>
  <si>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</si>
  <si>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</si>
  <si>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</si>
  <si>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</si>
  <si>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</si>
  <si>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</si>
  <si>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</si>
  <si>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</si>
  <si>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</si>
  <si>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</si>
  <si>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</si>
  <si>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</si>
  <si>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</si>
  <si>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</si>
  <si>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</si>
  <si>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</si>
  <si>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</si>
  <si>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</si>
  <si>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</si>
  <si>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</si>
  <si>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</si>
  <si>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</si>
  <si>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</si>
  <si>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</si>
  <si>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</si>
  <si>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</si>
  <si>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</si>
  <si>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</si>
  <si>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</si>
  <si>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</si>
  <si>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</si>
  <si>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</si>
  <si>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</si>
  <si>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</si>
  <si>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</si>
  <si>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</si>
  <si>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</si>
  <si>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</si>
  <si>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</si>
  <si>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</si>
  <si>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</si>
  <si>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</si>
  <si>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</si>
  <si>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</si>
  <si>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</si>
  <si>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</si>
  <si>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</si>
  <si>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</si>
  <si>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</si>
  <si>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</si>
  <si>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</si>
  <si>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</si>
  <si>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</si>
  <si>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</si>
  <si>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</si>
  <si>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</si>
  <si>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</si>
  <si>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</si>
  <si>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</si>
  <si>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</si>
  <si>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</si>
  <si>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</si>
  <si>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</si>
  <si>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</si>
  <si>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</si>
  <si>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</si>
  <si>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</si>
  <si>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</si>
  <si>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</si>
  <si>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</si>
  <si>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</si>
  <si>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</si>
  <si>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</si>
  <si>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</si>
  <si>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</si>
  <si>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</si>
  <si>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</si>
  <si>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</si>
  <si>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</si>
  <si>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</si>
  <si>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</si>
  <si>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</si>
  <si>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</si>
  <si>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</si>
  <si>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</si>
  <si>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</si>
  <si>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</si>
  <si>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</si>
  <si>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</si>
  <si>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</si>
  <si>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</si>
  <si>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</si>
  <si>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</si>
  <si>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</si>
  <si>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</si>
  <si>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</si>
  <si>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</si>
  <si>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</si>
  <si>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</si>
  <si>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</si>
  <si>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</si>
  <si>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</si>
  <si>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</si>
  <si>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</si>
  <si>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</si>
  <si>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</si>
  <si>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</si>
  <si>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</si>
  <si>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</si>
  <si>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</si>
  <si>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</si>
  <si>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</si>
  <si>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</si>
  <si>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</si>
  <si>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</si>
  <si>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</si>
  <si>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</si>
  <si>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</si>
  <si>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</si>
  <si>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</si>
  <si>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</si>
  <si>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</si>
  <si>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</si>
  <si>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</si>
  <si>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</si>
  <si>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</si>
  <si>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</si>
  <si>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</si>
  <si>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</si>
  <si>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</si>
  <si>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</si>
  <si>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</si>
  <si>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</si>
  <si>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</si>
  <si>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</si>
  <si>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</si>
  <si>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</si>
  <si>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</si>
  <si>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</si>
  <si>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</si>
  <si>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</si>
  <si>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</si>
  <si>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</si>
  <si>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</si>
  <si>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</si>
  <si>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</si>
  <si>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</si>
  <si>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</si>
  <si>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</si>
  <si>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</si>
  <si>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</si>
  <si>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</si>
  <si>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</si>
  <si>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</si>
  <si>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</si>
  <si>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</si>
  <si>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</si>
  <si>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</si>
  <si>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</si>
  <si>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</si>
  <si>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</si>
  <si>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</si>
  <si>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</si>
  <si>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</si>
  <si>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</si>
  <si>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</si>
  <si>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</si>
  <si>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</si>
  <si>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</si>
  <si>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</si>
  <si>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</si>
  <si>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</si>
  <si>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</si>
  <si>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</si>
  <si>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</si>
  <si>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</si>
  <si>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</si>
  <si>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</si>
  <si>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</si>
  <si>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</si>
  <si>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</si>
  <si>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</si>
  <si>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</si>
  <si>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</si>
  <si>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</si>
  <si>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</si>
  <si>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</si>
  <si>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</si>
  <si>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</si>
  <si>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</si>
  <si>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</si>
  <si>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</si>
  <si>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</si>
  <si>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</si>
  <si>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</si>
  <si>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</si>
  <si>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</si>
  <si>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</si>
  <si>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</si>
  <si>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</si>
  <si>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</si>
  <si>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</si>
  <si>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</si>
  <si>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</si>
  <si>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</si>
  <si>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</si>
  <si>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</si>
  <si>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</si>
  <si>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</si>
  <si>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</si>
  <si>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</si>
  <si>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</si>
  <si>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</si>
  <si>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</si>
  <si>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</si>
  <si>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</si>
  <si>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</si>
  <si>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</si>
  <si>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</si>
  <si>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</si>
  <si>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</si>
  <si>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</si>
  <si>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</si>
  <si>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</si>
  <si>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</si>
  <si>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</si>
  <si>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</si>
  <si>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</si>
  <si>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</si>
  <si>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</si>
  <si>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</si>
  <si>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</si>
  <si>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</si>
  <si>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</si>
  <si>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</si>
  <si>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</si>
  <si>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</si>
  <si>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</si>
  <si>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</si>
  <si>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</si>
  <si>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</si>
  <si>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</si>
  <si>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</si>
  <si>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</si>
  <si>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</si>
  <si>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</si>
  <si>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</si>
  <si>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</si>
  <si>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</si>
  <si>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</si>
  <si>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</si>
  <si>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</si>
  <si>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</si>
  <si>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</si>
  <si>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</si>
  <si>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</si>
  <si>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</si>
  <si>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</si>
  <si>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</si>
  <si>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</si>
  <si>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</si>
  <si>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</si>
  <si>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</si>
  <si>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</si>
  <si>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</si>
  <si>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</si>
  <si>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</si>
  <si>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</si>
  <si>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</si>
  <si>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</si>
  <si>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</si>
  <si>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</si>
  <si>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</si>
  <si>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</si>
  <si>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</si>
  <si>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</si>
  <si>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</si>
  <si>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</si>
  <si>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</si>
  <si>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</si>
  <si>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</si>
  <si>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</si>
  <si>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</si>
  <si>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</si>
  <si>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</si>
  <si>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</si>
  <si>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</si>
  <si>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</si>
  <si>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</si>
  <si>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</si>
  <si>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</si>
  <si>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</si>
  <si>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</si>
  <si>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</si>
  <si>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</si>
  <si>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</si>
  <si>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</si>
  <si>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</si>
  <si>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</si>
  <si>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</si>
  <si>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</si>
  <si>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</si>
  <si>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</si>
  <si>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</si>
  <si>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</si>
  <si>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</si>
  <si>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</si>
  <si>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</si>
  <si>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</si>
  <si>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</si>
  <si>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</si>
  <si>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</si>
  <si>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</si>
  <si>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</si>
  <si>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</si>
  <si>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</si>
  <si>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</si>
  <si>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</si>
  <si>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</si>
  <si>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</si>
  <si>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</si>
  <si>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</si>
  <si>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</si>
  <si>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</si>
  <si>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</si>
  <si>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</si>
  <si>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</si>
  <si>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</si>
  <si>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</si>
  <si>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</si>
  <si>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</si>
  <si>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</si>
  <si>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</si>
  <si>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</si>
  <si>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</si>
  <si>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</si>
  <si>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</si>
  <si>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</si>
  <si>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</si>
  <si>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</si>
  <si>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</si>
  <si>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</si>
  <si>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</si>
  <si>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</si>
  <si>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</si>
  <si>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</si>
  <si>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</si>
  <si>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</si>
  <si>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</si>
  <si>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</si>
  <si>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</si>
  <si>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</si>
  <si>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</si>
  <si>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</si>
  <si>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</si>
  <si>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</si>
  <si>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</si>
  <si>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</si>
  <si>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</si>
  <si>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</si>
  <si>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</si>
  <si>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</si>
  <si>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</si>
  <si>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</si>
  <si>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</si>
  <si>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</si>
  <si>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</si>
  <si>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</si>
  <si>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</si>
  <si>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</si>
  <si>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</si>
  <si>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</si>
  <si>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</si>
  <si>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</si>
  <si>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</si>
  <si>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</si>
  <si>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</si>
  <si>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</si>
  <si>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</si>
  <si>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</si>
  <si>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</si>
  <si>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</si>
  <si>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</si>
  <si>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</si>
  <si>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</si>
  <si>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</si>
  <si>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</si>
  <si>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</si>
  <si>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</si>
  <si>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</si>
  <si>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</si>
  <si>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</si>
  <si>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</si>
  <si>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</si>
  <si>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</si>
  <si>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</si>
  <si>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</si>
  <si>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</si>
  <si>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</si>
  <si>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</si>
  <si>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</si>
  <si>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</si>
  <si>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</si>
  <si>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</si>
  <si>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</si>
  <si>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</si>
  <si>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</si>
  <si>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</si>
  <si>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</si>
  <si>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</si>
  <si>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</si>
  <si>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</si>
  <si>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</si>
  <si>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</si>
  <si>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</si>
  <si>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</si>
  <si>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</si>
  <si>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</si>
  <si>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</si>
  <si>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</si>
  <si>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</si>
  <si>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</si>
  <si>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</si>
  <si>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</si>
  <si>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</si>
  <si>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</si>
  <si>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</si>
  <si>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</si>
  <si>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</si>
  <si>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</si>
  <si>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</si>
  <si>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</si>
  <si>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</si>
  <si>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</si>
  <si>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</si>
  <si>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</si>
  <si>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</si>
  <si>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</si>
  <si>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</si>
  <si>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</si>
  <si>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</si>
  <si>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</si>
  <si>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</si>
  <si>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</si>
  <si>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</si>
  <si>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</si>
  <si>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</si>
  <si>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</si>
  <si>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</si>
  <si>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</si>
  <si>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</si>
  <si>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</si>
  <si>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</si>
  <si>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</si>
  <si>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</si>
  <si>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</si>
  <si>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</si>
  <si>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</si>
  <si>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</si>
  <si>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</si>
  <si>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</si>
  <si>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</si>
  <si>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</si>
  <si>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</si>
  <si>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</si>
  <si>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</si>
  <si>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</si>
  <si>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</si>
  <si>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</si>
  <si>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</si>
  <si>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</si>
  <si>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</si>
  <si>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</si>
  <si>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</si>
  <si>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</si>
  <si>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</si>
  <si>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</si>
  <si>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</si>
  <si>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</si>
  <si>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</si>
  <si>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</si>
  <si>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</si>
  <si>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</si>
  <si>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</si>
  <si>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</si>
  <si>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</si>
  <si>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</si>
  <si>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</si>
  <si>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</si>
  <si>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</si>
  <si>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</si>
  <si>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</si>
  <si>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</si>
  <si>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</si>
  <si>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</si>
  <si>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</si>
  <si>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</si>
  <si>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</si>
  <si>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</si>
  <si>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</si>
  <si>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</si>
  <si>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</si>
  <si>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</si>
  <si>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</si>
  <si>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</si>
  <si>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</si>
  <si>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</si>
  <si>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</si>
  <si>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</si>
  <si>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</si>
  <si>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</si>
  <si>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</si>
  <si>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</si>
  <si>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</si>
  <si>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</si>
  <si>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</si>
  <si>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</si>
  <si>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</si>
  <si>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</si>
  <si>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</si>
  <si>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</si>
  <si>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</si>
  <si>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</si>
  <si>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</si>
  <si>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</si>
  <si>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</si>
  <si>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</si>
  <si>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</si>
  <si>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</si>
  <si>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</si>
  <si>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</si>
  <si>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</si>
  <si>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</si>
  <si>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</si>
  <si>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</si>
  <si>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</si>
  <si>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</si>
  <si>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</si>
  <si>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</si>
  <si>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</si>
  <si>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</si>
  <si>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</si>
  <si>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</si>
  <si>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</si>
  <si>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</si>
  <si>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</si>
  <si>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</si>
  <si>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</si>
  <si>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</si>
  <si>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</si>
  <si>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</si>
  <si>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</si>
  <si>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</si>
  <si>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</si>
  <si>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</si>
  <si>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</si>
  <si>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</si>
  <si>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</si>
  <si>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</si>
  <si>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</si>
  <si>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</si>
  <si>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</si>
  <si>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</si>
  <si>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</si>
  <si>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</si>
  <si>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</si>
  <si>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</si>
  <si>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</si>
  <si>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</si>
  <si>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</si>
  <si>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</si>
  <si>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</si>
  <si>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</si>
  <si>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</si>
  <si>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</si>
  <si>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</si>
  <si>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</si>
  <si>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</si>
  <si>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</si>
  <si>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</si>
  <si>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</si>
  <si>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</si>
  <si>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</si>
  <si>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</si>
  <si>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</si>
  <si>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</si>
  <si>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</si>
  <si>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</si>
  <si>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</si>
  <si>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</si>
  <si>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</si>
  <si>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</si>
  <si>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</si>
  <si>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</si>
  <si>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</si>
  <si>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</si>
  <si>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</si>
  <si>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</si>
  <si>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</si>
  <si>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</si>
  <si>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</si>
  <si>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</si>
  <si>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</si>
  <si>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</si>
  <si>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</si>
  <si>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</si>
  <si>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</si>
  <si>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</si>
  <si>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</si>
  <si>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</si>
  <si>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</si>
  <si>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</si>
  <si>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</si>
  <si>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</si>
  <si>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</si>
  <si>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</si>
  <si>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</si>
  <si>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</si>
  <si>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</si>
  <si>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</si>
  <si>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</si>
  <si>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</si>
  <si>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</si>
  <si>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</si>
  <si>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</si>
  <si>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</si>
  <si>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</si>
  <si>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</si>
  <si>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</si>
  <si>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</si>
  <si>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</si>
  <si>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</si>
  <si>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</si>
  <si>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</si>
  <si>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</si>
  <si>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</si>
  <si>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</si>
  <si>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</si>
  <si>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</si>
  <si>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</si>
  <si>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</si>
  <si>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</si>
  <si>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</si>
  <si>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</si>
  <si>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</si>
  <si>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</si>
  <si>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</si>
  <si>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</si>
  <si>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</si>
  <si>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</si>
  <si>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</si>
  <si>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</si>
  <si>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</si>
  <si>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</si>
  <si>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</si>
  <si>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</si>
  <si>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</si>
  <si>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</si>
  <si>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</si>
  <si>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</si>
  <si>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</si>
  <si>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</si>
  <si>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</si>
  <si>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</si>
  <si>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</si>
  <si>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</si>
  <si>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</si>
  <si>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</si>
  <si>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</si>
  <si>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</si>
  <si>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</si>
  <si>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</si>
  <si>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</si>
  <si>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</si>
  <si>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</si>
  <si>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</si>
  <si>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</si>
  <si>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</si>
  <si>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</si>
  <si>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</si>
  <si>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</si>
  <si>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</si>
  <si>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</si>
  <si>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</si>
  <si>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</si>
  <si>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</si>
  <si>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</si>
  <si>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</si>
  <si>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</si>
  <si>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</si>
  <si>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</si>
  <si>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</si>
  <si>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</si>
  <si>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</si>
  <si>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</si>
  <si>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</si>
  <si>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</si>
  <si>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</si>
  <si>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</si>
  <si>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</si>
  <si>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</si>
  <si>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</si>
  <si>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</si>
  <si>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</si>
  <si>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</si>
  <si>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</si>
  <si>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</si>
  <si>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</si>
  <si>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</si>
  <si>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</si>
  <si>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</si>
  <si>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</si>
  <si>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</si>
  <si>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</si>
  <si>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</si>
  <si>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</si>
  <si>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</si>
  <si>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</si>
  <si>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</si>
  <si>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</si>
  <si>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</si>
  <si>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</si>
  <si>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</si>
  <si>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</si>
  <si>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</si>
  <si>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</si>
  <si>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</si>
  <si>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</si>
  <si>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</si>
  <si>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</si>
  <si>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</si>
  <si>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</si>
  <si>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</si>
  <si>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</si>
  <si>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</si>
  <si>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</si>
  <si>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</si>
  <si>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</si>
  <si>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</si>
  <si>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</si>
  <si>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</si>
  <si>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</si>
  <si>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</si>
  <si>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</si>
  <si>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</si>
  <si>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</si>
  <si>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</si>
  <si>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</si>
  <si>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</si>
  <si>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</si>
  <si>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</si>
  <si>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</si>
  <si>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</si>
  <si>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</si>
  <si>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</si>
  <si>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</si>
  <si>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</si>
  <si>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</si>
  <si>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</si>
  <si>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</si>
  <si>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</si>
  <si>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</si>
  <si>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</si>
  <si>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</si>
  <si>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</si>
  <si>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</si>
  <si>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</si>
  <si>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</si>
  <si>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</si>
  <si>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</si>
  <si>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</si>
  <si>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</si>
  <si>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</si>
  <si>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</si>
  <si>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</si>
  <si>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</si>
  <si>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</si>
  <si>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</si>
  <si>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</si>
  <si>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</si>
  <si>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</si>
  <si>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</si>
  <si>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</si>
  <si>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</si>
  <si>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</si>
  <si>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</si>
  <si>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</si>
  <si>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</si>
  <si>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</si>
  <si>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</si>
  <si>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</si>
  <si>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</si>
  <si>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</si>
  <si>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</si>
  <si>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</si>
  <si>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</si>
  <si>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</si>
  <si>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</si>
  <si>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</si>
  <si>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</si>
  <si>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</si>
  <si>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</si>
  <si>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</si>
  <si>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</si>
  <si>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</si>
  <si>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</si>
  <si>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</si>
  <si>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</si>
  <si>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</si>
  <si>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</si>
  <si>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</si>
  <si>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</si>
  <si>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</si>
  <si>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</si>
  <si>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</si>
  <si>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</si>
  <si>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</si>
  <si>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</si>
  <si>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</si>
  <si>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</si>
  <si>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</si>
  <si>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</si>
  <si>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</si>
  <si>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</si>
  <si>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</si>
  <si>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</si>
  <si>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</si>
  <si>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</si>
  <si>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</si>
  <si>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</si>
  <si>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</si>
  <si>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</si>
  <si>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</si>
  <si>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</si>
  <si>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</si>
  <si>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</si>
  <si>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</si>
  <si>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</si>
  <si>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</si>
  <si>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</si>
  <si>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</si>
  <si>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</si>
  <si>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</si>
  <si>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</si>
  <si>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</si>
  <si>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</si>
  <si>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</si>
  <si>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</si>
  <si>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</si>
  <si>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</si>
  <si>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</si>
  <si>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</si>
  <si>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</si>
  <si>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</si>
  <si>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</si>
  <si>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</si>
  <si>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</si>
  <si>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</si>
  <si>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</si>
  <si>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</si>
  <si>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</si>
  <si>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</si>
  <si>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</si>
  <si>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</si>
  <si>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</si>
  <si>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</si>
  <si>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</si>
  <si>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</si>
  <si>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</si>
  <si>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</si>
  <si>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</si>
  <si>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</si>
  <si>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</si>
  <si>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</si>
  <si>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</si>
  <si>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</si>
  <si>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</si>
  <si>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</si>
  <si>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</si>
  <si>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</si>
  <si>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</si>
  <si>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</si>
  <si>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</si>
  <si>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</si>
  <si>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</si>
  <si>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</si>
  <si>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</si>
  <si>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</si>
  <si>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</si>
  <si>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</si>
  <si>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</si>
  <si>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</si>
  <si>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</si>
  <si>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</si>
  <si>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</si>
  <si>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</si>
  <si>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</si>
  <si>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</si>
  <si>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</si>
  <si>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</si>
  <si>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</si>
  <si>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</si>
  <si>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</si>
  <si>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</si>
  <si>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</si>
  <si>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</si>
  <si>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</si>
  <si>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</si>
  <si>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</si>
  <si>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</si>
  <si>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</si>
  <si>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</si>
  <si>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</si>
  <si>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</si>
  <si>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</si>
  <si>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</si>
  <si>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</si>
  <si>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</si>
  <si>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</si>
  <si>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</si>
  <si>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</si>
  <si>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</si>
  <si>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</si>
  <si>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</si>
  <si>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</si>
  <si>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</si>
  <si>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</si>
  <si>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</si>
  <si>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</si>
  <si>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</si>
  <si>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</si>
  <si>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</si>
  <si>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</si>
  <si>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</si>
  <si>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</si>
  <si>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</si>
  <si>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</si>
  <si>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</si>
  <si>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</si>
  <si>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</si>
  <si>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</si>
  <si>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</si>
  <si>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</si>
  <si>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</si>
  <si>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</si>
  <si>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</si>
  <si>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</si>
  <si>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</si>
  <si>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</si>
  <si>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</si>
  <si>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</si>
  <si>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</si>
  <si>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</si>
  <si>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</si>
  <si>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</si>
  <si>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</si>
  <si>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</si>
  <si>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</si>
  <si>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</si>
  <si>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</si>
  <si>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</si>
  <si>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</si>
  <si>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</si>
  <si>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</si>
  <si>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</si>
  <si>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</si>
  <si>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</si>
  <si>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</si>
  <si>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</si>
  <si>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</si>
  <si>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</si>
  <si>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</si>
  <si>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</si>
  <si>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</si>
  <si>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</si>
  <si>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</si>
  <si>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</si>
  <si>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</si>
  <si>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</si>
  <si>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</si>
  <si>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</si>
  <si>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</si>
  <si>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</si>
  <si>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</si>
  <si>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</si>
  <si>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</si>
  <si>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</si>
  <si>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</si>
  <si>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</si>
  <si>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</si>
  <si>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</si>
  <si>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</si>
  <si>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</si>
  <si>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</si>
  <si>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</si>
  <si>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</si>
  <si>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</si>
  <si>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</si>
  <si>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</si>
  <si>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</si>
  <si>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</si>
  <si>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</si>
  <si>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</si>
  <si>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</si>
  <si>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</si>
  <si>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</si>
  <si>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</si>
  <si>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</si>
  <si>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</si>
  <si>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</si>
  <si>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</si>
  <si>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</si>
  <si>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</si>
  <si>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</si>
  <si>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</si>
  <si>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</si>
  <si>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</si>
  <si>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</si>
  <si>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</si>
  <si>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</si>
  <si>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</si>
  <si>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</si>
  <si>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</si>
  <si>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</si>
  <si>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</si>
  <si>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</si>
  <si>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</si>
  <si>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</si>
  <si>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</si>
  <si>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</si>
  <si>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</si>
  <si>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</si>
  <si>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</si>
  <si>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</si>
  <si>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</si>
  <si>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</si>
  <si>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</si>
  <si>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</si>
  <si>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</si>
  <si>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</si>
  <si>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</si>
  <si>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</si>
  <si>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</si>
  <si>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</si>
  <si>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</si>
  <si>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</si>
  <si>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</si>
  <si>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</si>
  <si>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</si>
  <si>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</si>
  <si>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</si>
  <si>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</si>
  <si>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</si>
  <si>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</si>
  <si>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</si>
  <si>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</si>
  <si>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</si>
  <si>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</si>
  <si>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</si>
  <si>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</si>
  <si>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</si>
  <si>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</si>
  <si>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</si>
  <si>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</si>
  <si>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</si>
  <si>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</si>
  <si>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</si>
  <si>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</si>
  <si>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</si>
  <si>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</si>
  <si>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</si>
  <si>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</si>
  <si>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</si>
  <si>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</si>
  <si>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</si>
  <si>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</si>
  <si>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</si>
  <si>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</si>
  <si>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</si>
  <si>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</si>
  <si>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</si>
  <si>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</si>
  <si>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</si>
  <si>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</si>
  <si>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</si>
  <si>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</si>
  <si>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</si>
  <si>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</si>
  <si>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</si>
  <si>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</si>
  <si>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</si>
  <si>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</si>
  <si>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</si>
  <si>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</si>
  <si>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</si>
  <si>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</si>
  <si>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</si>
  <si>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</si>
  <si>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</si>
  <si>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</si>
  <si>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</si>
  <si>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</si>
  <si>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</si>
  <si>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</si>
  <si>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</si>
  <si>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</si>
  <si>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</si>
  <si>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</si>
  <si>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</si>
  <si>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</si>
  <si>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</si>
  <si>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</si>
  <si>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F:=IF(M6&lt;&gt;"",M6/24,"")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</si>
  <si>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</si>
  <si>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</si>
  <si>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</si>
  <si>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</si>
  <si>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</si>
  <si>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</si>
  <si>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</si>
  <si>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</si>
  <si>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</si>
  <si>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</si>
  <si>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</si>
  <si>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</si>
  <si>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</si>
  <si>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</si>
  <si>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</si>
  <si>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</si>
  <si>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</si>
  <si>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</si>
  <si>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</si>
  <si>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</si>
  <si>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</si>
  <si>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</si>
  <si>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</si>
  <si>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</si>
  <si>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</si>
  <si>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</si>
  <si>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</si>
  <si>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</si>
  <si>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</si>
  <si>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</si>
  <si>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</si>
  <si>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</si>
  <si>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</si>
  <si>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</si>
  <si>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</si>
  <si>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</si>
  <si>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</si>
  <si>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</si>
  <si>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</si>
  <si>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</si>
  <si>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</si>
  <si>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</si>
  <si>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</si>
  <si>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</si>
  <si>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</si>
  <si>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</si>
  <si>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</si>
  <si>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</si>
  <si>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</si>
  <si>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</si>
  <si>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</si>
  <si>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</si>
  <si>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</si>
  <si>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</si>
  <si>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</si>
  <si>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</si>
  <si>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</si>
  <si>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</si>
  <si>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</si>
  <si>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</si>
  <si>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</si>
  <si>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</si>
  <si>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</si>
  <si>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</si>
  <si>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</si>
  <si>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</si>
  <si>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</si>
  <si>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</si>
  <si>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</si>
  <si>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</si>
  <si>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</si>
  <si>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</si>
  <si>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</si>
  <si>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</si>
  <si>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</si>
  <si>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</si>
  <si>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</si>
  <si>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</si>
  <si>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</si>
  <si>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</si>
  <si>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</si>
  <si>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</si>
  <si>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</si>
  <si>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</si>
  <si>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</si>
  <si>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</si>
  <si>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</si>
  <si>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</si>
  <si>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</si>
  <si>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</si>
  <si>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</si>
  <si>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</si>
  <si>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</si>
  <si>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</si>
  <si>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</si>
  <si>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</si>
  <si>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</si>
  <si>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</si>
  <si>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</si>
  <si>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</si>
  <si>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</si>
  <si>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</si>
  <si>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</si>
  <si>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</si>
  <si>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</si>
  <si>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</si>
  <si>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</si>
  <si>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</si>
  <si>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</si>
  <si>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</si>
  <si>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</si>
  <si>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</si>
  <si>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</si>
  <si>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</si>
  <si>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</si>
  <si>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</si>
  <si>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</si>
  <si>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</si>
  <si>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</si>
  <si>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</si>
  <si>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</si>
  <si>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</si>
  <si>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</si>
  <si>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</si>
  <si>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</si>
  <si>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</si>
  <si>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</si>
  <si>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</si>
  <si>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</si>
  <si>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</si>
  <si>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</si>
  <si>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</si>
  <si>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</si>
  <si>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</si>
  <si>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</si>
  <si>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</si>
  <si>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</si>
  <si>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</si>
  <si>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</si>
  <si>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</si>
  <si>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</si>
  <si>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</si>
  <si>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</si>
  <si>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</si>
  <si>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</si>
  <si>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</si>
  <si>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</si>
  <si>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</si>
  <si>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</si>
  <si>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</si>
  <si>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</si>
  <si>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</si>
  <si>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</si>
  <si>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</si>
  <si>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</si>
  <si>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</si>
  <si>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</si>
  <si>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</si>
  <si>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</si>
  <si>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</si>
  <si>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</si>
  <si>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</si>
  <si>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</si>
  <si>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</si>
  <si>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</si>
  <si>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</si>
  <si>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</si>
  <si>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</si>
  <si>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</si>
  <si>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</si>
  <si>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</si>
  <si>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</si>
  <si>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</si>
  <si>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</si>
  <si>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</si>
  <si>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</si>
  <si>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</si>
  <si>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</si>
  <si>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</si>
  <si>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</si>
  <si>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</si>
  <si>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</si>
  <si>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</si>
  <si>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</si>
  <si>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</si>
  <si>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</si>
  <si>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</si>
  <si>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</si>
  <si>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</si>
  <si>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</si>
  <si>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</si>
  <si>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</si>
  <si>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</si>
  <si>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</si>
  <si>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</si>
  <si>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</si>
  <si>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</si>
  <si>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</si>
  <si>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</si>
  <si>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</si>
  <si>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</si>
  <si>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</si>
  <si>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</si>
  <si>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</si>
  <si>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</si>
  <si>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</si>
  <si>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</si>
  <si>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</si>
  <si>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</si>
  <si>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</si>
  <si>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</si>
  <si>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</si>
  <si>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</si>
  <si>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</si>
  <si>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</si>
  <si>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</si>
  <si>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</si>
  <si>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</si>
  <si>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</si>
  <si>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</si>
  <si>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</si>
  <si>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</si>
  <si>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</si>
  <si>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</si>
  <si>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</si>
  <si>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</si>
  <si>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</si>
  <si>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</si>
  <si>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</si>
  <si>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</si>
  <si>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</si>
  <si>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</si>
  <si>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</si>
  <si>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</si>
  <si>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</si>
  <si>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</si>
  <si>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</si>
  <si>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</si>
  <si>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</si>
  <si>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</si>
  <si>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</si>
  <si>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</si>
  <si>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</si>
  <si>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</si>
  <si>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</si>
  <si>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</si>
  <si>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</si>
  <si>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</si>
  <si>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</si>
  <si>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</si>
  <si>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</si>
  <si>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</si>
  <si>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</si>
  <si>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</si>
  <si>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</si>
  <si>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</si>
  <si>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</si>
  <si>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</si>
  <si>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</si>
  <si>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</si>
  <si>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</si>
  <si>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</si>
  <si>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</si>
  <si>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</si>
  <si>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</si>
  <si>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</si>
  <si>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</si>
  <si>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</si>
  <si>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</si>
  <si>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</si>
  <si>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</si>
  <si>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</si>
  <si>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</si>
  <si>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</si>
  <si>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</si>
  <si>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</si>
  <si>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</si>
  <si>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</si>
  <si>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</si>
  <si>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</si>
  <si>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</si>
  <si>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</si>
  <si>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</si>
  <si>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</si>
  <si>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</si>
  <si>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</si>
  <si>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</si>
  <si>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</si>
  <si>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</si>
  <si>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</si>
  <si>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</si>
  <si>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</si>
  <si>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</si>
  <si>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</si>
  <si>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</si>
  <si>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</si>
  <si>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</si>
  <si>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</si>
  <si>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</si>
  <si>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</si>
  <si>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</si>
  <si>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</si>
  <si>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</si>
  <si>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</si>
  <si>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</si>
  <si>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</si>
  <si>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</si>
  <si>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</si>
  <si>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</si>
  <si>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</si>
  <si>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</si>
  <si>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</si>
  <si>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</si>
  <si>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</si>
  <si>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</si>
  <si>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</si>
  <si>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</si>
  <si>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</si>
  <si>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</si>
  <si>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</si>
  <si>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</si>
  <si>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</si>
  <si>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</si>
  <si>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</si>
  <si>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</si>
  <si>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</si>
  <si>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</si>
  <si>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</si>
  <si>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</si>
  <si>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</si>
  <si>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</si>
  <si>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</si>
  <si>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</si>
  <si>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</si>
  <si>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</si>
  <si>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</si>
  <si>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</si>
  <si>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</si>
  <si>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</si>
  <si>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</si>
  <si>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</si>
  <si>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</si>
  <si>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</si>
  <si>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</si>
  <si>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</si>
  <si>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</si>
  <si>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</si>
  <si>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</si>
  <si>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</si>
  <si>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</si>
  <si>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</si>
  <si>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</si>
  <si>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</si>
  <si>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</si>
  <si>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</si>
  <si>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</si>
  <si>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</si>
  <si>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</si>
  <si>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</si>
  <si>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</si>
  <si>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</si>
  <si>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</si>
  <si>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</si>
  <si>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</si>
  <si>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</si>
  <si>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</si>
  <si>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</si>
  <si>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</si>
  <si>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</si>
  <si>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</si>
  <si>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</si>
  <si>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</si>
  <si>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</si>
  <si>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</si>
  <si>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</si>
  <si>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</si>
  <si>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</si>
  <si>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</si>
  <si>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</si>
  <si>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</si>
  <si>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</si>
  <si>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</si>
  <si>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</si>
  <si>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</si>
  <si>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</si>
  <si>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</si>
  <si>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</si>
  <si>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</si>
  <si>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</si>
  <si>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</si>
  <si>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</si>
  <si>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</si>
  <si>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</si>
  <si>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</si>
  <si>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</si>
  <si>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</si>
  <si>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</si>
  <si>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</si>
  <si>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</si>
  <si>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</si>
  <si>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</si>
  <si>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</si>
  <si>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</si>
  <si>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</si>
  <si>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</si>
  <si>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</si>
  <si>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</si>
  <si>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</si>
  <si>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</si>
  <si>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</si>
  <si>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</si>
  <si>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</si>
  <si>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</si>
  <si>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</si>
  <si>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</si>
  <si>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</si>
  <si>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</si>
  <si>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</si>
  <si>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</si>
  <si>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</si>
  <si>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</si>
  <si>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</si>
  <si>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</si>
  <si>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</si>
  <si>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</si>
  <si>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</si>
  <si>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</si>
  <si>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</si>
  <si>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</si>
  <si>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</si>
  <si>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</si>
  <si>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</si>
  <si>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</si>
  <si>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</si>
  <si>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</si>
  <si>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</si>
  <si>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</si>
  <si>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</si>
  <si>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</si>
  <si>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</si>
  <si>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</si>
  <si>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</si>
  <si>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</si>
  <si>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</si>
  <si>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</si>
  <si>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</si>
  <si>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</si>
  <si>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</si>
  <si>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</si>
  <si>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</si>
  <si>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</si>
  <si>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</si>
  <si>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</si>
  <si>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</si>
  <si>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</si>
  <si>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</si>
  <si>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</si>
  <si>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</si>
  <si>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</si>
  <si>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</si>
  <si>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</si>
  <si>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</si>
  <si>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</si>
  <si>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</si>
  <si>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</si>
  <si>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</si>
  <si>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</si>
  <si>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</si>
  <si>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</si>
  <si>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</si>
  <si>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</si>
  <si>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</si>
  <si>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</si>
  <si>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</si>
  <si>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</si>
  <si>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</si>
  <si>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</si>
  <si>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</si>
  <si>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</si>
  <si>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</si>
  <si>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</si>
  <si>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</si>
  <si>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</si>
  <si>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</si>
  <si>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</si>
  <si>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</si>
  <si>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</si>
  <si>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</si>
  <si>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</si>
  <si>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</si>
  <si>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</si>
  <si>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</si>
  <si>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</si>
  <si>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</si>
  <si>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</si>
  <si>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</si>
  <si>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</si>
  <si>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</si>
  <si>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</si>
  <si>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</si>
  <si>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</si>
  <si>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</si>
  <si>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</si>
  <si>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</si>
  <si>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</si>
  <si>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</si>
  <si>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</si>
  <si>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</si>
  <si>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</si>
  <si>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</si>
  <si>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</si>
  <si>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</si>
  <si>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</si>
  <si>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</si>
  <si>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</si>
  <si>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</si>
  <si>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</si>
  <si>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</si>
  <si>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</si>
  <si>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</si>
  <si>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</si>
  <si>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</si>
  <si>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</si>
  <si>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</si>
  <si>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</si>
  <si>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</si>
  <si>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</si>
  <si>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</si>
  <si>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</si>
  <si>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</si>
  <si>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</si>
  <si>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</si>
  <si>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</si>
  <si>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</si>
  <si>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</si>
  <si>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</si>
  <si>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</si>
  <si>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</si>
  <si>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</si>
  <si>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</si>
  <si>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</si>
  <si>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</si>
  <si>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</si>
  <si>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</si>
  <si>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</si>
  <si>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</si>
  <si>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</si>
  <si>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</si>
  <si>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</si>
  <si>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</si>
  <si>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</si>
  <si>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</si>
  <si>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</si>
  <si>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</si>
  <si>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</si>
  <si>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</si>
  <si>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</si>
  <si>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</si>
  <si>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</si>
  <si>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</si>
  <si>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</si>
  <si>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</si>
  <si>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</si>
  <si>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</si>
  <si>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</si>
  <si>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</si>
  <si>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</si>
  <si>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</si>
  <si>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</si>
  <si>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</si>
  <si>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</si>
  <si>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</si>
  <si>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</si>
  <si>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</si>
  <si>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</si>
  <si>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</si>
  <si>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</si>
  <si>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</si>
  <si>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</si>
  <si>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</si>
  <si>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</si>
  <si>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</si>
  <si>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</si>
  <si>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</si>
  <si>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</si>
  <si>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</si>
  <si>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</si>
  <si>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</si>
  <si>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</si>
  <si>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</si>
  <si>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</si>
  <si>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</si>
  <si>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</si>
  <si>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</si>
  <si>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</si>
  <si>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</si>
  <si>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</si>
  <si>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</si>
  <si>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</si>
  <si>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</si>
  <si>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</si>
  <si>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</si>
  <si>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</si>
  <si>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</si>
  <si>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</si>
  <si>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</si>
  <si>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</si>
  <si>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</si>
  <si>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</si>
  <si>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</si>
  <si>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</si>
  <si>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</si>
  <si>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</si>
  <si>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</si>
  <si>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</si>
  <si>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</si>
  <si>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</si>
  <si>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</si>
  <si>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</si>
  <si>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</si>
  <si>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</si>
  <si>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</si>
  <si>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</si>
  <si>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</si>
  <si>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</si>
  <si>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</si>
  <si>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</si>
  <si>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</si>
  <si>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</si>
  <si>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</si>
  <si>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</si>
  <si>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</si>
  <si>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</si>
  <si>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</si>
  <si>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</si>
  <si>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</si>
  <si>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</si>
  <si>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</si>
  <si>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</si>
  <si>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</si>
  <si>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</si>
  <si>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</si>
  <si>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</si>
  <si>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</si>
  <si>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</si>
  <si>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</si>
  <si>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</si>
  <si>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</si>
  <si>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</si>
  <si>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</si>
  <si>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</si>
  <si>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</si>
  <si>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</si>
  <si>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</si>
  <si>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</si>
  <si>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</si>
  <si>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</si>
  <si>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</si>
  <si>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</si>
  <si>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</si>
  <si>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</si>
  <si>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</si>
  <si>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</si>
  <si>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</si>
  <si>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</si>
  <si>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KCl 7,4% </t>
  </si>
  <si>
    <t xml:space="preserve">CaGluc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</si>
  <si>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</si>
  <si>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</si>
  <si>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</si>
  <si>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</si>
  <si>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</si>
  <si>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</si>
  <si>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</si>
  <si>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</si>
  <si>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</si>
  <si>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</si>
  <si>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</si>
  <si>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</si>
  <si>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</si>
  <si>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</si>
  <si>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</si>
  <si>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</si>
  <si>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</si>
  <si>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</si>
  <si>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</si>
  <si>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</si>
  <si>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</si>
  <si>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</si>
  <si>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</si>
  <si>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</si>
  <si>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</si>
  <si>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</si>
  <si>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</si>
  <si>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</si>
  <si>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</si>
  <si>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</si>
  <si>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</si>
  <si>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</si>
  <si>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</si>
  <si>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</si>
  <si>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</si>
  <si>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</si>
  <si>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</si>
  <si>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</si>
  <si>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</si>
  <si>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</si>
  <si>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</si>
  <si>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</si>
  <si>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</si>
  <si>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</si>
  <si>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</si>
  <si>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</si>
  <si>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</si>
  <si>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</si>
  <si>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</si>
  <si>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</si>
  <si>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</si>
  <si>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</si>
  <si>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</si>
  <si>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</si>
  <si>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</si>
  <si>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</si>
  <si>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</si>
  <si>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</si>
  <si>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</si>
  <si>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</si>
  <si>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</si>
  <si>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</si>
  <si>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</si>
  <si>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</si>
  <si>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</si>
  <si>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</si>
  <si>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</si>
  <si>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</si>
  <si>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</si>
  <si>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</si>
  <si>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</si>
  <si>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</si>
  <si>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</si>
  <si>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</si>
  <si>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</si>
  <si>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</si>
  <si>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</si>
  <si>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</si>
  <si>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</si>
  <si>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</si>
  <si>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</si>
  <si>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</si>
  <si>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</si>
  <si>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</si>
  <si>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</si>
  <si>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</si>
  <si>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</si>
  <si>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</si>
  <si>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</si>
  <si>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</si>
  <si>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</si>
  <si>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</si>
  <si>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</si>
  <si>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</si>
  <si>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</si>
  <si>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</si>
  <si>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</si>
  <si>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</si>
  <si>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</si>
  <si>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</si>
  <si>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</si>
  <si>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</si>
  <si>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</si>
  <si>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</si>
  <si>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</si>
  <si>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</si>
  <si>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</si>
  <si>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</si>
  <si>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</si>
  <si>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</si>
  <si>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</si>
  <si>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</si>
  <si>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</si>
  <si>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</si>
  <si>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</si>
  <si>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</si>
  <si>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</si>
  <si>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</si>
  <si>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</si>
  <si>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</si>
  <si>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</si>
  <si>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</si>
  <si>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</si>
  <si>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</si>
  <si>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</si>
  <si>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</si>
  <si>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</si>
  <si>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</si>
  <si>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</si>
  <si>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</si>
  <si>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</si>
  <si>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</si>
  <si>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</si>
  <si>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</si>
  <si>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</si>
  <si>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</si>
  <si>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</si>
  <si>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</si>
  <si>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</si>
  <si>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</si>
  <si>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</si>
  <si>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</si>
  <si>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</si>
  <si>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</si>
  <si>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</si>
  <si>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</si>
  <si>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</si>
  <si>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</si>
  <si>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</si>
  <si>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</si>
  <si>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</si>
  <si>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</si>
  <si>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</si>
  <si>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</si>
  <si>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</si>
  <si>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</si>
  <si>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</si>
  <si>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</si>
  <si>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</si>
  <si>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</si>
  <si>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</si>
  <si>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</si>
  <si>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</si>
  <si>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</si>
  <si>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</si>
  <si>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</si>
  <si>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</si>
  <si>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</si>
  <si>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</si>
  <si>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</si>
  <si>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</si>
  <si>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</si>
  <si>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</si>
  <si>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</si>
  <si>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</si>
  <si>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</si>
  <si>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</si>
  <si>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</si>
  <si>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</si>
  <si>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</si>
  <si>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</si>
  <si>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</si>
  <si>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</si>
  <si>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</si>
  <si>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</si>
  <si>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</si>
  <si>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</si>
  <si>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</si>
  <si>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</si>
  <si>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</si>
  <si>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</si>
  <si>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</si>
  <si>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</si>
  <si>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</si>
  <si>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</si>
  <si>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</si>
  <si>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</si>
  <si>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</si>
  <si>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</si>
  <si>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</si>
  <si>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</si>
  <si>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</si>
  <si>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</si>
  <si>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</si>
  <si>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</si>
  <si>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</si>
  <si>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</si>
  <si>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</si>
  <si>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</si>
  <si>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</si>
  <si>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</si>
  <si>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</si>
  <si>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</si>
  <si>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</si>
  <si>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</si>
  <si>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</si>
  <si>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</si>
  <si>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</si>
  <si>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</si>
  <si>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</si>
  <si>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</si>
  <si>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</si>
  <si>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</si>
  <si>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</si>
  <si>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</si>
  <si>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</si>
  <si>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</si>
  <si>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</si>
  <si>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</si>
  <si>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</si>
  <si>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</si>
  <si>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</si>
  <si>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</si>
  <si>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</si>
  <si>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</si>
  <si>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</si>
  <si>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</si>
  <si>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</si>
  <si>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</si>
  <si>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</si>
  <si>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</si>
  <si>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</si>
  <si>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</si>
  <si>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</si>
  <si>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</si>
  <si>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</si>
  <si>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</si>
  <si>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</si>
  <si>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</si>
  <si>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</si>
  <si>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</si>
  <si>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</si>
  <si>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</si>
  <si>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</si>
  <si>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</si>
  <si>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</si>
  <si>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</si>
  <si>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</si>
  <si>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</si>
  <si>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</si>
  <si>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</si>
  <si>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</si>
  <si>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</si>
  <si>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</si>
  <si>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</si>
  <si>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</si>
  <si>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</si>
  <si>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</si>
  <si>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</si>
  <si>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</si>
  <si>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</si>
  <si>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</si>
  <si>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</si>
  <si>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</si>
  <si>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</si>
  <si>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</si>
  <si>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</si>
  <si>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</si>
  <si>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</si>
  <si>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</si>
  <si>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</si>
  <si>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</si>
  <si>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</si>
  <si>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</si>
  <si>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</si>
  <si>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</si>
  <si>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</si>
  <si>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</si>
  <si>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</si>
  <si>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</si>
  <si>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</si>
  <si>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</si>
  <si>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</si>
  <si>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</si>
  <si>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</si>
  <si>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</si>
  <si>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</si>
  <si>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</si>
  <si>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</si>
  <si>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</si>
  <si>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</si>
  <si>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</si>
  <si>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</si>
  <si>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</si>
  <si>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</si>
  <si>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</si>
  <si>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</si>
  <si>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</si>
  <si>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</si>
  <si>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</si>
  <si>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</si>
  <si>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</si>
  <si>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</si>
  <si>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</si>
  <si>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</si>
  <si>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</si>
  <si>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</si>
  <si>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</si>
  <si>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</si>
  <si>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</si>
  <si>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</si>
  <si>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</si>
  <si>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</si>
  <si>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</si>
  <si>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</si>
  <si>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</si>
  <si>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</si>
  <si>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</si>
  <si>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</si>
  <si>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</si>
  <si>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</si>
  <si>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</si>
  <si>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</si>
  <si>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</si>
  <si>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</si>
  <si>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</si>
  <si>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</si>
  <si>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</si>
  <si>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</si>
  <si>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</si>
  <si>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</si>
  <si>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</si>
  <si>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</si>
  <si>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</si>
  <si>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</si>
  <si>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</si>
  <si>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</si>
  <si>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</si>
  <si>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</si>
  <si>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</si>
  <si>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</si>
  <si>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</si>
  <si>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</si>
  <si>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</si>
  <si>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</si>
  <si>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</si>
  <si>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</si>
  <si>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</si>
  <si>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</si>
  <si>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</si>
  <si>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</si>
  <si>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</si>
  <si>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</si>
  <si>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</si>
  <si>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</si>
  <si>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</si>
  <si>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</si>
  <si>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</si>
  <si>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</si>
  <si>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</si>
  <si>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</si>
  <si>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</si>
  <si>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</si>
  <si>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</si>
  <si>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</si>
  <si>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</si>
  <si>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</si>
  <si>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</si>
  <si>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</si>
  <si>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</si>
  <si>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</si>
  <si>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</si>
  <si>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</si>
  <si>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</si>
  <si>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</si>
  <si>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</si>
  <si>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</si>
  <si>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</si>
  <si>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</si>
  <si>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</si>
  <si>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</si>
  <si>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</si>
  <si>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</si>
  <si>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</si>
  <si>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</si>
  <si>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</si>
  <si>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</si>
  <si>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</si>
  <si>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</si>
  <si>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</si>
  <si>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</si>
  <si>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</si>
  <si>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</si>
  <si>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</si>
  <si>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</si>
  <si>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</si>
  <si>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</si>
  <si>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</si>
  <si>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</si>
  <si>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</si>
  <si>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</si>
  <si>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</si>
  <si>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</si>
  <si>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</si>
  <si>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</si>
  <si>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</si>
  <si>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</si>
  <si>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</si>
  <si>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</si>
  <si>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</si>
  <si>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</si>
  <si>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</si>
  <si>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</si>
  <si>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</si>
  <si>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</si>
  <si>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</si>
  <si>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</si>
  <si>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</si>
  <si>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</si>
  <si>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</si>
  <si>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</si>
  <si>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</si>
  <si>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</si>
  <si>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</si>
  <si>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</si>
  <si>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</si>
  <si>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</si>
  <si>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</si>
  <si>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</si>
  <si>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</si>
  <si>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</si>
  <si>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</si>
  <si>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</si>
  <si>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</si>
  <si>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</si>
  <si>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</si>
  <si>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</si>
  <si>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</si>
  <si>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</si>
  <si>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</si>
  <si>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</si>
  <si>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</si>
  <si>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</si>
  <si>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</si>
  <si>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</si>
  <si>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</si>
  <si>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</si>
  <si>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</si>
  <si>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</si>
  <si>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</si>
  <si>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</si>
  <si>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</si>
  <si>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</si>
  <si>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</si>
  <si>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</si>
  <si>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</si>
  <si>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</si>
  <si>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</si>
  <si>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</si>
  <si>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</si>
  <si>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</si>
  <si>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</si>
  <si>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</si>
  <si>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</si>
  <si>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</si>
  <si>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</si>
  <si>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</si>
  <si>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</si>
  <si>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</si>
  <si>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</si>
  <si>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</si>
  <si>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</si>
  <si>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</si>
  <si>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</si>
  <si>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</si>
  <si>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</si>
  <si>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</si>
  <si>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</si>
  <si>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</si>
  <si>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</si>
  <si>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</si>
  <si>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</si>
  <si>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</si>
  <si>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</si>
  <si>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</si>
  <si>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</si>
  <si>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</si>
  <si>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</si>
  <si>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</si>
  <si>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</si>
  <si>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</si>
  <si>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</si>
  <si>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</si>
  <si>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</si>
  <si>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</si>
  <si>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</si>
  <si>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</si>
  <si>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</si>
  <si>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</si>
  <si>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</si>
  <si>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</si>
  <si>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</si>
  <si>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</si>
  <si>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</si>
  <si>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</si>
  <si>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</si>
  <si>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</si>
  <si>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</si>
  <si>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</si>
  <si>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</si>
  <si>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</si>
  <si>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</si>
  <si>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</si>
  <si>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</si>
  <si>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</si>
  <si>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</si>
  <si>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</si>
  <si>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</si>
  <si>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</si>
  <si>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</si>
  <si>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</si>
  <si>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</si>
  <si>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</si>
  <si>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</si>
  <si>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</si>
  <si>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</si>
  <si>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</si>
  <si>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</si>
  <si>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</si>
  <si>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</si>
  <si>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</si>
  <si>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</si>
  <si>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</si>
  <si>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</si>
  <si>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</si>
  <si>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</si>
  <si>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</si>
  <si>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</si>
  <si>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</si>
  <si>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</si>
  <si>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</si>
  <si>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</si>
  <si>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</si>
  <si>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</si>
  <si>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</si>
  <si>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</si>
  <si>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</si>
  <si>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</si>
  <si>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</si>
  <si>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</si>
  <si>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</si>
  <si>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</si>
  <si>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</si>
  <si>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</si>
  <si>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</si>
  <si>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</si>
  <si>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</si>
  <si>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</si>
  <si>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</si>
  <si>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</si>
  <si>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</si>
  <si>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</si>
  <si>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</si>
  <si>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</si>
  <si>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</si>
  <si>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</si>
  <si>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</si>
  <si>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</si>
  <si>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</si>
  <si>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</si>
  <si>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</si>
  <si>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</si>
  <si>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</si>
  <si>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</si>
  <si>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</si>
  <si>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</si>
  <si>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</si>
  <si>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</si>
  <si>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</si>
  <si>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</si>
  <si>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</si>
  <si>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</si>
  <si>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</si>
  <si>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</si>
  <si>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</si>
  <si>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</si>
  <si>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</si>
  <si>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</si>
  <si>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</si>
  <si>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</si>
  <si>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</si>
  <si>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</si>
  <si>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</si>
  <si>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</si>
  <si>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</si>
  <si>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</si>
  <si>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</si>
  <si>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</si>
  <si>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</si>
  <si>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</si>
  <si>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</si>
  <si>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</si>
  <si>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</si>
  <si>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</si>
  <si>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</si>
  <si>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</si>
  <si>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</si>
  <si>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</si>
  <si>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</si>
  <si>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</si>
  <si>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</si>
  <si>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</si>
  <si>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</si>
  <si>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</si>
  <si>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</si>
  <si>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</si>
  <si>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</si>
  <si>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</si>
  <si>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</si>
  <si>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</si>
  <si>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</si>
  <si>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</si>
  <si>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</si>
  <si>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</si>
  <si>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</si>
  <si>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</si>
  <si>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</si>
  <si>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</si>
  <si>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</si>
  <si>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</si>
  <si>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</si>
  <si>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</si>
  <si>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</si>
  <si>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</si>
  <si>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</si>
  <si>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</si>
  <si>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</si>
  <si>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</si>
  <si>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</si>
  <si>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</si>
  <si>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</si>
  <si>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</si>
  <si>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</si>
  <si>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</si>
  <si>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</si>
  <si>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</si>
  <si>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</si>
  <si>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</si>
  <si>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</si>
  <si>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</si>
  <si>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</si>
  <si>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</si>
  <si>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</si>
  <si>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</si>
  <si>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</si>
  <si>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</si>
  <si>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</si>
  <si>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</si>
  <si>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</si>
  <si>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</si>
  <si>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</si>
  <si>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</si>
  <si>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</si>
  <si>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</si>
  <si>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</si>
  <si>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</si>
  <si>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</si>
  <si>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</si>
  <si>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</si>
  <si>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</si>
  <si>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</si>
  <si>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</si>
  <si>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</si>
  <si>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</si>
  <si>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</si>
  <si>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</si>
  <si>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</si>
  <si>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</si>
  <si>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</si>
  <si>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</si>
  <si>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</si>
  <si>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</si>
  <si>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</si>
  <si>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</si>
  <si>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</si>
  <si>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</si>
  <si>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</si>
  <si>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</si>
  <si>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</si>
  <si>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</si>
  <si>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</si>
  <si>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</si>
  <si>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</si>
  <si>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</si>
  <si>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</si>
  <si>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</si>
  <si>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</si>
  <si>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</si>
  <si>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</si>
  <si>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</si>
  <si>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</si>
  <si>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</si>
  <si>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</si>
  <si>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</si>
  <si>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</si>
  <si>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</si>
  <si>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</si>
  <si>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</si>
  <si>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</si>
  <si>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</si>
  <si>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</si>
  <si>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</si>
  <si>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</si>
  <si>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</si>
  <si>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</si>
  <si>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</si>
  <si>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</si>
  <si>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</si>
  <si>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</si>
  <si>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</si>
  <si>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</si>
  <si>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</si>
  <si>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</si>
  <si>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</si>
  <si>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</si>
  <si>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</si>
  <si>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</si>
  <si>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</si>
  <si>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</si>
  <si>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</si>
  <si>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</si>
  <si>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</si>
  <si>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</si>
  <si>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</si>
  <si>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</si>
  <si>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</si>
  <si>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</si>
  <si>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</si>
  <si>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</si>
  <si>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</si>
  <si>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</si>
  <si>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</si>
  <si>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</si>
  <si>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</si>
  <si>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</si>
  <si>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</si>
  <si>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</si>
  <si>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</si>
  <si>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</si>
  <si>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</si>
  <si>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</si>
  <si>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</si>
  <si>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</si>
  <si>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</si>
  <si>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</si>
  <si>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</si>
  <si>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</si>
  <si>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</si>
  <si>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</si>
  <si>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</si>
  <si>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</si>
  <si>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</si>
  <si>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</si>
  <si>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</si>
  <si>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</si>
  <si>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</si>
  <si>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</si>
  <si>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</si>
  <si>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</si>
  <si>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</si>
  <si>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</si>
  <si>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</si>
  <si>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</si>
  <si>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</si>
  <si>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</si>
  <si>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</si>
  <si>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</si>
  <si>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</si>
  <si>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</si>
  <si>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</si>
  <si>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</si>
  <si>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</si>
  <si>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</si>
  <si>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</si>
  <si>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</si>
  <si>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</si>
  <si>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</si>
  <si>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</si>
  <si>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</si>
  <si>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</si>
  <si>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</si>
  <si>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</si>
  <si>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</si>
  <si>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</si>
  <si>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</si>
  <si>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</si>
  <si>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</si>
  <si>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</si>
  <si>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</si>
  <si>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</si>
  <si>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</si>
  <si>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</si>
  <si>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</si>
  <si>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</si>
  <si>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</si>
  <si>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</si>
  <si>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</si>
  <si>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</si>
  <si>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</si>
  <si>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</si>
  <si>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</si>
  <si>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</si>
  <si>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</si>
  <si>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</si>
  <si>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</si>
  <si>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</si>
  <si>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</si>
  <si>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</si>
  <si>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</si>
  <si>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</si>
  <si>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</si>
  <si>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</si>
  <si>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</si>
  <si>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</si>
  <si>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</si>
  <si>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</si>
  <si>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</si>
  <si>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</si>
  <si>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</si>
  <si>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</si>
  <si>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</si>
  <si>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</si>
  <si>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</si>
  <si>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</si>
  <si>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</si>
  <si>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</si>
  <si>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</si>
  <si>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</si>
  <si>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</si>
  <si>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</si>
  <si>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</si>
  <si>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</si>
  <si>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</si>
  <si>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</si>
  <si>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</si>
  <si>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</si>
  <si>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</si>
  <si>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</si>
  <si>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</si>
  <si>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</si>
  <si>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</si>
  <si>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</si>
  <si>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</si>
  <si>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</si>
  <si>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</si>
  <si>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</si>
  <si>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</si>
  <si>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</si>
  <si>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</si>
  <si>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</si>
  <si>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</si>
  <si>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</si>
  <si>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</si>
  <si>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</si>
  <si>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</si>
  <si>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</si>
  <si>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</si>
  <si>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</si>
  <si>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</si>
  <si>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</si>
  <si>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</si>
  <si>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</si>
  <si>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</si>
  <si>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</si>
  <si>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</si>
  <si>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</si>
  <si>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</si>
  <si>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</si>
  <si>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</si>
  <si>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</si>
  <si>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</si>
  <si>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</si>
  <si>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</si>
  <si>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</si>
  <si>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</si>
  <si>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</si>
  <si>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</si>
  <si>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</si>
  <si>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</si>
  <si>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</si>
  <si>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</si>
  <si>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</si>
  <si>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</si>
  <si>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</si>
  <si>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</si>
  <si>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</si>
  <si>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</si>
  <si>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</si>
  <si>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</si>
  <si>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</si>
  <si>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</si>
  <si>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</si>
  <si>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</si>
  <si>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</si>
  <si>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</si>
  <si>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</si>
  <si>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</si>
  <si>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</si>
  <si>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</si>
  <si>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</si>
  <si>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</si>
  <si>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</si>
  <si>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</si>
  <si>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</si>
  <si>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</si>
  <si>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</si>
  <si>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</si>
  <si>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</si>
  <si>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</si>
  <si>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</si>
  <si>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</si>
  <si>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</si>
  <si>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</si>
  <si>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</si>
  <si>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</si>
  <si>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</si>
  <si>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</si>
  <si>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</si>
  <si>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</si>
  <si>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</si>
  <si>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</si>
  <si>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</si>
  <si>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</si>
  <si>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</si>
  <si>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</si>
  <si>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</si>
  <si>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</si>
  <si>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</si>
  <si>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</si>
  <si>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</si>
  <si>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</si>
  <si>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</si>
  <si>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</si>
  <si>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</si>
  <si>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</si>
  <si>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</si>
  <si>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</si>
  <si>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</si>
  <si>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</si>
  <si>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</si>
  <si>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</si>
  <si>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</si>
  <si>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</si>
  <si>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</si>
  <si>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</si>
  <si>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</si>
  <si>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</si>
  <si>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</si>
  <si>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</si>
  <si>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</si>
  <si>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</si>
  <si>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</si>
  <si>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</si>
  <si>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</si>
  <si>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</si>
  <si>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</si>
  <si>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</si>
  <si>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</si>
  <si>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</si>
  <si>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</si>
  <si>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</si>
  <si>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</si>
  <si>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</si>
  <si>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</si>
  <si>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</si>
  <si>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</si>
  <si>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</si>
  <si>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</si>
  <si>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</si>
  <si>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</si>
  <si>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</si>
  <si>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</si>
  <si>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</si>
  <si>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</si>
  <si>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</si>
  <si>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</si>
  <si>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</si>
  <si>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</si>
  <si>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NeoBerInfB!$B$40</t>
  </si>
  <si>
    <t>Var_Neo_LipidAdv</t>
  </si>
  <si>
    <t>NeoBerInfB!$B$48</t>
  </si>
  <si>
    <t>Var_Neo_NICUMixAdv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</si>
  <si>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</si>
  <si>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</si>
  <si>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</si>
  <si>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</si>
  <si>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</si>
  <si>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</si>
  <si>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</si>
  <si>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</si>
  <si>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</si>
  <si>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</si>
  <si>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</si>
  <si>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</si>
  <si>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</si>
  <si>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</si>
  <si>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</si>
  <si>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</si>
  <si>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</si>
  <si>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</si>
  <si>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</si>
  <si>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</si>
  <si>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</si>
  <si>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</si>
  <si>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</si>
  <si>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</si>
  <si>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</si>
  <si>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</si>
  <si>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</si>
  <si>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</si>
  <si>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</si>
  <si>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</si>
  <si>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</si>
  <si>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</si>
  <si>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</si>
  <si>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</si>
  <si>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</si>
  <si>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</si>
  <si>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</si>
  <si>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</si>
  <si>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</si>
  <si>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</si>
  <si>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</si>
  <si>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</si>
  <si>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</si>
  <si>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</si>
  <si>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</si>
  <si>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</si>
  <si>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</si>
  <si>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</si>
  <si>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</si>
  <si>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</si>
  <si>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</si>
  <si>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</si>
  <si>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</si>
  <si>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</si>
  <si>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</si>
  <si>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</si>
  <si>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</si>
  <si>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</si>
  <si>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</si>
  <si>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</si>
  <si>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</si>
  <si>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</si>
  <si>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</si>
  <si>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</si>
  <si>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</si>
  <si>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</si>
  <si>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</si>
  <si>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</si>
  <si>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</si>
  <si>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</si>
  <si>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</si>
  <si>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</si>
  <si>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</si>
  <si>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</si>
  <si>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</si>
  <si>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</si>
  <si>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</si>
  <si>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</si>
  <si>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</si>
  <si>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</si>
  <si>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</si>
  <si>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</si>
  <si>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</si>
  <si>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</si>
  <si>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</si>
  <si>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</si>
  <si>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</si>
  <si>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</si>
  <si>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</si>
  <si>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</si>
  <si>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</si>
  <si>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</si>
  <si>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</si>
  <si>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</si>
  <si>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</si>
  <si>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</si>
  <si>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</si>
  <si>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</si>
  <si>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</si>
  <si>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</si>
  <si>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</si>
  <si>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</si>
  <si>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</si>
  <si>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</si>
  <si>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</si>
  <si>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</si>
  <si>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</si>
  <si>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</si>
  <si>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</si>
  <si>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</si>
  <si>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</si>
  <si>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</si>
  <si>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</si>
  <si>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</si>
  <si>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</si>
  <si>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</si>
  <si>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</si>
  <si>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</si>
  <si>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</si>
  <si>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</si>
  <si>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</si>
  <si>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</si>
  <si>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</si>
  <si>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</si>
  <si>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</si>
  <si>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</si>
  <si>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</si>
  <si>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</si>
  <si>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</si>
  <si>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</si>
  <si>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</si>
  <si>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</si>
  <si>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</si>
  <si>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</si>
  <si>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</si>
  <si>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</si>
  <si>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</si>
  <si>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</si>
  <si>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</si>
  <si>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</si>
  <si>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</si>
  <si>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</si>
  <si>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</si>
  <si>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</si>
  <si>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</si>
  <si>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</si>
  <si>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</si>
  <si>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</si>
  <si>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</si>
  <si>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</si>
  <si>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</si>
  <si>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</si>
  <si>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</si>
  <si>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</si>
  <si>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</si>
  <si>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</si>
  <si>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</si>
  <si>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</si>
  <si>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</si>
  <si>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</si>
  <si>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</si>
  <si>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</si>
  <si>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</si>
  <si>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</si>
  <si>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</si>
  <si>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</si>
  <si>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</si>
  <si>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</si>
  <si>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</si>
  <si>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</si>
  <si>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</si>
  <si>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</si>
  <si>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</si>
  <si>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</si>
  <si>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</si>
  <si>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</si>
  <si>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</si>
  <si>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</si>
  <si>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</si>
  <si>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</si>
  <si>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Tbl_Glob_MedFreq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</si>
  <si>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</si>
  <si>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</si>
  <si>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</si>
  <si>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</si>
  <si>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</si>
  <si>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Txt_Pat_FullName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</si>
  <si>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</si>
  <si>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</si>
  <si>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</si>
  <si>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</si>
  <si>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</si>
  <si>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</si>
  <si>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</si>
  <si>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</si>
  <si>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</si>
  <si>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</si>
  <si>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</si>
  <si>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Txt_Pat_Leeftijd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</si>
  <si>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</si>
  <si>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</si>
  <si>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</si>
  <si>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</si>
  <si>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</si>
  <si>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Txt_Pat_OpnameDat</t>
  </si>
  <si>
    <t>PatDetails!$B$27</t>
  </si>
  <si>
    <t>Txt_Pat_Oppervlak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</si>
  <si>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</si>
  <si>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</si>
  <si>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</si>
  <si>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</si>
  <si>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</si>
  <si>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</si>
  <si>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</si>
  <si>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</si>
  <si>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</si>
  <si>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</si>
  <si>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</si>
  <si>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</si>
  <si>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</si>
  <si>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</si>
  <si>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</si>
  <si>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</si>
  <si>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</si>
  <si>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</si>
  <si>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</si>
  <si>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</si>
  <si>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</si>
  <si>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</si>
  <si>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</si>
  <si>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</si>
  <si>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</si>
  <si>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</si>
  <si>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</si>
  <si>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</si>
  <si>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</si>
  <si>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</si>
  <si>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</si>
  <si>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</si>
  <si>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</si>
  <si>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</si>
  <si>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</si>
  <si>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</si>
  <si>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</si>
  <si>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</si>
  <si>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</si>
  <si>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</si>
  <si>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</si>
  <si>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</si>
  <si>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</si>
  <si>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</si>
  <si>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</si>
  <si>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</si>
  <si>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</si>
  <si>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</si>
  <si>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</si>
  <si>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</si>
  <si>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</si>
  <si>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</si>
  <si>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</si>
  <si>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</si>
  <si>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</si>
  <si>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</si>
  <si>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</si>
  <si>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</si>
  <si>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</si>
  <si>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</si>
  <si>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</si>
  <si>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</si>
  <si>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</si>
  <si>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</si>
  <si>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</si>
  <si>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</si>
  <si>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</si>
  <si>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</si>
  <si>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</si>
  <si>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</si>
  <si>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</si>
  <si>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</si>
  <si>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</si>
  <si>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</si>
  <si>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</si>
  <si>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</si>
  <si>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</si>
  <si>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</si>
  <si>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</si>
  <si>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</si>
  <si>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</si>
  <si>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PedTblParEnt!$B$12:$N$26</t>
  </si>
  <si>
    <t>PedTblParEnt!$B$4:$N$9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</si>
  <si>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</si>
  <si>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</si>
  <si>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</si>
  <si>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</si>
  <si>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</si>
  <si>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</si>
  <si>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</si>
  <si>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</si>
  <si>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</si>
  <si>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</si>
  <si>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</si>
  <si>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</si>
  <si>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</si>
  <si>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</si>
  <si>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</si>
  <si>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</si>
  <si>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</si>
  <si>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</si>
  <si>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</si>
  <si>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Toevoegingen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</si>
  <si>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</si>
  <si>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</si>
  <si>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</si>
  <si>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</si>
  <si>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</si>
  <si>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</si>
  <si>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</si>
  <si>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</si>
  <si>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</si>
  <si>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</si>
  <si>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</si>
  <si>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</si>
  <si>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</si>
  <si>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</si>
  <si>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</si>
  <si>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</si>
  <si>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</si>
  <si>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</si>
  <si>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</si>
  <si>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</si>
  <si>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</si>
  <si>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</si>
  <si>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</si>
  <si>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</si>
  <si>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</si>
  <si>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</si>
  <si>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</si>
  <si>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</si>
  <si>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</si>
  <si>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</si>
  <si>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</si>
  <si>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</si>
  <si>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</si>
  <si>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</si>
  <si>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</si>
  <si>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</si>
  <si>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</si>
  <si>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</si>
  <si>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</si>
  <si>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</si>
  <si>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</si>
  <si>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</si>
  <si>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</si>
  <si>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</si>
  <si>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</si>
  <si>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</si>
  <si>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</si>
  <si>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</si>
  <si>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</si>
  <si>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</si>
  <si>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</si>
  <si>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</si>
  <si>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</si>
  <si>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</si>
  <si>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</si>
  <si>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</si>
  <si>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</si>
  <si>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</si>
  <si>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</si>
  <si>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</si>
  <si>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</si>
  <si>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</si>
  <si>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</si>
  <si>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</si>
  <si>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</si>
  <si>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</si>
  <si>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</si>
  <si>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</si>
  <si>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</si>
  <si>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</si>
  <si>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</si>
  <si>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</si>
  <si>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</si>
  <si>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</si>
  <si>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</si>
  <si>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</si>
  <si>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</si>
  <si>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</si>
  <si>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</si>
  <si>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</si>
  <si>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</si>
  <si>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</si>
  <si>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</si>
  <si>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</si>
  <si>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</si>
  <si>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</si>
  <si>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</si>
  <si>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</si>
  <si>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</si>
  <si>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</si>
  <si>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</si>
  <si>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</si>
  <si>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</si>
  <si>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</si>
  <si>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</si>
  <si>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</si>
  <si>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</si>
  <si>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</si>
  <si>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</si>
  <si>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</si>
  <si>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</si>
  <si>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</si>
  <si>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</si>
  <si>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</si>
  <si>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</si>
  <si>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</si>
  <si>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</si>
  <si>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</si>
  <si>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</si>
  <si>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</si>
  <si>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</si>
  <si>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</si>
  <si>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</si>
  <si>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CARDENE 1MG/ML AMPUL 5ML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</si>
  <si>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</si>
  <si>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</si>
  <si>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</si>
  <si>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</si>
  <si>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</si>
  <si>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</si>
  <si>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</si>
  <si>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</si>
  <si>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</si>
  <si>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</si>
  <si>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</si>
  <si>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</si>
  <si>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</si>
  <si>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</si>
  <si>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</si>
  <si>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</si>
  <si>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</si>
  <si>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</si>
  <si>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</si>
  <si>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</si>
  <si>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</si>
  <si>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</si>
  <si>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</si>
  <si>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</si>
  <si>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</si>
  <si>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</si>
  <si>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</si>
  <si>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</si>
  <si>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</si>
  <si>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</si>
  <si>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</si>
  <si>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</si>
  <si>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</si>
  <si>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</si>
  <si>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</si>
  <si>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</si>
  <si>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</si>
  <si>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</si>
  <si>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</si>
  <si>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</si>
  <si>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</si>
  <si>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>spuiten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</si>
  <si>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</si>
  <si>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</si>
  <si>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</si>
  <si>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</si>
  <si>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</si>
  <si>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</si>
  <si>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</si>
  <si>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</si>
  <si>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</si>
  <si>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</si>
  <si>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PedBerTPN!$B$20</t>
  </si>
  <si>
    <t>PedBerTPN!$B$19</t>
  </si>
  <si>
    <t>PedBerTPN!$C$19</t>
  </si>
  <si>
    <t>PedBerTPN!$C$18</t>
  </si>
  <si>
    <t>NeoPrtAfspr!$A$1:$S$67</t>
  </si>
  <si>
    <t>NeoPrtMedDisc!$B$2:$AF$35</t>
  </si>
  <si>
    <t>PedPrtAfspr!$A$2:$J$106</t>
  </si>
  <si>
    <t>PedPrtMedDisc!$B$2:$AF$35</t>
  </si>
  <si>
    <t>GlobSettings!$B$10</t>
  </si>
  <si>
    <t>SettingDbDir</t>
  </si>
  <si>
    <t>GlobBerLab!$A$1:$B$14</t>
  </si>
  <si>
    <t>Tbl_Glob_Lab</t>
  </si>
  <si>
    <t>NeoBerInfB!$A$23:$AK$32</t>
  </si>
  <si>
    <t>Tbl_Neo_BerMedCont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</si>
  <si>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</si>
  <si>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</si>
  <si>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</si>
  <si>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</si>
  <si>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</si>
  <si>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</si>
  <si>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</si>
  <si>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</si>
  <si>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</si>
  <si>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</si>
  <si>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</si>
  <si>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</si>
  <si>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</si>
  <si>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</si>
  <si>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</si>
  <si>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</si>
  <si>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</si>
  <si>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</si>
  <si>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</si>
  <si>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</si>
  <si>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</si>
  <si>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</si>
  <si>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</si>
  <si>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</si>
  <si>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</si>
  <si>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</si>
  <si>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</si>
  <si>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</si>
  <si>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</si>
  <si>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</si>
  <si>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</si>
  <si>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</si>
  <si>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</si>
  <si>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</si>
  <si>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</si>
  <si>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</si>
  <si>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</si>
  <si>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</si>
  <si>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</si>
  <si>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</si>
  <si>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</si>
  <si>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</si>
  <si>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</si>
  <si>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</si>
  <si>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</si>
  <si>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</si>
  <si>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</si>
  <si>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</si>
  <si>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</si>
  <si>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</si>
  <si>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</si>
  <si>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</si>
  <si>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</si>
  <si>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</si>
  <si>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</si>
  <si>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</si>
  <si>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</si>
  <si>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</si>
  <si>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</si>
  <si>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</si>
  <si>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</si>
  <si>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</si>
  <si>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</si>
  <si>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</si>
  <si>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</si>
  <si>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</si>
  <si>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</si>
  <si>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</si>
  <si>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</si>
  <si>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</si>
  <si>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</si>
  <si>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</si>
  <si>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</si>
  <si>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</si>
  <si>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</si>
  <si>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</si>
  <si>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</si>
  <si>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</si>
  <si>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</si>
  <si>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</si>
  <si>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</si>
  <si>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</si>
  <si>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</si>
  <si>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</si>
  <si>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</si>
  <si>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</si>
  <si>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</si>
  <si>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</si>
  <si>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</si>
  <si>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</si>
  <si>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</si>
  <si>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</si>
  <si>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</si>
  <si>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</si>
  <si>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</si>
  <si>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</si>
  <si>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</si>
  <si>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</si>
  <si>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</si>
  <si>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</si>
  <si>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</si>
  <si>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</si>
  <si>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</si>
  <si>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</si>
  <si>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</si>
  <si>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</si>
  <si>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</si>
  <si>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</si>
  <si>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</si>
  <si>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Var_Neo_PrintApothNo</t>
  </si>
  <si>
    <t>NeoPrtMedDisc!$B$2:$AF$23</t>
  </si>
  <si>
    <t>PedPrtMedDisc!$B$2:$AF$23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</si>
  <si>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</si>
  <si>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</si>
  <si>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</si>
  <si>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</si>
  <si>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</si>
  <si>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</si>
  <si>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</si>
  <si>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</si>
  <si>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</si>
  <si>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</si>
  <si>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</si>
  <si>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</si>
  <si>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</si>
  <si>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</si>
  <si>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</si>
  <si>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Chargenummer</t>
  </si>
  <si>
    <t>controle apotheek</t>
  </si>
  <si>
    <t>0,05-0,1 microg/kg/min</t>
  </si>
  <si>
    <t>10-200 nanogram/kg/min</t>
  </si>
  <si>
    <t>5-15 microg/kg/min</t>
  </si>
  <si>
    <t>0,25-2 microg/kg/uur</t>
  </si>
  <si>
    <t>2-20 microg/kg/min</t>
  </si>
  <si>
    <t>1-20 microg/kg/min</t>
  </si>
  <si>
    <t>0,5-2 mg/kg/uur</t>
  </si>
  <si>
    <t xml:space="preserve">5-40 nanogram/kg/min </t>
  </si>
  <si>
    <t>0,1-1 mg/kg/min</t>
  </si>
  <si>
    <t>1-4 mg/kg/dag</t>
  </si>
  <si>
    <t>0,01-0,1 E/kg/uur</t>
  </si>
  <si>
    <t>0,01-1,5 microg/kg/min</t>
  </si>
  <si>
    <t>0,25-3 mg/kg/uur</t>
  </si>
  <si>
    <t xml:space="preserve">5-7 mg/kg/uur </t>
  </si>
  <si>
    <t>0,05-0,5 mg/kg/uur</t>
  </si>
  <si>
    <t>0,25-0,75 microg/kg/min</t>
  </si>
  <si>
    <t>0,125-0,5 mg/kg/dag</t>
  </si>
  <si>
    <t>0,5 -2 microg/kg/min</t>
  </si>
  <si>
    <t>0,5-8 microg/kg/min</t>
  </si>
  <si>
    <t>0,05-2 microg/kg/min</t>
  </si>
  <si>
    <t>0,3-2,2 mg/kg/uur</t>
  </si>
  <si>
    <t>doxapram</t>
  </si>
  <si>
    <t>H2.02.box</t>
  </si>
  <si>
    <t>BSA</t>
  </si>
  <si>
    <t>MedDisc</t>
  </si>
  <si>
    <t>28</t>
  </si>
  <si>
    <t>29</t>
  </si>
  <si>
    <t>30</t>
  </si>
  <si>
    <t>Kreat</t>
  </si>
  <si>
    <t>PedMedCont</t>
  </si>
  <si>
    <t>PedAccess</t>
  </si>
  <si>
    <t>PedPM</t>
  </si>
  <si>
    <t>PedLab</t>
  </si>
  <si>
    <t>PedAfspr</t>
  </si>
  <si>
    <t>PedIntake</t>
  </si>
  <si>
    <t>Vocht</t>
  </si>
  <si>
    <t>Energy</t>
  </si>
  <si>
    <t>Vitamine D</t>
  </si>
  <si>
    <t>Ijzer</t>
  </si>
  <si>
    <t>19:00uur</t>
  </si>
  <si>
    <t>14:00uur</t>
  </si>
  <si>
    <t>24:00uur</t>
  </si>
  <si>
    <t>06:00uur</t>
  </si>
  <si>
    <t>PedTPN</t>
  </si>
  <si>
    <t>SST1</t>
  </si>
  <si>
    <t>SST2</t>
  </si>
  <si>
    <t>Nutriflex</t>
  </si>
  <si>
    <t>CaMg</t>
  </si>
  <si>
    <t>KNaP</t>
  </si>
  <si>
    <t>Lipid</t>
  </si>
  <si>
    <t>Ingred</t>
  </si>
  <si>
    <t>TotDag</t>
  </si>
  <si>
    <t>Indic</t>
  </si>
  <si>
    <t>OplHoev</t>
  </si>
  <si>
    <t>OplKeuze</t>
  </si>
  <si>
    <t>Tijd</t>
  </si>
  <si>
    <t>Extra</t>
  </si>
  <si>
    <t>NeoArtLijn</t>
  </si>
  <si>
    <t>NeoMedCont</t>
  </si>
  <si>
    <t>NeoZijLijn</t>
  </si>
  <si>
    <t>Perc</t>
  </si>
  <si>
    <t>NeoTPN</t>
  </si>
  <si>
    <t>SST</t>
  </si>
  <si>
    <t>NeoLab</t>
  </si>
  <si>
    <t>12:00uur</t>
  </si>
  <si>
    <t>16:00uur</t>
  </si>
  <si>
    <t>20:00uur</t>
  </si>
  <si>
    <t>04:00uur</t>
  </si>
  <si>
    <t>Zat 08:00uur</t>
  </si>
  <si>
    <t>NeoAfspr</t>
  </si>
  <si>
    <t>Geslacht</t>
  </si>
  <si>
    <t>PedTPN.SST1</t>
  </si>
  <si>
    <t>PedTPN.SST2</t>
  </si>
  <si>
    <t>PedTPN.Nutriflex</t>
  </si>
  <si>
    <t>PedTPN.Peditrace</t>
  </si>
  <si>
    <t>PedTPN.CaMg</t>
  </si>
  <si>
    <t>PedTPN.KNaP</t>
  </si>
  <si>
    <t>PedTPN.Lipid</t>
  </si>
  <si>
    <t>_Pat_Geslacht</t>
  </si>
  <si>
    <t>PatDetails!$B$12</t>
  </si>
  <si>
    <t>NeoPrtApoth!$A$1:$Q$61</t>
  </si>
  <si>
    <t>NeoTblMedIV!$B$3:$V$26</t>
  </si>
  <si>
    <t>NeoTblLijst!$A$2:$B$17</t>
  </si>
  <si>
    <t>PatDetails!$B$31</t>
  </si>
  <si>
    <t>PatDetails!$B$20</t>
  </si>
  <si>
    <t>PatDetails!$B$15</t>
  </si>
  <si>
    <t>NeoPrtApoth!$G$4</t>
  </si>
  <si>
    <t>Var_Neo_InfB_Cont_DubbeleHoev</t>
  </si>
  <si>
    <t>TimeStamp</t>
  </si>
  <si>
    <t>weken</t>
  </si>
  <si>
    <t>dagen</t>
  </si>
  <si>
    <t>TG</t>
  </si>
  <si>
    <t>OplVol</t>
  </si>
  <si>
    <t>Tot Txt</t>
  </si>
  <si>
    <t>Mnd 08:00uur</t>
  </si>
  <si>
    <t>Zon 08:00uur</t>
  </si>
  <si>
    <t>Afspraken</t>
  </si>
  <si>
    <t>Nummer</t>
  </si>
  <si>
    <t>GebDat</t>
  </si>
  <si>
    <t>Gravid</t>
  </si>
  <si>
    <t>PedEnt</t>
  </si>
  <si>
    <t>Toev.01</t>
  </si>
  <si>
    <t>Toev.02</t>
  </si>
  <si>
    <t>Voed.01</t>
  </si>
  <si>
    <t>Voed.02</t>
  </si>
  <si>
    <t>ToevMM.01</t>
  </si>
  <si>
    <t>ToevMM.02</t>
  </si>
  <si>
    <t>ToevMM.03</t>
  </si>
  <si>
    <t>ToevMM.04</t>
  </si>
  <si>
    <t>ToevMM.05</t>
  </si>
  <si>
    <t>ToevKV.01</t>
  </si>
  <si>
    <t>ToevKV.02</t>
  </si>
  <si>
    <t>ToevKV.03</t>
  </si>
  <si>
    <t>ToevKV.04</t>
  </si>
  <si>
    <t>NeoEnt</t>
  </si>
  <si>
    <t>Tekst.01</t>
  </si>
  <si>
    <t>Tekst.02</t>
  </si>
  <si>
    <t>Voed</t>
  </si>
  <si>
    <t>Toeg</t>
  </si>
  <si>
    <t>Leeuw 1-3</t>
  </si>
  <si>
    <t>DECLARE @patId AS int</t>
  </si>
  <si>
    <t>DECLARE @patNum AS nvarchar(40)</t>
  </si>
  <si>
    <t>DECLARE @bd AS int</t>
  </si>
  <si>
    <t>DECLARE @weightKg AS int</t>
  </si>
  <si>
    <t>DECLARE @weightGr AS int</t>
  </si>
  <si>
    <t>DECLARE @bwGr AS int</t>
  </si>
  <si>
    <t>DECLARE @length AS int</t>
  </si>
  <si>
    <t>DECLARE @adD AS int</t>
  </si>
  <si>
    <t>DECLARE @adW AS int</t>
  </si>
  <si>
    <t>SET @bd = 5372</t>
  </si>
  <si>
    <t>SET @weightKg = 8365</t>
  </si>
  <si>
    <t>SET @weightGr = 8456</t>
  </si>
  <si>
    <t>SET @bwGr = 7734</t>
  </si>
  <si>
    <t>SET @adD = 10213</t>
  </si>
  <si>
    <t>SET @adW = 10214</t>
  </si>
  <si>
    <t>SET @length = 9505</t>
  </si>
  <si>
    <t>SELECT DISTINCT</t>
  </si>
  <si>
    <t>FROM PatientLogs pl</t>
  </si>
  <si>
    <t>LEFT JOIN LogicalUnits lu ON lu.LogicalUnitID = pl.LogicalUnitID</t>
  </si>
  <si>
    <t xml:space="preserve">WHERE </t>
  </si>
  <si>
    <t>AND (@patNum IS NULL OR pl.HospitalNumber = @patNum)</t>
  </si>
  <si>
    <t>DECLARE @gesl AS int</t>
  </si>
  <si>
    <t>SET @gesl = 5373</t>
  </si>
  <si>
    <t>pl.PatientID</t>
  </si>
  <si>
    <t>, pl.HospitalNumber</t>
  </si>
  <si>
    <t>, pl.LastName</t>
  </si>
  <si>
    <t>, pl.FirstName</t>
  </si>
  <si>
    <t xml:space="preserve">, (SELECT TOP 1 s.value / 1000 </t>
  </si>
  <si>
    <t xml:space="preserve">   FROM Signals s </t>
  </si>
  <si>
    <t xml:space="preserve">   WHERE s.PatientID = pl.PatientID AND s.ParameterID = @weightKg </t>
  </si>
  <si>
    <t xml:space="preserve">   ORDER BY s.Time DESC) WeightKg</t>
  </si>
  <si>
    <t xml:space="preserve">, (SELECT TOP 1 s.Value </t>
  </si>
  <si>
    <t xml:space="preserve">   WHERE s.PatientID = pl.PatientID AND s.ParameterID = @weightGr </t>
  </si>
  <si>
    <t xml:space="preserve">   ORDER BY s.Time DESC) WeightGr</t>
  </si>
  <si>
    <t xml:space="preserve">, (SELECT TOP 1 s.value * 100 </t>
  </si>
  <si>
    <t xml:space="preserve">   WHERE s.PatientID = pl.PatientID AND s.ParameterID = @length </t>
  </si>
  <si>
    <t xml:space="preserve">   ORDER BY s.Time DESC) LengthCm</t>
  </si>
  <si>
    <t xml:space="preserve">   WHERE s.PatientID = pl.PatientID AND s.ParameterID = @bwGr </t>
  </si>
  <si>
    <t xml:space="preserve">   ORDER BY s.Time DESC) BirthWeightGr</t>
  </si>
  <si>
    <t xml:space="preserve">, (SELECT TOP 1 s.value / (60 * 24) </t>
  </si>
  <si>
    <t xml:space="preserve">   WHERE s.PatientID = pl.PatientID AND s.ParameterID = @adD ORDER BY s.Time DESC) PregnDays</t>
  </si>
  <si>
    <t xml:space="preserve">, (SELECT TOP 1 s.value / (7 * 60 * 24) FROM Signals s WHERE s.PatientID = pl.PatientID AND s.ParameterID = @adW </t>
  </si>
  <si>
    <t xml:space="preserve">   ORDER BY s.Time DESC) PregnWeeks</t>
  </si>
  <si>
    <t xml:space="preserve">, (SELECT TOP 1 pt.Text </t>
  </si>
  <si>
    <t xml:space="preserve">   FROM ParametersText pt </t>
  </si>
  <si>
    <t xml:space="preserve">   INNER JOIN TextSignals ts ON pt.ParameterID = ts.ParameterID AND pt.TextID = ts.TextID </t>
  </si>
  <si>
    <t xml:space="preserve">   INNER JOIN Parameters p ON p.ParameterID = ts.ParameterID</t>
  </si>
  <si>
    <t xml:space="preserve">   WHERE ts.PatientID = pl.PatientID AND p.ParameterID = @Gesl</t>
  </si>
  <si>
    <t xml:space="preserve">   ORDER BY ts.Time DESC) Geslacht</t>
  </si>
  <si>
    <t>, lu.Name Department</t>
  </si>
  <si>
    <t>, b.BedName</t>
  </si>
  <si>
    <t>, pl.LocationFromTime</t>
  </si>
  <si>
    <t>Geslacht:</t>
  </si>
  <si>
    <t xml:space="preserve">Geslacht: </t>
  </si>
  <si>
    <t>Leeuw 1-1</t>
  </si>
  <si>
    <t>Leeuw 1-2</t>
  </si>
  <si>
    <t>Leeuw 1-4</t>
  </si>
  <si>
    <t>Leeuw 2-1</t>
  </si>
  <si>
    <t>Leeuw 2-2</t>
  </si>
  <si>
    <t>Leeuw 2-3</t>
  </si>
  <si>
    <t>Leeuw 3-1</t>
  </si>
  <si>
    <t>Leeuw 4-1</t>
  </si>
  <si>
    <t>Leeuw 4-2</t>
  </si>
  <si>
    <t>Leeuw 4-3</t>
  </si>
  <si>
    <t>Leeuw 5-1</t>
  </si>
  <si>
    <t>Leeuw 5-2</t>
  </si>
  <si>
    <t>Leeuw 5-3</t>
  </si>
  <si>
    <t>Leeuw 5-4</t>
  </si>
  <si>
    <t>Leeuw 5-5</t>
  </si>
  <si>
    <t>H2.03.box</t>
  </si>
  <si>
    <t>H3.01.box</t>
  </si>
  <si>
    <t>DECLARE @bed AS nvarchar(100)</t>
  </si>
  <si>
    <t>1 x / 36 uur</t>
  </si>
  <si>
    <t>24 x / dag</t>
  </si>
  <si>
    <t>Onder</t>
  </si>
  <si>
    <t>Boven</t>
  </si>
  <si>
    <t>ErrOnd</t>
  </si>
  <si>
    <t>ErrBov</t>
  </si>
  <si>
    <t>MaxConc</t>
  </si>
  <si>
    <t>OplVlst</t>
  </si>
  <si>
    <t>MinTijd</t>
  </si>
  <si>
    <t>ErrConc</t>
  </si>
  <si>
    <t>ErrVlst</t>
  </si>
  <si>
    <t>ErrTijd</t>
  </si>
  <si>
    <t>GlobBerMedDisc!$AU$2</t>
  </si>
  <si>
    <t>_Glob_MedDisc_Boven_01</t>
  </si>
  <si>
    <t>GlobBerMedDisc!$AU$3</t>
  </si>
  <si>
    <t>_Glob_MedDisc_Boven_02</t>
  </si>
  <si>
    <t>GlobBerMedDisc!$AU$4</t>
  </si>
  <si>
    <t>_Glob_MedDisc_Boven_03</t>
  </si>
  <si>
    <t>GlobBerMedDisc!$AU$5</t>
  </si>
  <si>
    <t>_Glob_MedDisc_Boven_04</t>
  </si>
  <si>
    <t>GlobBerMedDisc!$AU$6</t>
  </si>
  <si>
    <t>_Glob_MedDisc_Boven_05</t>
  </si>
  <si>
    <t>GlobBerMedDisc!$AU$7</t>
  </si>
  <si>
    <t>_Glob_MedDisc_Boven_06</t>
  </si>
  <si>
    <t>GlobBerMedDisc!$AU$8</t>
  </si>
  <si>
    <t>_Glob_MedDisc_Boven_07</t>
  </si>
  <si>
    <t>GlobBerMedDisc!$AU$9</t>
  </si>
  <si>
    <t>_Glob_MedDisc_Boven_08</t>
  </si>
  <si>
    <t>GlobBerMedDisc!$AU$10</t>
  </si>
  <si>
    <t>_Glob_MedDisc_Boven_09</t>
  </si>
  <si>
    <t>GlobBerMedDisc!$AU$11</t>
  </si>
  <si>
    <t>_Glob_MedDisc_Boven_10</t>
  </si>
  <si>
    <t>GlobBerMedDisc!$AU$12</t>
  </si>
  <si>
    <t>_Glob_MedDisc_Boven_11</t>
  </si>
  <si>
    <t>GlobBerMedDisc!$AU$13</t>
  </si>
  <si>
    <t>_Glob_MedDisc_Boven_12</t>
  </si>
  <si>
    <t>GlobBerMedDisc!$AU$14</t>
  </si>
  <si>
    <t>_Glob_MedDisc_Boven_13</t>
  </si>
  <si>
    <t>GlobBerMedDisc!$AU$15</t>
  </si>
  <si>
    <t>_Glob_MedDisc_Boven_14</t>
  </si>
  <si>
    <t>GlobBerMedDisc!$AU$16</t>
  </si>
  <si>
    <t>_Glob_MedDisc_Boven_15</t>
  </si>
  <si>
    <t>GlobBerMedDisc!$AU$17</t>
  </si>
  <si>
    <t>_Glob_MedDisc_Boven_16</t>
  </si>
  <si>
    <t>GlobBerMedDisc!$AU$18</t>
  </si>
  <si>
    <t>_Glob_MedDisc_Boven_17</t>
  </si>
  <si>
    <t>GlobBerMedDisc!$AU$19</t>
  </si>
  <si>
    <t>_Glob_MedDisc_Boven_18</t>
  </si>
  <si>
    <t>GlobBerMedDisc!$AU$20</t>
  </si>
  <si>
    <t>_Glob_MedDisc_Boven_19</t>
  </si>
  <si>
    <t>GlobBerMedDisc!$AU$21</t>
  </si>
  <si>
    <t>_Glob_MedDisc_Boven_20</t>
  </si>
  <si>
    <t>GlobBerMedDisc!$AU$22</t>
  </si>
  <si>
    <t>_Glob_MedDisc_Boven_21</t>
  </si>
  <si>
    <t>GlobBerMedDisc!$AU$23</t>
  </si>
  <si>
    <t>_Glob_MedDisc_Boven_22</t>
  </si>
  <si>
    <t>GlobBerMedDisc!$AU$24</t>
  </si>
  <si>
    <t>_Glob_MedDisc_Boven_23</t>
  </si>
  <si>
    <t>GlobBerMedDisc!$AU$25</t>
  </si>
  <si>
    <t>_Glob_MedDisc_Boven_24</t>
  </si>
  <si>
    <t>GlobBerMedDisc!$AU$26</t>
  </si>
  <si>
    <t>_Glob_MedDisc_Boven_25</t>
  </si>
  <si>
    <t>GlobBerMedDisc!$AU$27</t>
  </si>
  <si>
    <t>_Glob_MedDisc_Boven_26</t>
  </si>
  <si>
    <t>GlobBerMedDisc!$AU$28</t>
  </si>
  <si>
    <t>_Glob_MedDisc_Boven_27</t>
  </si>
  <si>
    <t>GlobBerMedDisc!$AU$29</t>
  </si>
  <si>
    <t>_Glob_MedDisc_Boven_28</t>
  </si>
  <si>
    <t>GlobBerMedDisc!$AU$30</t>
  </si>
  <si>
    <t>_Glob_MedDisc_Boven_29</t>
  </si>
  <si>
    <t>GlobBerMedDisc!$AU$31</t>
  </si>
  <si>
    <t>_Glob_MedDisc_Boven_30</t>
  </si>
  <si>
    <t>GlobBerMedDisc!$AM$2</t>
  </si>
  <si>
    <t>GlobBerMedDisc!$AM$3</t>
  </si>
  <si>
    <t>GlobBerMedDisc!$AM$4</t>
  </si>
  <si>
    <t>GlobBerMedDisc!$AM$5</t>
  </si>
  <si>
    <t>GlobBerMedDisc!$AM$6</t>
  </si>
  <si>
    <t>GlobBerMedDisc!$AM$7</t>
  </si>
  <si>
    <t>GlobBerMedDisc!$AM$8</t>
  </si>
  <si>
    <t>GlobBerMedDisc!$AM$9</t>
  </si>
  <si>
    <t>GlobBerMedDisc!$AM$10</t>
  </si>
  <si>
    <t>GlobBerMedDisc!$AM$11</t>
  </si>
  <si>
    <t>GlobBerMedDisc!$AM$12</t>
  </si>
  <si>
    <t>GlobBerMedDisc!$AM$13</t>
  </si>
  <si>
    <t>GlobBerMedDisc!$AM$14</t>
  </si>
  <si>
    <t>GlobBerMedDisc!$AM$15</t>
  </si>
  <si>
    <t>GlobBerMedDisc!$AM$16</t>
  </si>
  <si>
    <t>GlobBerMedDisc!$AM$17</t>
  </si>
  <si>
    <t>GlobBerMedDisc!$AM$18</t>
  </si>
  <si>
    <t>GlobBerMedDisc!$AM$19</t>
  </si>
  <si>
    <t>GlobBerMedDisc!$AM$20</t>
  </si>
  <si>
    <t>GlobBerMedDisc!$AM$21</t>
  </si>
  <si>
    <t>GlobBerMedDisc!$AM$22</t>
  </si>
  <si>
    <t>GlobBerMedDisc!$AM$23</t>
  </si>
  <si>
    <t>GlobBerMedDisc!$AM$24</t>
  </si>
  <si>
    <t>GlobBerMedDisc!$AM$25</t>
  </si>
  <si>
    <t>GlobBerMedDisc!$AM$26</t>
  </si>
  <si>
    <t>GlobBerMedDisc!$AM$27</t>
  </si>
  <si>
    <t>GlobBerMedDisc!$AM$28</t>
  </si>
  <si>
    <t>GlobBerMedDisc!$AM$29</t>
  </si>
  <si>
    <t>GlobBerMedDisc!$AM$30</t>
  </si>
  <si>
    <t>GlobBerMedDisc!$AM$31</t>
  </si>
  <si>
    <t>GlobBerMedDisc!$AX$2</t>
  </si>
  <si>
    <t>_Glob_MedDisc_MaxConc_01</t>
  </si>
  <si>
    <t>GlobBerMedDisc!$AX$3</t>
  </si>
  <si>
    <t>_Glob_MedDisc_MaxConc_02</t>
  </si>
  <si>
    <t>GlobBerMedDisc!$AX$4</t>
  </si>
  <si>
    <t>_Glob_MedDisc_MaxConc_03</t>
  </si>
  <si>
    <t>GlobBerMedDisc!$AX$5</t>
  </si>
  <si>
    <t>_Glob_MedDisc_MaxConc_04</t>
  </si>
  <si>
    <t>GlobBerMedDisc!$AX$6</t>
  </si>
  <si>
    <t>_Glob_MedDisc_MaxConc_05</t>
  </si>
  <si>
    <t>GlobBerMedDisc!$AX$7</t>
  </si>
  <si>
    <t>_Glob_MedDisc_MaxConc_06</t>
  </si>
  <si>
    <t>GlobBerMedDisc!$AX$8</t>
  </si>
  <si>
    <t>_Glob_MedDisc_MaxConc_07</t>
  </si>
  <si>
    <t>GlobBerMedDisc!$AX$9</t>
  </si>
  <si>
    <t>_Glob_MedDisc_MaxConc_08</t>
  </si>
  <si>
    <t>GlobBerMedDisc!$AX$10</t>
  </si>
  <si>
    <t>_Glob_MedDisc_MaxConc_09</t>
  </si>
  <si>
    <t>GlobBerMedDisc!$AX$11</t>
  </si>
  <si>
    <t>_Glob_MedDisc_MaxConc_10</t>
  </si>
  <si>
    <t>GlobBerMedDisc!$AX$12</t>
  </si>
  <si>
    <t>_Glob_MedDisc_MaxConc_11</t>
  </si>
  <si>
    <t>GlobBerMedDisc!$AX$13</t>
  </si>
  <si>
    <t>_Glob_MedDisc_MaxConc_12</t>
  </si>
  <si>
    <t>GlobBerMedDisc!$AX$14</t>
  </si>
  <si>
    <t>_Glob_MedDisc_MaxConc_13</t>
  </si>
  <si>
    <t>GlobBerMedDisc!$AX$15</t>
  </si>
  <si>
    <t>_Glob_MedDisc_MaxConc_14</t>
  </si>
  <si>
    <t>GlobBerMedDisc!$AX$16</t>
  </si>
  <si>
    <t>_Glob_MedDisc_MaxConc_15</t>
  </si>
  <si>
    <t>GlobBerMedDisc!$AX$17</t>
  </si>
  <si>
    <t>_Glob_MedDisc_MaxConc_16</t>
  </si>
  <si>
    <t>GlobBerMedDisc!$AX$18</t>
  </si>
  <si>
    <t>_Glob_MedDisc_MaxConc_17</t>
  </si>
  <si>
    <t>GlobBerMedDisc!$AX$19</t>
  </si>
  <si>
    <t>_Glob_MedDisc_MaxConc_18</t>
  </si>
  <si>
    <t>GlobBerMedDisc!$AX$20</t>
  </si>
  <si>
    <t>_Glob_MedDisc_MaxConc_19</t>
  </si>
  <si>
    <t>GlobBerMedDisc!$AX$21</t>
  </si>
  <si>
    <t>_Glob_MedDisc_MaxConc_20</t>
  </si>
  <si>
    <t>GlobBerMedDisc!$AX$22</t>
  </si>
  <si>
    <t>_Glob_MedDisc_MaxConc_21</t>
  </si>
  <si>
    <t>GlobBerMedDisc!$AX$23</t>
  </si>
  <si>
    <t>_Glob_MedDisc_MaxConc_22</t>
  </si>
  <si>
    <t>GlobBerMedDisc!$AX$24</t>
  </si>
  <si>
    <t>_Glob_MedDisc_MaxConc_23</t>
  </si>
  <si>
    <t>GlobBerMedDisc!$AX$25</t>
  </si>
  <si>
    <t>_Glob_MedDisc_MaxConc_24</t>
  </si>
  <si>
    <t>GlobBerMedDisc!$AX$26</t>
  </si>
  <si>
    <t>_Glob_MedDisc_MaxConc_25</t>
  </si>
  <si>
    <t>GlobBerMedDisc!$AX$27</t>
  </si>
  <si>
    <t>_Glob_MedDisc_MaxConc_26</t>
  </si>
  <si>
    <t>GlobBerMedDisc!$AX$28</t>
  </si>
  <si>
    <t>_Glob_MedDisc_MaxConc_27</t>
  </si>
  <si>
    <t>GlobBerMedDisc!$AX$29</t>
  </si>
  <si>
    <t>_Glob_MedDisc_MaxConc_28</t>
  </si>
  <si>
    <t>GlobBerMedDisc!$AX$30</t>
  </si>
  <si>
    <t>_Glob_MedDisc_MaxConc_29</t>
  </si>
  <si>
    <t>GlobBerMedDisc!$AX$31</t>
  </si>
  <si>
    <t>_Glob_MedDisc_MaxConc_30</t>
  </si>
  <si>
    <t>GlobBerMedDisc!$AZ$2</t>
  </si>
  <si>
    <t>_Glob_MedDisc_MinTijd_01</t>
  </si>
  <si>
    <t>GlobBerMedDisc!$AZ$3</t>
  </si>
  <si>
    <t>_Glob_MedDisc_MinTijd_02</t>
  </si>
  <si>
    <t>GlobBerMedDisc!$AZ$4</t>
  </si>
  <si>
    <t>_Glob_MedDisc_MinTijd_03</t>
  </si>
  <si>
    <t>GlobBerMedDisc!$AZ$5</t>
  </si>
  <si>
    <t>_Glob_MedDisc_MinTijd_04</t>
  </si>
  <si>
    <t>GlobBerMedDisc!$AZ$6</t>
  </si>
  <si>
    <t>_Glob_MedDisc_MinTijd_05</t>
  </si>
  <si>
    <t>GlobBerMedDisc!$AZ$7</t>
  </si>
  <si>
    <t>_Glob_MedDisc_MinTijd_06</t>
  </si>
  <si>
    <t>GlobBerMedDisc!$AZ$8</t>
  </si>
  <si>
    <t>_Glob_MedDisc_MinTijd_07</t>
  </si>
  <si>
    <t>GlobBerMedDisc!$AZ$9</t>
  </si>
  <si>
    <t>_Glob_MedDisc_MinTijd_08</t>
  </si>
  <si>
    <t>GlobBerMedDisc!$AZ$10</t>
  </si>
  <si>
    <t>_Glob_MedDisc_MinTijd_09</t>
  </si>
  <si>
    <t>GlobBerMedDisc!$AZ$11</t>
  </si>
  <si>
    <t>_Glob_MedDisc_MinTijd_10</t>
  </si>
  <si>
    <t>GlobBerMedDisc!$AZ$12</t>
  </si>
  <si>
    <t>_Glob_MedDisc_MinTijd_11</t>
  </si>
  <si>
    <t>GlobBerMedDisc!$AZ$13</t>
  </si>
  <si>
    <t>_Glob_MedDisc_MinTijd_12</t>
  </si>
  <si>
    <t>GlobBerMedDisc!$AZ$14</t>
  </si>
  <si>
    <t>_Glob_MedDisc_MinTijd_13</t>
  </si>
  <si>
    <t>GlobBerMedDisc!$AZ$15</t>
  </si>
  <si>
    <t>_Glob_MedDisc_MinTijd_14</t>
  </si>
  <si>
    <t>GlobBerMedDisc!$AZ$16</t>
  </si>
  <si>
    <t>_Glob_MedDisc_MinTijd_15</t>
  </si>
  <si>
    <t>GlobBerMedDisc!$AZ$17</t>
  </si>
  <si>
    <t>_Glob_MedDisc_MinTijd_16</t>
  </si>
  <si>
    <t>GlobBerMedDisc!$AZ$18</t>
  </si>
  <si>
    <t>_Glob_MedDisc_MinTijd_17</t>
  </si>
  <si>
    <t>GlobBerMedDisc!$AZ$19</t>
  </si>
  <si>
    <t>_Glob_MedDisc_MinTijd_18</t>
  </si>
  <si>
    <t>GlobBerMedDisc!$AZ$20</t>
  </si>
  <si>
    <t>_Glob_MedDisc_MinTijd_19</t>
  </si>
  <si>
    <t>GlobBerMedDisc!$AZ$21</t>
  </si>
  <si>
    <t>_Glob_MedDisc_MinTijd_20</t>
  </si>
  <si>
    <t>GlobBerMedDisc!$AZ$22</t>
  </si>
  <si>
    <t>_Glob_MedDisc_MinTijd_21</t>
  </si>
  <si>
    <t>GlobBerMedDisc!$AZ$23</t>
  </si>
  <si>
    <t>_Glob_MedDisc_MinTijd_22</t>
  </si>
  <si>
    <t>GlobBerMedDisc!$AZ$24</t>
  </si>
  <si>
    <t>_Glob_MedDisc_MinTijd_23</t>
  </si>
  <si>
    <t>GlobBerMedDisc!$AZ$25</t>
  </si>
  <si>
    <t>_Glob_MedDisc_MinTijd_24</t>
  </si>
  <si>
    <t>GlobBerMedDisc!$AZ$26</t>
  </si>
  <si>
    <t>_Glob_MedDisc_MinTijd_25</t>
  </si>
  <si>
    <t>GlobBerMedDisc!$AZ$27</t>
  </si>
  <si>
    <t>_Glob_MedDisc_MinTijd_26</t>
  </si>
  <si>
    <t>GlobBerMedDisc!$AZ$28</t>
  </si>
  <si>
    <t>_Glob_MedDisc_MinTijd_27</t>
  </si>
  <si>
    <t>GlobBerMedDisc!$AZ$29</t>
  </si>
  <si>
    <t>_Glob_MedDisc_MinTijd_28</t>
  </si>
  <si>
    <t>GlobBerMedDisc!$AZ$30</t>
  </si>
  <si>
    <t>_Glob_MedDisc_MinTijd_29</t>
  </si>
  <si>
    <t>GlobBerMedDisc!$AZ$31</t>
  </si>
  <si>
    <t>_Glob_MedDisc_MinTijd_30</t>
  </si>
  <si>
    <t>GlobBerMedDisc!$AT$2</t>
  </si>
  <si>
    <t>_Glob_MedDisc_Onder_01</t>
  </si>
  <si>
    <t>GlobBerMedDisc!$AT$3</t>
  </si>
  <si>
    <t>_Glob_MedDisc_Onder_02</t>
  </si>
  <si>
    <t>GlobBerMedDisc!$AT$4</t>
  </si>
  <si>
    <t>_Glob_MedDisc_Onder_03</t>
  </si>
  <si>
    <t>GlobBerMedDisc!$AT$5</t>
  </si>
  <si>
    <t>_Glob_MedDisc_Onder_04</t>
  </si>
  <si>
    <t>GlobBerMedDisc!$AT$6</t>
  </si>
  <si>
    <t>_Glob_MedDisc_Onder_05</t>
  </si>
  <si>
    <t>GlobBerMedDisc!$AT$7</t>
  </si>
  <si>
    <t>_Glob_MedDisc_Onder_06</t>
  </si>
  <si>
    <t>GlobBerMedDisc!$AT$8</t>
  </si>
  <si>
    <t>_Glob_MedDisc_Onder_07</t>
  </si>
  <si>
    <t>GlobBerMedDisc!$AT$9</t>
  </si>
  <si>
    <t>_Glob_MedDisc_Onder_08</t>
  </si>
  <si>
    <t>GlobBerMedDisc!$AT$10</t>
  </si>
  <si>
    <t>_Glob_MedDisc_Onder_09</t>
  </si>
  <si>
    <t>GlobBerMedDisc!$AT$11</t>
  </si>
  <si>
    <t>_Glob_MedDisc_Onder_10</t>
  </si>
  <si>
    <t>GlobBerMedDisc!$AT$12</t>
  </si>
  <si>
    <t>_Glob_MedDisc_Onder_11</t>
  </si>
  <si>
    <t>GlobBerMedDisc!$AT$13</t>
  </si>
  <si>
    <t>_Glob_MedDisc_Onder_12</t>
  </si>
  <si>
    <t>GlobBerMedDisc!$AT$14</t>
  </si>
  <si>
    <t>_Glob_MedDisc_Onder_13</t>
  </si>
  <si>
    <t>GlobBerMedDisc!$AT$15</t>
  </si>
  <si>
    <t>_Glob_MedDisc_Onder_14</t>
  </si>
  <si>
    <t>GlobBerMedDisc!$AT$16</t>
  </si>
  <si>
    <t>_Glob_MedDisc_Onder_15</t>
  </si>
  <si>
    <t>GlobBerMedDisc!$AT$17</t>
  </si>
  <si>
    <t>_Glob_MedDisc_Onder_16</t>
  </si>
  <si>
    <t>GlobBerMedDisc!$AT$18</t>
  </si>
  <si>
    <t>_Glob_MedDisc_Onder_17</t>
  </si>
  <si>
    <t>GlobBerMedDisc!$AT$19</t>
  </si>
  <si>
    <t>_Glob_MedDisc_Onder_18</t>
  </si>
  <si>
    <t>GlobBerMedDisc!$AT$20</t>
  </si>
  <si>
    <t>_Glob_MedDisc_Onder_19</t>
  </si>
  <si>
    <t>GlobBerMedDisc!$AT$21</t>
  </si>
  <si>
    <t>_Glob_MedDisc_Onder_20</t>
  </si>
  <si>
    <t>GlobBerMedDisc!$AT$22</t>
  </si>
  <si>
    <t>_Glob_MedDisc_Onder_21</t>
  </si>
  <si>
    <t>GlobBerMedDisc!$AT$23</t>
  </si>
  <si>
    <t>_Glob_MedDisc_Onder_22</t>
  </si>
  <si>
    <t>GlobBerMedDisc!$AT$24</t>
  </si>
  <si>
    <t>_Glob_MedDisc_Onder_23</t>
  </si>
  <si>
    <t>GlobBerMedDisc!$AT$25</t>
  </si>
  <si>
    <t>_Glob_MedDisc_Onder_24</t>
  </si>
  <si>
    <t>GlobBerMedDisc!$AT$26</t>
  </si>
  <si>
    <t>_Glob_MedDisc_Onder_25</t>
  </si>
  <si>
    <t>GlobBerMedDisc!$AT$27</t>
  </si>
  <si>
    <t>_Glob_MedDisc_Onder_26</t>
  </si>
  <si>
    <t>GlobBerMedDisc!$AT$28</t>
  </si>
  <si>
    <t>_Glob_MedDisc_Onder_27</t>
  </si>
  <si>
    <t>GlobBerMedDisc!$AT$29</t>
  </si>
  <si>
    <t>_Glob_MedDisc_Onder_28</t>
  </si>
  <si>
    <t>GlobBerMedDisc!$AT$30</t>
  </si>
  <si>
    <t>_Glob_MedDisc_Onder_29</t>
  </si>
  <si>
    <t>GlobBerMedDisc!$AT$31</t>
  </si>
  <si>
    <t>_Glob_MedDisc_Onder_30</t>
  </si>
  <si>
    <t>GlobBerMedDisc!$AY$2</t>
  </si>
  <si>
    <t>_Glob_MedDisc_OplVlst_01</t>
  </si>
  <si>
    <t>GlobBerMedDisc!$AY$3</t>
  </si>
  <si>
    <t>_Glob_MedDisc_OplVlst_02</t>
  </si>
  <si>
    <t>GlobBerMedDisc!$AY$4</t>
  </si>
  <si>
    <t>_Glob_MedDisc_OplVlst_03</t>
  </si>
  <si>
    <t>GlobBerMedDisc!$AY$5</t>
  </si>
  <si>
    <t>_Glob_MedDisc_OplVlst_04</t>
  </si>
  <si>
    <t>GlobBerMedDisc!$AY$6</t>
  </si>
  <si>
    <t>_Glob_MedDisc_OplVlst_05</t>
  </si>
  <si>
    <t>GlobBerMedDisc!$AY$7</t>
  </si>
  <si>
    <t>_Glob_MedDisc_OplVlst_06</t>
  </si>
  <si>
    <t>GlobBerMedDisc!$AY$8</t>
  </si>
  <si>
    <t>_Glob_MedDisc_OplVlst_07</t>
  </si>
  <si>
    <t>GlobBerMedDisc!$AY$9</t>
  </si>
  <si>
    <t>_Glob_MedDisc_OplVlst_08</t>
  </si>
  <si>
    <t>GlobBerMedDisc!$AY$10</t>
  </si>
  <si>
    <t>_Glob_MedDisc_OplVlst_09</t>
  </si>
  <si>
    <t>GlobBerMedDisc!$AY$11</t>
  </si>
  <si>
    <t>_Glob_MedDisc_OplVlst_10</t>
  </si>
  <si>
    <t>GlobBerMedDisc!$AY$12</t>
  </si>
  <si>
    <t>_Glob_MedDisc_OplVlst_11</t>
  </si>
  <si>
    <t>GlobBerMedDisc!$AY$13</t>
  </si>
  <si>
    <t>_Glob_MedDisc_OplVlst_12</t>
  </si>
  <si>
    <t>GlobBerMedDisc!$AY$14</t>
  </si>
  <si>
    <t>_Glob_MedDisc_OplVlst_13</t>
  </si>
  <si>
    <t>GlobBerMedDisc!$AY$15</t>
  </si>
  <si>
    <t>_Glob_MedDisc_OplVlst_14</t>
  </si>
  <si>
    <t>GlobBerMedDisc!$AY$16</t>
  </si>
  <si>
    <t>_Glob_MedDisc_OplVlst_15</t>
  </si>
  <si>
    <t>GlobBerMedDisc!$AY$17</t>
  </si>
  <si>
    <t>_Glob_MedDisc_OplVlst_16</t>
  </si>
  <si>
    <t>GlobBerMedDisc!$AY$18</t>
  </si>
  <si>
    <t>_Glob_MedDisc_OplVlst_17</t>
  </si>
  <si>
    <t>GlobBerMedDisc!$AY$19</t>
  </si>
  <si>
    <t>_Glob_MedDisc_OplVlst_18</t>
  </si>
  <si>
    <t>GlobBerMedDisc!$AY$20</t>
  </si>
  <si>
    <t>_Glob_MedDisc_OplVlst_19</t>
  </si>
  <si>
    <t>GlobBerMedDisc!$AY$21</t>
  </si>
  <si>
    <t>_Glob_MedDisc_OplVlst_20</t>
  </si>
  <si>
    <t>GlobBerMedDisc!$AY$22</t>
  </si>
  <si>
    <t>_Glob_MedDisc_OplVlst_21</t>
  </si>
  <si>
    <t>GlobBerMedDisc!$AY$23</t>
  </si>
  <si>
    <t>_Glob_MedDisc_OplVlst_22</t>
  </si>
  <si>
    <t>GlobBerMedDisc!$AY$24</t>
  </si>
  <si>
    <t>_Glob_MedDisc_OplVlst_23</t>
  </si>
  <si>
    <t>GlobBerMedDisc!$AY$25</t>
  </si>
  <si>
    <t>_Glob_MedDisc_OplVlst_24</t>
  </si>
  <si>
    <t>GlobBerMedDisc!$AY$26</t>
  </si>
  <si>
    <t>_Glob_MedDisc_OplVlst_25</t>
  </si>
  <si>
    <t>GlobBerMedDisc!$AY$27</t>
  </si>
  <si>
    <t>_Glob_MedDisc_OplVlst_26</t>
  </si>
  <si>
    <t>GlobBerMedDisc!$AY$28</t>
  </si>
  <si>
    <t>_Glob_MedDisc_OplVlst_27</t>
  </si>
  <si>
    <t>GlobBerMedDisc!$AY$29</t>
  </si>
  <si>
    <t>_Glob_MedDisc_OplVlst_28</t>
  </si>
  <si>
    <t>GlobBerMedDisc!$AY$30</t>
  </si>
  <si>
    <t>_Glob_MedDisc_OplVlst_29</t>
  </si>
  <si>
    <t>GlobBerMedDisc!$AY$31</t>
  </si>
  <si>
    <t>_Glob_MedDisc_OplVlst_30</t>
  </si>
  <si>
    <t>GlobBerMedDisc!$AD$2</t>
  </si>
  <si>
    <t>GlobBerMedDisc!$AD$3</t>
  </si>
  <si>
    <t>GlobBerMedDisc!$AD$4</t>
  </si>
  <si>
    <t>GlobBerMedDisc!$AD$5</t>
  </si>
  <si>
    <t>GlobBerMedDisc!$AD$6</t>
  </si>
  <si>
    <t>GlobBerMedDisc!$AD$7</t>
  </si>
  <si>
    <t>GlobBerMedDisc!$AD$8</t>
  </si>
  <si>
    <t>GlobBerMedDisc!$AD$9</t>
  </si>
  <si>
    <t>GlobBerMedDisc!$AD$10</t>
  </si>
  <si>
    <t>GlobBerMedDisc!$AD$11</t>
  </si>
  <si>
    <t>GlobBerMedDisc!$AD$12</t>
  </si>
  <si>
    <t>GlobBerMedDisc!$AD$13</t>
  </si>
  <si>
    <t>GlobBerMedDisc!$AD$14</t>
  </si>
  <si>
    <t>GlobBerMedDisc!$AD$15</t>
  </si>
  <si>
    <t>GlobBerMedDisc!$AD$16</t>
  </si>
  <si>
    <t>GlobBerMedDisc!$AD$17</t>
  </si>
  <si>
    <t>GlobBerMedDisc!$AD$18</t>
  </si>
  <si>
    <t>GlobBerMedDisc!$AD$19</t>
  </si>
  <si>
    <t>GlobBerMedDisc!$AD$20</t>
  </si>
  <si>
    <t>GlobBerMedDisc!$AD$21</t>
  </si>
  <si>
    <t>GlobBerMedDisc!$AD$22</t>
  </si>
  <si>
    <t>GlobBerMedDisc!$AD$23</t>
  </si>
  <si>
    <t>GlobBerMedDisc!$AD$24</t>
  </si>
  <si>
    <t>GlobBerMedDisc!$AD$25</t>
  </si>
  <si>
    <t>GlobBerMedDisc!$AD$26</t>
  </si>
  <si>
    <t>GlobBerMedDisc!$AD$27</t>
  </si>
  <si>
    <t>GlobBerMedDisc!$AD$28</t>
  </si>
  <si>
    <t>GlobBerMedDisc!$AD$29</t>
  </si>
  <si>
    <t>GlobBerMedDisc!$AD$30</t>
  </si>
  <si>
    <t>GlobBerMedDisc!$AD$31</t>
  </si>
  <si>
    <t>GlobTblMedDisc!$A$33:$A$36</t>
  </si>
  <si>
    <t>F:=IF(__2_AchterNaam="","",IF(LEN(C25)&gt;40,LEFT(C25,40)&amp;"…",C25))</t>
  </si>
  <si>
    <t>PatDetails!$B$33</t>
  </si>
  <si>
    <t>Txt_Pat_Geslacht</t>
  </si>
  <si>
    <t>F:=IF(_Pat_Geslacht = 0,"onbekend",_Pat_Geslacht)</t>
  </si>
  <si>
    <t>PatDetails!$B$32</t>
  </si>
  <si>
    <t>F:=IF(Var_AfspraakDatum-__4_GebDatum&lt;=28,B23,B22)</t>
  </si>
  <si>
    <t>F:=IF(AND(__4_GebDatum&gt;0,_Pat_OpnDatum&gt;0),"(dag "&amp;ROUND(Var_AfspraakDatum-_Pat_OpnDatum+1,0)&amp;")", "")</t>
  </si>
  <si>
    <t>F:=IF(IsEmptyDate(_Pat_OpnDatum),"",DateToString(_Pat_OpnDatum)&amp;" "&amp;B26)</t>
  </si>
  <si>
    <t>PatDetails!$B$21</t>
  </si>
  <si>
    <t>PatDetails!$B$16</t>
  </si>
  <si>
    <t>WarnFreq</t>
  </si>
  <si>
    <t>NormDose</t>
  </si>
  <si>
    <t>WarnMinDose</t>
  </si>
  <si>
    <t>WarnMaxDose</t>
  </si>
  <si>
    <t>MaxDose</t>
  </si>
  <si>
    <t>GlobBerMedDisc!$BE$2</t>
  </si>
  <si>
    <t>_Glob_MedDisc_Freq_01</t>
  </si>
  <si>
    <t>GlobBerMedDisc!$BE$3</t>
  </si>
  <si>
    <t>_Glob_MedDisc_Freq_02</t>
  </si>
  <si>
    <t>GlobBerMedDisc!$BE$4</t>
  </si>
  <si>
    <t>_Glob_MedDisc_Freq_03</t>
  </si>
  <si>
    <t>GlobBerMedDisc!$BE$5</t>
  </si>
  <si>
    <t>_Glob_MedDisc_Freq_04</t>
  </si>
  <si>
    <t>GlobBerMedDisc!$BE$6</t>
  </si>
  <si>
    <t>_Glob_MedDisc_Freq_05</t>
  </si>
  <si>
    <t>GlobBerMedDisc!$BE$7</t>
  </si>
  <si>
    <t>_Glob_MedDisc_Freq_06</t>
  </si>
  <si>
    <t>GlobBerMedDisc!$BE$8</t>
  </si>
  <si>
    <t>_Glob_MedDisc_Freq_07</t>
  </si>
  <si>
    <t>GlobBerMedDisc!$BE$9</t>
  </si>
  <si>
    <t>_Glob_MedDisc_Freq_08</t>
  </si>
  <si>
    <t>GlobBerMedDisc!$BE$10</t>
  </si>
  <si>
    <t>_Glob_MedDisc_Freq_09</t>
  </si>
  <si>
    <t>GlobBerMedDisc!$BE$11</t>
  </si>
  <si>
    <t>_Glob_MedDisc_Freq_10</t>
  </si>
  <si>
    <t>GlobBerMedDisc!$BE$12</t>
  </si>
  <si>
    <t>_Glob_MedDisc_Freq_11</t>
  </si>
  <si>
    <t>GlobBerMedDisc!$BE$13</t>
  </si>
  <si>
    <t>_Glob_MedDisc_Freq_12</t>
  </si>
  <si>
    <t>GlobBerMedDisc!$BE$14</t>
  </si>
  <si>
    <t>_Glob_MedDisc_Freq_13</t>
  </si>
  <si>
    <t>GlobBerMedDisc!$BE$15</t>
  </si>
  <si>
    <t>_Glob_MedDisc_Freq_14</t>
  </si>
  <si>
    <t>GlobBerMedDisc!$BE$16</t>
  </si>
  <si>
    <t>_Glob_MedDisc_Freq_15</t>
  </si>
  <si>
    <t>GlobBerMedDisc!$BE$17</t>
  </si>
  <si>
    <t>_Glob_MedDisc_Freq_16</t>
  </si>
  <si>
    <t>GlobBerMedDisc!$BE$18</t>
  </si>
  <si>
    <t>_Glob_MedDisc_Freq_17</t>
  </si>
  <si>
    <t>GlobBerMedDisc!$BE$19</t>
  </si>
  <si>
    <t>_Glob_MedDisc_Freq_18</t>
  </si>
  <si>
    <t>GlobBerMedDisc!$BE$20</t>
  </si>
  <si>
    <t>_Glob_MedDisc_Freq_19</t>
  </si>
  <si>
    <t>GlobBerMedDisc!$BE$21</t>
  </si>
  <si>
    <t>_Glob_MedDisc_Freq_20</t>
  </si>
  <si>
    <t>GlobBerMedDisc!$BE$22</t>
  </si>
  <si>
    <t>_Glob_MedDisc_Freq_21</t>
  </si>
  <si>
    <t>GlobBerMedDisc!$BE$23</t>
  </si>
  <si>
    <t>_Glob_MedDisc_Freq_22</t>
  </si>
  <si>
    <t>GlobBerMedDisc!$BE$24</t>
  </si>
  <si>
    <t>_Glob_MedDisc_Freq_23</t>
  </si>
  <si>
    <t>GlobBerMedDisc!$BE$25</t>
  </si>
  <si>
    <t>_Glob_MedDisc_Freq_24</t>
  </si>
  <si>
    <t>GlobBerMedDisc!$BE$26</t>
  </si>
  <si>
    <t>_Glob_MedDisc_Freq_25</t>
  </si>
  <si>
    <t>GlobBerMedDisc!$BE$27</t>
  </si>
  <si>
    <t>_Glob_MedDisc_Freq_26</t>
  </si>
  <si>
    <t>GlobBerMedDisc!$BE$28</t>
  </si>
  <si>
    <t>_Glob_MedDisc_Freq_27</t>
  </si>
  <si>
    <t>GlobBerMedDisc!$BE$29</t>
  </si>
  <si>
    <t>_Glob_MedDisc_Freq_28</t>
  </si>
  <si>
    <t>GlobBerMedDisc!$BE$30</t>
  </si>
  <si>
    <t>_Glob_MedDisc_Freq_29</t>
  </si>
  <si>
    <t>GlobBerMedDisc!$BE$31</t>
  </si>
  <si>
    <t>_Glob_MedDisc_Freq_30</t>
  </si>
  <si>
    <t>GlobBerMedDisc!$BJ$2</t>
  </si>
  <si>
    <t>_Glob_MedDisc_MaxDose_01</t>
  </si>
  <si>
    <t>GlobBerMedDisc!$BJ$3</t>
  </si>
  <si>
    <t>_Glob_MedDisc_MaxDose_02</t>
  </si>
  <si>
    <t>GlobBerMedDisc!$BJ$4</t>
  </si>
  <si>
    <t>_Glob_MedDisc_MaxDose_03</t>
  </si>
  <si>
    <t>GlobBerMedDisc!$BJ$5</t>
  </si>
  <si>
    <t>_Glob_MedDisc_MaxDose_04</t>
  </si>
  <si>
    <t>GlobBerMedDisc!$BJ$6</t>
  </si>
  <si>
    <t>_Glob_MedDisc_MaxDose_05</t>
  </si>
  <si>
    <t>GlobBerMedDisc!$BJ$7</t>
  </si>
  <si>
    <t>_Glob_MedDisc_MaxDose_06</t>
  </si>
  <si>
    <t>GlobBerMedDisc!$BJ$8</t>
  </si>
  <si>
    <t>_Glob_MedDisc_MaxDose_07</t>
  </si>
  <si>
    <t>GlobBerMedDisc!$BJ$9</t>
  </si>
  <si>
    <t>_Glob_MedDisc_MaxDose_08</t>
  </si>
  <si>
    <t>GlobBerMedDisc!$BJ$10</t>
  </si>
  <si>
    <t>_Glob_MedDisc_MaxDose_09</t>
  </si>
  <si>
    <t>GlobBerMedDisc!$BJ$11</t>
  </si>
  <si>
    <t>_Glob_MedDisc_MaxDose_10</t>
  </si>
  <si>
    <t>GlobBerMedDisc!$BJ$12</t>
  </si>
  <si>
    <t>_Glob_MedDisc_MaxDose_11</t>
  </si>
  <si>
    <t>GlobBerMedDisc!$BJ$13</t>
  </si>
  <si>
    <t>_Glob_MedDisc_MaxDose_12</t>
  </si>
  <si>
    <t>GlobBerMedDisc!$BJ$14</t>
  </si>
  <si>
    <t>_Glob_MedDisc_MaxDose_13</t>
  </si>
  <si>
    <t>GlobBerMedDisc!$BJ$15</t>
  </si>
  <si>
    <t>_Glob_MedDisc_MaxDose_14</t>
  </si>
  <si>
    <t>GlobBerMedDisc!$BJ$16</t>
  </si>
  <si>
    <t>_Glob_MedDisc_MaxDose_15</t>
  </si>
  <si>
    <t>GlobBerMedDisc!$BJ$17</t>
  </si>
  <si>
    <t>_Glob_MedDisc_MaxDose_16</t>
  </si>
  <si>
    <t>GlobBerMedDisc!$BJ$18</t>
  </si>
  <si>
    <t>_Glob_MedDisc_MaxDose_17</t>
  </si>
  <si>
    <t>GlobBerMedDisc!$BJ$19</t>
  </si>
  <si>
    <t>_Glob_MedDisc_MaxDose_18</t>
  </si>
  <si>
    <t>GlobBerMedDisc!$BJ$20</t>
  </si>
  <si>
    <t>_Glob_MedDisc_MaxDose_19</t>
  </si>
  <si>
    <t>GlobBerMedDisc!$BJ$21</t>
  </si>
  <si>
    <t>_Glob_MedDisc_MaxDose_20</t>
  </si>
  <si>
    <t>GlobBerMedDisc!$BJ$22</t>
  </si>
  <si>
    <t>_Glob_MedDisc_MaxDose_21</t>
  </si>
  <si>
    <t>GlobBerMedDisc!$BJ$23</t>
  </si>
  <si>
    <t>_Glob_MedDisc_MaxDose_22</t>
  </si>
  <si>
    <t>GlobBerMedDisc!$BJ$24</t>
  </si>
  <si>
    <t>_Glob_MedDisc_MaxDose_23</t>
  </si>
  <si>
    <t>GlobBerMedDisc!$BJ$25</t>
  </si>
  <si>
    <t>_Glob_MedDisc_MaxDose_24</t>
  </si>
  <si>
    <t>GlobBerMedDisc!$BJ$26</t>
  </si>
  <si>
    <t>_Glob_MedDisc_MaxDose_25</t>
  </si>
  <si>
    <t>GlobBerMedDisc!$BJ$27</t>
  </si>
  <si>
    <t>_Glob_MedDisc_MaxDose_26</t>
  </si>
  <si>
    <t>GlobBerMedDisc!$BJ$28</t>
  </si>
  <si>
    <t>_Glob_MedDisc_MaxDose_27</t>
  </si>
  <si>
    <t>GlobBerMedDisc!$BJ$29</t>
  </si>
  <si>
    <t>_Glob_MedDisc_MaxDose_28</t>
  </si>
  <si>
    <t>GlobBerMedDisc!$BJ$30</t>
  </si>
  <si>
    <t>_Glob_MedDisc_MaxDose_29</t>
  </si>
  <si>
    <t>GlobBerMedDisc!$BJ$31</t>
  </si>
  <si>
    <t>_Glob_MedDisc_MaxDose_30</t>
  </si>
  <si>
    <t>GlobBerMedDisc!$BG$2</t>
  </si>
  <si>
    <t>_Glob_MedDisc_NormDose_01</t>
  </si>
  <si>
    <t>GlobBerMedDisc!$BG$3</t>
  </si>
  <si>
    <t>_Glob_MedDisc_NormDose_02</t>
  </si>
  <si>
    <t>GlobBerMedDisc!$BG$4</t>
  </si>
  <si>
    <t>_Glob_MedDisc_NormDose_03</t>
  </si>
  <si>
    <t>GlobBerMedDisc!$BG$5</t>
  </si>
  <si>
    <t>_Glob_MedDisc_NormDose_04</t>
  </si>
  <si>
    <t>GlobBerMedDisc!$BG$6</t>
  </si>
  <si>
    <t>_Glob_MedDisc_NormDose_05</t>
  </si>
  <si>
    <t>GlobBerMedDisc!$BG$7</t>
  </si>
  <si>
    <t>_Glob_MedDisc_NormDose_06</t>
  </si>
  <si>
    <t>GlobBerMedDisc!$BG$8</t>
  </si>
  <si>
    <t>_Glob_MedDisc_NormDose_07</t>
  </si>
  <si>
    <t>GlobBerMedDisc!$BG$9</t>
  </si>
  <si>
    <t>_Glob_MedDisc_NormDose_08</t>
  </si>
  <si>
    <t>GlobBerMedDisc!$BG$10</t>
  </si>
  <si>
    <t>_Glob_MedDisc_NormDose_09</t>
  </si>
  <si>
    <t>GlobBerMedDisc!$BG$11</t>
  </si>
  <si>
    <t>_Glob_MedDisc_NormDose_10</t>
  </si>
  <si>
    <t>GlobBerMedDisc!$BG$12</t>
  </si>
  <si>
    <t>_Glob_MedDisc_NormDose_11</t>
  </si>
  <si>
    <t>GlobBerMedDisc!$BG$13</t>
  </si>
  <si>
    <t>_Glob_MedDisc_NormDose_12</t>
  </si>
  <si>
    <t>GlobBerMedDisc!$BG$14</t>
  </si>
  <si>
    <t>_Glob_MedDisc_NormDose_13</t>
  </si>
  <si>
    <t>GlobBerMedDisc!$BG$15</t>
  </si>
  <si>
    <t>_Glob_MedDisc_NormDose_14</t>
  </si>
  <si>
    <t>GlobBerMedDisc!$BG$16</t>
  </si>
  <si>
    <t>_Glob_MedDisc_NormDose_15</t>
  </si>
  <si>
    <t>GlobBerMedDisc!$BG$17</t>
  </si>
  <si>
    <t>_Glob_MedDisc_NormDose_16</t>
  </si>
  <si>
    <t>GlobBerMedDisc!$BG$18</t>
  </si>
  <si>
    <t>_Glob_MedDisc_NormDose_17</t>
  </si>
  <si>
    <t>GlobBerMedDisc!$BG$19</t>
  </si>
  <si>
    <t>_Glob_MedDisc_NormDose_18</t>
  </si>
  <si>
    <t>GlobBerMedDisc!$BG$20</t>
  </si>
  <si>
    <t>_Glob_MedDisc_NormDose_19</t>
  </si>
  <si>
    <t>GlobBerMedDisc!$BG$21</t>
  </si>
  <si>
    <t>_Glob_MedDisc_NormDose_20</t>
  </si>
  <si>
    <t>GlobBerMedDisc!$BG$22</t>
  </si>
  <si>
    <t>_Glob_MedDisc_NormDose_21</t>
  </si>
  <si>
    <t>GlobBerMedDisc!$BG$23</t>
  </si>
  <si>
    <t>_Glob_MedDisc_NormDose_22</t>
  </si>
  <si>
    <t>GlobBerMedDisc!$BG$24</t>
  </si>
  <si>
    <t>_Glob_MedDisc_NormDose_23</t>
  </si>
  <si>
    <t>GlobBerMedDisc!$BG$25</t>
  </si>
  <si>
    <t>_Glob_MedDisc_NormDose_24</t>
  </si>
  <si>
    <t>GlobBerMedDisc!$BG$26</t>
  </si>
  <si>
    <t>_Glob_MedDisc_NormDose_25</t>
  </si>
  <si>
    <t>GlobBerMedDisc!$BG$27</t>
  </si>
  <si>
    <t>_Glob_MedDisc_NormDose_26</t>
  </si>
  <si>
    <t>GlobBerMedDisc!$BG$28</t>
  </si>
  <si>
    <t>_Glob_MedDisc_NormDose_27</t>
  </si>
  <si>
    <t>GlobBerMedDisc!$BG$29</t>
  </si>
  <si>
    <t>_Glob_MedDisc_NormDose_28</t>
  </si>
  <si>
    <t>GlobBerMedDisc!$BG$30</t>
  </si>
  <si>
    <t>_Glob_MedDisc_NormDose_29</t>
  </si>
  <si>
    <t>GlobBerMedDisc!$BG$31</t>
  </si>
  <si>
    <t>_Glob_MedDisc_NormDose_30</t>
  </si>
  <si>
    <t>GlobBerMedDisc!$X$2</t>
  </si>
  <si>
    <t>Var_MedDisc_FreqText_01</t>
  </si>
  <si>
    <t>F:=IF(OR(D2="",I2=1),"",INDEX(Tbl_Glob_MedFreq,I2,1))</t>
  </si>
  <si>
    <t>GlobBerMedDisc!$X$3</t>
  </si>
  <si>
    <t>Var_MedDisc_FreqText_02</t>
  </si>
  <si>
    <t>F:=IF(OR(D3="",I3=1),"",INDEX(Tbl_Glob_MedFreq,I3,1))</t>
  </si>
  <si>
    <t>GlobBerMedDisc!$X$4</t>
  </si>
  <si>
    <t>Var_MedDisc_FreqText_03</t>
  </si>
  <si>
    <t>F:=IF(OR(D4="",I4=1),"",INDEX(Tbl_Glob_MedFreq,I4,1))</t>
  </si>
  <si>
    <t>GlobBerMedDisc!$X$5</t>
  </si>
  <si>
    <t>Var_MedDisc_FreqText_04</t>
  </si>
  <si>
    <t>F:=IF(OR(D5="",I5=1),"",INDEX(Tbl_Glob_MedFreq,I5,1))</t>
  </si>
  <si>
    <t>GlobBerMedDisc!$X$6</t>
  </si>
  <si>
    <t>Var_MedDisc_FreqText_05</t>
  </si>
  <si>
    <t>F:=IF(OR(D6="",I6=1),"",INDEX(Tbl_Glob_MedFreq,I6,1))</t>
  </si>
  <si>
    <t>GlobBerMedDisc!$X$7</t>
  </si>
  <si>
    <t>Var_MedDisc_FreqText_06</t>
  </si>
  <si>
    <t>F:=IF(OR(D7="",I7=1),"",INDEX(Tbl_Glob_MedFreq,I7,1))</t>
  </si>
  <si>
    <t>GlobBerMedDisc!$X$8</t>
  </si>
  <si>
    <t>Var_MedDisc_FreqText_07</t>
  </si>
  <si>
    <t>F:=IF(OR(D8="",I8=1),"",INDEX(Tbl_Glob_MedFreq,I8,1))</t>
  </si>
  <si>
    <t>GlobBerMedDisc!$X$9</t>
  </si>
  <si>
    <t>Var_MedDisc_FreqText_08</t>
  </si>
  <si>
    <t>F:=IF(OR(D9="",I9=1),"",INDEX(Tbl_Glob_MedFreq,I9,1))</t>
  </si>
  <si>
    <t>GlobBerMedDisc!$X$10</t>
  </si>
  <si>
    <t>Var_MedDisc_FreqText_09</t>
  </si>
  <si>
    <t>F:=IF(OR(D10="",I10=1),"",INDEX(Tbl_Glob_MedFreq,I10,1))</t>
  </si>
  <si>
    <t>GlobBerMedDisc!$X$11</t>
  </si>
  <si>
    <t>Var_MedDisc_FreqText_10</t>
  </si>
  <si>
    <t>F:=IF(OR(D11="",I11=1),"",INDEX(Tbl_Glob_MedFreq,I11,1))</t>
  </si>
  <si>
    <t>GlobBerMedDisc!$X$12</t>
  </si>
  <si>
    <t>Var_MedDisc_FreqText_11</t>
  </si>
  <si>
    <t>F:=IF(OR(D12="",I12=1),"",INDEX(Tbl_Glob_MedFreq,I12,1))</t>
  </si>
  <si>
    <t>GlobBerMedDisc!$X$13</t>
  </si>
  <si>
    <t>Var_MedDisc_FreqText_12</t>
  </si>
  <si>
    <t>F:=IF(OR(D13="",I13=1),"",INDEX(Tbl_Glob_MedFreq,I13,1))</t>
  </si>
  <si>
    <t>GlobBerMedDisc!$X$14</t>
  </si>
  <si>
    <t>Var_MedDisc_FreqText_13</t>
  </si>
  <si>
    <t>F:=IF(OR(D14="",I14=1),"",INDEX(Tbl_Glob_MedFreq,I14,1))</t>
  </si>
  <si>
    <t>GlobBerMedDisc!$X$15</t>
  </si>
  <si>
    <t>Var_MedDisc_FreqText_14</t>
  </si>
  <si>
    <t>F:=IF(OR(D15="",I15=1),"",INDEX(Tbl_Glob_MedFreq,I15,1))</t>
  </si>
  <si>
    <t>GlobBerMedDisc!$X$16</t>
  </si>
  <si>
    <t>Var_MedDisc_FreqText_15</t>
  </si>
  <si>
    <t>F:=IF(OR(D16="",I16=1),"",INDEX(Tbl_Glob_MedFreq,I16,1))</t>
  </si>
  <si>
    <t>GlobBerMedDisc!$X$17</t>
  </si>
  <si>
    <t>Var_MedDisc_FreqText_16</t>
  </si>
  <si>
    <t>F:=IF(OR(D17="",I17=1),"",INDEX(Tbl_Glob_MedFreq,I17,1))</t>
  </si>
  <si>
    <t>GlobBerMedDisc!$X$18</t>
  </si>
  <si>
    <t>Var_MedDisc_FreqText_17</t>
  </si>
  <si>
    <t>F:=IF(OR(D18="",I18=1),"",INDEX(Tbl_Glob_MedFreq,I18,1))</t>
  </si>
  <si>
    <t>GlobBerMedDisc!$X$19</t>
  </si>
  <si>
    <t>Var_MedDisc_FreqText_18</t>
  </si>
  <si>
    <t>F:=IF(OR(D19="",I19=1),"",INDEX(Tbl_Glob_MedFreq,I19,1))</t>
  </si>
  <si>
    <t>GlobBerMedDisc!$X$20</t>
  </si>
  <si>
    <t>Var_MedDisc_FreqText_19</t>
  </si>
  <si>
    <t>F:=IF(OR(D20="",I20=1),"",INDEX(Tbl_Glob_MedFreq,I20,1))</t>
  </si>
  <si>
    <t>GlobBerMedDisc!$X$21</t>
  </si>
  <si>
    <t>Var_MedDisc_FreqText_20</t>
  </si>
  <si>
    <t>F:=IF(OR(D21="",I21=1),"",INDEX(Tbl_Glob_MedFreq,I21,1))</t>
  </si>
  <si>
    <t>GlobBerMedDisc!$X$22</t>
  </si>
  <si>
    <t>Var_MedDisc_FreqText_21</t>
  </si>
  <si>
    <t>F:=IF(OR(D22="",I22=1),"",INDEX(Tbl_Glob_MedFreq,I22,1))</t>
  </si>
  <si>
    <t>GlobBerMedDisc!$X$23</t>
  </si>
  <si>
    <t>Var_MedDisc_FreqText_22</t>
  </si>
  <si>
    <t>F:=IF(OR(D23="",I23=1),"",INDEX(Tbl_Glob_MedFreq,I23,1))</t>
  </si>
  <si>
    <t>GlobBerMedDisc!$X$24</t>
  </si>
  <si>
    <t>Var_MedDisc_FreqText_23</t>
  </si>
  <si>
    <t>F:=IF(OR(D24="",I24=1),"",INDEX(Tbl_Glob_MedFreq,I24,1))</t>
  </si>
  <si>
    <t>GlobBerMedDisc!$X$25</t>
  </si>
  <si>
    <t>Var_MedDisc_FreqText_24</t>
  </si>
  <si>
    <t>F:=IF(OR(D25="",I25=1),"",INDEX(Tbl_Glob_MedFreq,I25,1))</t>
  </si>
  <si>
    <t>GlobBerMedDisc!$X$26</t>
  </si>
  <si>
    <t>Var_MedDisc_FreqText_25</t>
  </si>
  <si>
    <t>F:=IF(OR(D26="",I26=1),"",INDEX(Tbl_Glob_MedFreq,I26,1))</t>
  </si>
  <si>
    <t>GlobBerMedDisc!$X$27</t>
  </si>
  <si>
    <t>Var_MedDisc_FreqText_26</t>
  </si>
  <si>
    <t>F:=IF(OR(D27="",I27=1),"",INDEX(Tbl_Glob_MedFreq,I27,1))</t>
  </si>
  <si>
    <t>GlobBerMedDisc!$X$28</t>
  </si>
  <si>
    <t>Var_MedDisc_FreqText_27</t>
  </si>
  <si>
    <t>F:=IF(OR(D28="",I28=1),"",INDEX(Tbl_Glob_MedFreq,I28,1))</t>
  </si>
  <si>
    <t>GlobBerMedDisc!$X$29</t>
  </si>
  <si>
    <t>Var_MedDisc_FreqText_28</t>
  </si>
  <si>
    <t>F:=IF(OR(D29="",I29=1),"",INDEX(Tbl_Glob_MedFreq,I29,1))</t>
  </si>
  <si>
    <t>GlobBerMedDisc!$X$30</t>
  </si>
  <si>
    <t>Var_MedDisc_FreqText_29</t>
  </si>
  <si>
    <t>F:=IF(OR(D30="",I30=1),"",INDEX(Tbl_Glob_MedFreq,I30,1))</t>
  </si>
  <si>
    <t>GlobBerMedDisc!$X$31</t>
  </si>
  <si>
    <t>Var_MedDisc_FreqText_30</t>
  </si>
  <si>
    <t>F:=IF(OR(D31="",I31=1),"",INDEX(Tbl_Glob_MedFreq,I31,1))</t>
  </si>
  <si>
    <t>_Glob_MedDisc_FreqList_01</t>
  </si>
  <si>
    <t>_Glob_MedDisc_FreqList_02</t>
  </si>
  <si>
    <t>_Glob_MedDisc_FreqList_03</t>
  </si>
  <si>
    <t>_Glob_MedDisc_FreqList_04</t>
  </si>
  <si>
    <t>_Glob_MedDisc_FreqList_05</t>
  </si>
  <si>
    <t>_Glob_MedDisc_FreqList_06</t>
  </si>
  <si>
    <t>_Glob_MedDisc_FreqList_07</t>
  </si>
  <si>
    <t>_Glob_MedDisc_FreqList_08</t>
  </si>
  <si>
    <t>_Glob_MedDisc_FreqList_09</t>
  </si>
  <si>
    <t>_Glob_MedDisc_FreqList_10</t>
  </si>
  <si>
    <t>_Glob_MedDisc_FreqList_11</t>
  </si>
  <si>
    <t>_Glob_MedDisc_FreqList_12</t>
  </si>
  <si>
    <t>_Glob_MedDisc_FreqList_13</t>
  </si>
  <si>
    <t>_Glob_MedDisc_FreqList_14</t>
  </si>
  <si>
    <t>_Glob_MedDisc_FreqList_15</t>
  </si>
  <si>
    <t>_Glob_MedDisc_FreqList_16</t>
  </si>
  <si>
    <t>_Glob_MedDisc_FreqList_17</t>
  </si>
  <si>
    <t>_Glob_MedDisc_FreqList_18</t>
  </si>
  <si>
    <t>_Glob_MedDisc_FreqList_19</t>
  </si>
  <si>
    <t>_Glob_MedDisc_FreqList_20</t>
  </si>
  <si>
    <t>_Glob_MedDisc_FreqList_21</t>
  </si>
  <si>
    <t>_Glob_MedDisc_FreqList_22</t>
  </si>
  <si>
    <t>_Glob_MedDisc_FreqList_23</t>
  </si>
  <si>
    <t>_Glob_MedDisc_FreqList_24</t>
  </si>
  <si>
    <t>_Glob_MedDisc_FreqList_25</t>
  </si>
  <si>
    <t>_Glob_MedDisc_FreqList_26</t>
  </si>
  <si>
    <t>_Glob_MedDisc_FreqList_27</t>
  </si>
  <si>
    <t>_Glob_MedDisc_FreqList_28</t>
  </si>
  <si>
    <t>_Glob_MedDisc_FreqList_29</t>
  </si>
  <si>
    <t>_Glob_MedDisc_FreqList_30</t>
  </si>
  <si>
    <t>ErrMax</t>
  </si>
  <si>
    <t>WarnDose</t>
  </si>
  <si>
    <t>ErrDose</t>
  </si>
  <si>
    <t>SELECT p.ParameterName</t>
  </si>
  <si>
    <t xml:space="preserve">FROM Parameters p </t>
  </si>
  <si>
    <t>INNER JOIN ParametersCategories pc ON pc.CategoryID = p.CategoryID</t>
  </si>
  <si>
    <t>WHERE pc.CategoryName = 'Opdr Medicatie Taken'</t>
  </si>
  <si>
    <t>ORDER BY p.ParameterName</t>
  </si>
  <si>
    <t>4-DIMETHYL-AMINOFENOL IV</t>
  </si>
  <si>
    <t>5-HYDROXYTRYPTOFAAN OR</t>
  </si>
  <si>
    <t>ABACAVIR OR</t>
  </si>
  <si>
    <t>ACENOCOUMAROL OR</t>
  </si>
  <si>
    <t>ACETAZOLAMIDE IV</t>
  </si>
  <si>
    <t>ACETAZOLAMIDE OR</t>
  </si>
  <si>
    <t>ACETYLCYSTEÏNE BLAASINSTILLATIE</t>
  </si>
  <si>
    <t>ACETYLCYSTEÏNE INH</t>
  </si>
  <si>
    <t>ACETYLCYSTEÏNE IV</t>
  </si>
  <si>
    <t>ACETYLCYSTEÏNE OR</t>
  </si>
  <si>
    <t>ACETYLSALICYLZUUR IV</t>
  </si>
  <si>
    <t>ACETYLSALICYLZUUR OR</t>
  </si>
  <si>
    <t>ACICLOVIR CUTAAN</t>
  </si>
  <si>
    <t>ACICLOVIR IV</t>
  </si>
  <si>
    <t>ACICLOVIR LOKAAL</t>
  </si>
  <si>
    <t>ACICLOVIR OOG</t>
  </si>
  <si>
    <t>ACICLOVIR OR</t>
  </si>
  <si>
    <t>ACIDUM IV</t>
  </si>
  <si>
    <t>ACIDUM OR</t>
  </si>
  <si>
    <t>ADENOSINE IV</t>
  </si>
  <si>
    <t>ADRENALINE IV/TRACH</t>
  </si>
  <si>
    <t>ALBUMINE IV</t>
  </si>
  <si>
    <t>ALCOHOL IV</t>
  </si>
  <si>
    <t>ALCOHOL LOKAAL</t>
  </si>
  <si>
    <t>ALCOHOL-GEDENATUREERD LOKAAL</t>
  </si>
  <si>
    <t>ALEMTUZUMAB IV</t>
  </si>
  <si>
    <t>ALENDRONINEZUUR OR</t>
  </si>
  <si>
    <t>ALFACALCIDOL IV</t>
  </si>
  <si>
    <t>ALFACALCIDOL OR</t>
  </si>
  <si>
    <t>ALFENTANIL IV</t>
  </si>
  <si>
    <t>ALGELDRAAT OR</t>
  </si>
  <si>
    <t>ALIMEMAZINE OR</t>
  </si>
  <si>
    <t>ALIZAPRIDE IV</t>
  </si>
  <si>
    <t>ALLOPURINOL IV</t>
  </si>
  <si>
    <t>ALLOPURINOL OR</t>
  </si>
  <si>
    <t>ALPROSTADIL IV</t>
  </si>
  <si>
    <t>ALTEPLASE IV</t>
  </si>
  <si>
    <t>AMFOTERICINE-B IV</t>
  </si>
  <si>
    <t>AMFOTERICINE-B LOKAAL</t>
  </si>
  <si>
    <t>AMFOTERICINE-B OR</t>
  </si>
  <si>
    <t>AMFOTERICINE-B-LIPIDENCOMPLEX IV</t>
  </si>
  <si>
    <t>AMFOTERICINE-B-LIPOSOMAAL IV</t>
  </si>
  <si>
    <t>AMIDOTRIZOÏNEZUUR INTRA-VESICAAL</t>
  </si>
  <si>
    <t>AMIFAMPRIDINE OR</t>
  </si>
  <si>
    <t>AMIKACINE IV</t>
  </si>
  <si>
    <t>AMILORIDE/HYDROCHLOORTHIAZIDE OR</t>
  </si>
  <si>
    <t>AMINOHIPPUURZUUR IV</t>
  </si>
  <si>
    <t>AMINOVEN IV</t>
  </si>
  <si>
    <t>AMIODARON IV</t>
  </si>
  <si>
    <t>AMIODARON OR</t>
  </si>
  <si>
    <t>AMITRIPTYLINE OR</t>
  </si>
  <si>
    <t>AMLODIPINE OR</t>
  </si>
  <si>
    <t>AMMONIUMCHLORIDE OR</t>
  </si>
  <si>
    <t>AMOXICILLINE IV</t>
  </si>
  <si>
    <t>AMOXICILLINE OR</t>
  </si>
  <si>
    <t>AMOXICILLINE+CLAVULAANZUUR IV</t>
  </si>
  <si>
    <t>AMOXICILLINE+CLAVULAANZUUR OR</t>
  </si>
  <si>
    <t>AMSACRINE IV</t>
  </si>
  <si>
    <t>ANAKINRA SC</t>
  </si>
  <si>
    <t>ANTITROMBINE-III IV</t>
  </si>
  <si>
    <t>APD IV</t>
  </si>
  <si>
    <t>APREPITANT IV</t>
  </si>
  <si>
    <t>APREPITANT OR</t>
  </si>
  <si>
    <t>ARACHIDE LOKAAL</t>
  </si>
  <si>
    <t>ARACHIDE-OLIE LOKAAL</t>
  </si>
  <si>
    <t>ARGININE IV</t>
  </si>
  <si>
    <t>ARGININE OR</t>
  </si>
  <si>
    <t>ARIPIPRAZOL OR</t>
  </si>
  <si>
    <t>ASCORBINEZUUR IV</t>
  </si>
  <si>
    <t>ASCORBINEZUUR OR</t>
  </si>
  <si>
    <t>ASPARAGINASE IV</t>
  </si>
  <si>
    <t>ATENOLOL OR</t>
  </si>
  <si>
    <t>ATG IV</t>
  </si>
  <si>
    <t>ATOVAQUON OR</t>
  </si>
  <si>
    <t>ATOVAQUON+PROGUANIL OR</t>
  </si>
  <si>
    <t>ATRACURIUM IV</t>
  </si>
  <si>
    <t>ATROPINE LOKAAL</t>
  </si>
  <si>
    <t>ATROPINE OR</t>
  </si>
  <si>
    <t>ATROPINE SC/IM/IV</t>
  </si>
  <si>
    <t>AZATHIOPRINE IV</t>
  </si>
  <si>
    <t>AZATHIOPRINE OR</t>
  </si>
  <si>
    <t>AZIJNZUUR LOKAAL</t>
  </si>
  <si>
    <t>AZITROMYCINE OR</t>
  </si>
  <si>
    <t>BACITRACINE LOKAAL</t>
  </si>
  <si>
    <t>BACITRACINE+COLISTINE+HYDROCORT LOKAAL</t>
  </si>
  <si>
    <t>BACLOFEN OR</t>
  </si>
  <si>
    <t>BARIUMSULFAAT OR</t>
  </si>
  <si>
    <t>BASILIXIMAB IV</t>
  </si>
  <si>
    <t>BECLOMETASON INH</t>
  </si>
  <si>
    <t>BENZATHINEBENZYL-PENICILLINE IM</t>
  </si>
  <si>
    <t>BENZOYLPEROXIDE LOKAAL</t>
  </si>
  <si>
    <t>BENZYLPENICILLINE IV</t>
  </si>
  <si>
    <t>BETAINE OR</t>
  </si>
  <si>
    <t>BETAMETHASON LOKAAL</t>
  </si>
  <si>
    <t>BETAMETHASON-17-VALERAAT LOKAAL</t>
  </si>
  <si>
    <t>BETAXOLOL OOG</t>
  </si>
  <si>
    <t>BEVACIZUMAB IV</t>
  </si>
  <si>
    <t>BH4 OR</t>
  </si>
  <si>
    <t>BIOTINE OR</t>
  </si>
  <si>
    <t>BIPERIDEEN IV</t>
  </si>
  <si>
    <t>BISACODYL OR</t>
  </si>
  <si>
    <t>BISACODYL RECT</t>
  </si>
  <si>
    <t>BISOPROLOL OR</t>
  </si>
  <si>
    <t>BLEOMYCINE IV</t>
  </si>
  <si>
    <t>BMR VACCIN SC</t>
  </si>
  <si>
    <t>BOF/MAZELEN/RUBELLA SC</t>
  </si>
  <si>
    <t>BOSENTAN OR</t>
  </si>
  <si>
    <t>BRINCIDOFOVIR OR</t>
  </si>
  <si>
    <t>BROOMHEXINE OR</t>
  </si>
  <si>
    <t>BROOMHEXINE OR/INHALATIE</t>
  </si>
  <si>
    <t>BUDESONIDE INH</t>
  </si>
  <si>
    <t>BUDESONIDE RECT</t>
  </si>
  <si>
    <t>BUMETANIDE IV</t>
  </si>
  <si>
    <t>BUMETANIDE OR</t>
  </si>
  <si>
    <t>BUPIVACAÏNE EPIDUR/PERINEUR</t>
  </si>
  <si>
    <t>BUPIVACAÏNE ITH</t>
  </si>
  <si>
    <t>BUPRENORFINE TRANSDERMAAL</t>
  </si>
  <si>
    <t>BUSULFAN OR</t>
  </si>
  <si>
    <t>BUTYLSCOPOLAMINE IM/IV</t>
  </si>
  <si>
    <t>C1-ESTERASEREMMER IV</t>
  </si>
  <si>
    <t>CALCIPOTRIOL LOKAAL</t>
  </si>
  <si>
    <t>CALCITONINE IV</t>
  </si>
  <si>
    <t>CALCIUMACETAAT OR</t>
  </si>
  <si>
    <t>CALCIUMCARBONAAT OR</t>
  </si>
  <si>
    <t>CALCIUMCARBONAAT/COLECALCIFEROL OR</t>
  </si>
  <si>
    <t>CALCIUMFOLINAAT IV</t>
  </si>
  <si>
    <t>CALCIUMFOLINAAT OR</t>
  </si>
  <si>
    <t>CALCIUMGLUCONAAT IV</t>
  </si>
  <si>
    <t>CALCIUMGLUCONAAT OR</t>
  </si>
  <si>
    <t>CALCIUMLACTAAT OR</t>
  </si>
  <si>
    <t>CALCIUM-LACTOGLUCONAAT OR</t>
  </si>
  <si>
    <t>CAPTOPRIL OR</t>
  </si>
  <si>
    <t>CARBAMAZEPINE OR</t>
  </si>
  <si>
    <t>CARBAMAZEPINE RECT</t>
  </si>
  <si>
    <t>CARBASALAAT-CALCIUM OR</t>
  </si>
  <si>
    <t>CARBOMEER LOKAAL</t>
  </si>
  <si>
    <t>CARMELLOSE OOG</t>
  </si>
  <si>
    <t>CARVEDILOL OR</t>
  </si>
  <si>
    <t>CARYOLYSINE IV</t>
  </si>
  <si>
    <t>CASPOFUNGINE IV</t>
  </si>
  <si>
    <t>CEFAMANDOL IV</t>
  </si>
  <si>
    <t>CEFAZOLINE IV</t>
  </si>
  <si>
    <t>CEFIXIM OR</t>
  </si>
  <si>
    <t>CEFOTAXIM IV</t>
  </si>
  <si>
    <t>CEFTAZIDIM IV</t>
  </si>
  <si>
    <t>CEFTRIAXON IM</t>
  </si>
  <si>
    <t>CEFTRIAXON IV</t>
  </si>
  <si>
    <t>CEFUROXIM IV</t>
  </si>
  <si>
    <t>CEFUROXIMAXETIL OR</t>
  </si>
  <si>
    <t>CELECOXIB OR</t>
  </si>
  <si>
    <t>CELLUVISC LOKAAL</t>
  </si>
  <si>
    <t>CETIRIZINE OR</t>
  </si>
  <si>
    <t>CETOMACROGOLCREME LOKAAL</t>
  </si>
  <si>
    <t>CETOMACROGOLWAS LOKAAL</t>
  </si>
  <si>
    <t>CETOMACROGOLZALF LOKAAL</t>
  </si>
  <si>
    <t>CETRIMIDE LOKAAL</t>
  </si>
  <si>
    <t>CHINIDINI OR</t>
  </si>
  <si>
    <t>CHLOORAETHYL CUTAAN</t>
  </si>
  <si>
    <t>CHLOORAMFENICOL LOKAAL</t>
  </si>
  <si>
    <t>CHLOORHEXIDINE LOKAAL</t>
  </si>
  <si>
    <t>CHLOORHEXIDINE OR</t>
  </si>
  <si>
    <t>CHLOORMETHINE IV</t>
  </si>
  <si>
    <t>CHLORALHYDRAAT OR</t>
  </si>
  <si>
    <t>CHLORALHYDRAAT RECT</t>
  </si>
  <si>
    <t>CHORION-GONADOTROFINE IM</t>
  </si>
  <si>
    <t>CICLOSPORINE IV</t>
  </si>
  <si>
    <t>CICLOSPORINE OOG</t>
  </si>
  <si>
    <t>CICLOSPORINE OR</t>
  </si>
  <si>
    <t>CIDOFOVIR IV</t>
  </si>
  <si>
    <t>CINNARIZINE OR</t>
  </si>
  <si>
    <t>CINNARIZINUM OR</t>
  </si>
  <si>
    <t>CIPROFLOXACINE IV</t>
  </si>
  <si>
    <t>CIPROFLOXACINE OR</t>
  </si>
  <si>
    <t>CISAPRIDE OR</t>
  </si>
  <si>
    <t>CLARITROMYCINE OR</t>
  </si>
  <si>
    <t>CLEMASTINE IM/IV</t>
  </si>
  <si>
    <t>CLEMASTINE IV</t>
  </si>
  <si>
    <t>CLEMASTINE OR</t>
  </si>
  <si>
    <t>CLINDAMYCINE IV</t>
  </si>
  <si>
    <t>CLINDAMYCINE OR</t>
  </si>
  <si>
    <t>CLOBAZAM OR</t>
  </si>
  <si>
    <t xml:space="preserve">CLOBETASOL </t>
  </si>
  <si>
    <t>CLOBETASON LOKAAL</t>
  </si>
  <si>
    <t>CLONAZEPAM IV</t>
  </si>
  <si>
    <t>CLONAZEPAM OR</t>
  </si>
  <si>
    <t>CLONIDINE IV</t>
  </si>
  <si>
    <t>CLONIDINE OR</t>
  </si>
  <si>
    <t>CLOPIDOGREL OR</t>
  </si>
  <si>
    <t>CLORAZEPAAT IM/IV</t>
  </si>
  <si>
    <t>COCAINE LOKAAL</t>
  </si>
  <si>
    <t>CODEÏNE OR</t>
  </si>
  <si>
    <t>CO-ENZYM OR</t>
  </si>
  <si>
    <t>COFFEÏNE IV</t>
  </si>
  <si>
    <t>COFFEÏNE OR</t>
  </si>
  <si>
    <t>COLCHICINE OR</t>
  </si>
  <si>
    <t>COLECALCIFEROL IV</t>
  </si>
  <si>
    <t>COLECALCIFEROL OR</t>
  </si>
  <si>
    <t>COLESTYRAMINE OR</t>
  </si>
  <si>
    <t>COLFOSCERIL TRACHEAAL</t>
  </si>
  <si>
    <t>COLISTINE INH</t>
  </si>
  <si>
    <t>COLISTINE IV</t>
  </si>
  <si>
    <t>COLISTINE OR</t>
  </si>
  <si>
    <t>CO-TRIMOXAZOL IV</t>
  </si>
  <si>
    <t>CO-TRIMOXAZOL OR</t>
  </si>
  <si>
    <t>CREATINE OR</t>
  </si>
  <si>
    <t>CREON OR</t>
  </si>
  <si>
    <t>CROMOGLICAAT INH</t>
  </si>
  <si>
    <t>CURALEST IV</t>
  </si>
  <si>
    <t>CUTIVATE LOKAAL</t>
  </si>
  <si>
    <t>CYCLOFOSFAMIDE IM</t>
  </si>
  <si>
    <t>CYCLOFOSFAMIDE IV</t>
  </si>
  <si>
    <t>CYCLOFOSFAMIDE OR</t>
  </si>
  <si>
    <t>CYCLOMYDRI LOKAAL</t>
  </si>
  <si>
    <t>CYCLOPENTOLAAT LOKAAL</t>
  </si>
  <si>
    <t>CYKLOKAPRON IV</t>
  </si>
  <si>
    <t>CYKLOKAPRON OR</t>
  </si>
  <si>
    <t>CYMEVENE IV</t>
  </si>
  <si>
    <t>CYMEVENE OR</t>
  </si>
  <si>
    <t>CYSTAGON OR</t>
  </si>
  <si>
    <t>CYSTEAMINE LOKAAL</t>
  </si>
  <si>
    <t>CYSTEAMINE-BITARTRAAT OR</t>
  </si>
  <si>
    <t>CYTARABINE IV/ITH</t>
  </si>
  <si>
    <t>DAGRAVIT OR</t>
  </si>
  <si>
    <t>DAIVONEX LOKAAL</t>
  </si>
  <si>
    <t>DAKTACORT LOKAAL</t>
  </si>
  <si>
    <t>DAKTARIN CUTAAN</t>
  </si>
  <si>
    <t>DAKTARIN LOKAAL</t>
  </si>
  <si>
    <t>DALACIN IV</t>
  </si>
  <si>
    <t>DALACIN OR</t>
  </si>
  <si>
    <t>DALTEPARINE SC</t>
  </si>
  <si>
    <t>DALTEPARINE SC/IV</t>
  </si>
  <si>
    <t>DANTRIUM IV</t>
  </si>
  <si>
    <t>DANTRIUM OR</t>
  </si>
  <si>
    <t>DANTROLEEN IV</t>
  </si>
  <si>
    <t>DANTROLEEN OR</t>
  </si>
  <si>
    <t>DARAPRIM OR</t>
  </si>
  <si>
    <t>DARBEPOËTINE IV/SC</t>
  </si>
  <si>
    <t>DAUNORUBICINE IV</t>
  </si>
  <si>
    <t>DAVITAMON OR</t>
  </si>
  <si>
    <t>DECADRON LOKAAL</t>
  </si>
  <si>
    <t>DEFERASIROX OR</t>
  </si>
  <si>
    <t>DEFEROXAMINE IV/SC</t>
  </si>
  <si>
    <t>DEFIBROTIDE IV</t>
  </si>
  <si>
    <t>DEFLAZACORT OR</t>
  </si>
  <si>
    <t>DEPAKINE IV</t>
  </si>
  <si>
    <t>DEPAKINE OR</t>
  </si>
  <si>
    <t>DEPAKINE RECT</t>
  </si>
  <si>
    <t>DERMATIX LOKAAL</t>
  </si>
  <si>
    <t>DERMOVATE CUT</t>
  </si>
  <si>
    <t>DESFERAL IV/SC</t>
  </si>
  <si>
    <t>DESLORATADINE OR</t>
  </si>
  <si>
    <t>DESLORATIDINE OR</t>
  </si>
  <si>
    <t>DESMOPRESSINE INTRANASAAL</t>
  </si>
  <si>
    <t>DESMOPRESSINE IV</t>
  </si>
  <si>
    <t>DESMOPRESSINE OR</t>
  </si>
  <si>
    <t>DESOXIMETASON LOKAAL</t>
  </si>
  <si>
    <t>DESOXIMETASON OR</t>
  </si>
  <si>
    <t>DETRUSITOL OR</t>
  </si>
  <si>
    <t>DEVARON OR</t>
  </si>
  <si>
    <t>DEXA OCULAIR</t>
  </si>
  <si>
    <t>DEXA+FRAMYCETINE+GRAMICIDINE LOKAAL</t>
  </si>
  <si>
    <t>DEXA+FRAMYCETINE+GRAMICIDINE NASAAL</t>
  </si>
  <si>
    <t>DEXA+TOBRAMYCINE OCULAIR</t>
  </si>
  <si>
    <t xml:space="preserve">DEXAMETHASON </t>
  </si>
  <si>
    <t>DEXAMETHASON IV</t>
  </si>
  <si>
    <t>DEXAMETHASON LOKAAL</t>
  </si>
  <si>
    <t>DEXAMETHASON OR</t>
  </si>
  <si>
    <t>DEXAMETHASON+FRAMYCETINE+GRAMICIDINE LOKAAL</t>
  </si>
  <si>
    <t>DEXAMYTREX LOKAAL</t>
  </si>
  <si>
    <t>DEXPANTHENOL LOKAAL</t>
  </si>
  <si>
    <t>DEXTROMETHORFAN IV</t>
  </si>
  <si>
    <t>DEXTROMETHORFAN OR</t>
  </si>
  <si>
    <t>DI-ADRESON IV</t>
  </si>
  <si>
    <t>DIAMOX IV</t>
  </si>
  <si>
    <t>DIAMOX OR</t>
  </si>
  <si>
    <t>DIAZEMULS IV</t>
  </si>
  <si>
    <t>DIAZEPAM IV</t>
  </si>
  <si>
    <t>DIAZEPAM OR</t>
  </si>
  <si>
    <t>DIAZEPAM RECT</t>
  </si>
  <si>
    <t>DIAZOXIDE IV</t>
  </si>
  <si>
    <t>DIAZOXIDE OR</t>
  </si>
  <si>
    <t>DICLOFENAC IM/IV</t>
  </si>
  <si>
    <t>DICLOFENAC IV</t>
  </si>
  <si>
    <t>DICLOFENAC OR</t>
  </si>
  <si>
    <t>DICLOFENAC RECT</t>
  </si>
  <si>
    <t>DIDANOSINE IV</t>
  </si>
  <si>
    <t>DIDANOSINE OR</t>
  </si>
  <si>
    <t>DIGOXINE IV</t>
  </si>
  <si>
    <t>DIGOXINE OR</t>
  </si>
  <si>
    <t>DIGOXINE-FAB-FRAGMENTEN IV</t>
  </si>
  <si>
    <t>DIHYDRALAZINE IV</t>
  </si>
  <si>
    <t>DIHYDRALAZINE LOKAAL</t>
  </si>
  <si>
    <t>DIMETHYLSULFOXIDE IV</t>
  </si>
  <si>
    <t>DIMETHYLSULFOXIDE LOKAAL</t>
  </si>
  <si>
    <t>DIMETHYLSULFOXIDE OR</t>
  </si>
  <si>
    <t>DIMETINDEEN LOKAAL</t>
  </si>
  <si>
    <t>DIMETINDEEN OR</t>
  </si>
  <si>
    <t>DIPIVEFRINE IV</t>
  </si>
  <si>
    <t>DIPIVEFRINE LOKAAL</t>
  </si>
  <si>
    <t>DIPIVEFRINE OR</t>
  </si>
  <si>
    <t>DKTP IM</t>
  </si>
  <si>
    <t>DKTP LOKAAL</t>
  </si>
  <si>
    <t>DKTP-VACCIN IM</t>
  </si>
  <si>
    <t>DOBUTAMINE IV</t>
  </si>
  <si>
    <t>DOBUTAMINE RECT</t>
  </si>
  <si>
    <t>DOCUSINEZUUR OR</t>
  </si>
  <si>
    <t>DOCUSINEZUUR RECT</t>
  </si>
  <si>
    <t>DOMPERIDON IV</t>
  </si>
  <si>
    <t>DOMPERIDON OR</t>
  </si>
  <si>
    <t>DOMPERIDON RECT</t>
  </si>
  <si>
    <t>DOPAMINE IV</t>
  </si>
  <si>
    <t>DORNASE IV</t>
  </si>
  <si>
    <t>DORNASE-ALFA INH</t>
  </si>
  <si>
    <t xml:space="preserve">DORZOLAMIDE </t>
  </si>
  <si>
    <t>DORZOLAMIDE OCULAIR</t>
  </si>
  <si>
    <t>DOXAPRAM IV</t>
  </si>
  <si>
    <t>DOXAPRAM OR</t>
  </si>
  <si>
    <t>DOXORUBICINE IV</t>
  </si>
  <si>
    <t>DOXORUBICINE OR</t>
  </si>
  <si>
    <t>DOXYCYCLINE IV</t>
  </si>
  <si>
    <t>D-PENICILLAMINE OR</t>
  </si>
  <si>
    <t>DROPERIDOL IV</t>
  </si>
  <si>
    <t>DTP IV</t>
  </si>
  <si>
    <t>DTP OR</t>
  </si>
  <si>
    <t>DTP-VACCIN IM</t>
  </si>
  <si>
    <t xml:space="preserve">DURATEARS </t>
  </si>
  <si>
    <t>EFEDRINE IV</t>
  </si>
  <si>
    <t>EFEDRINE IV/TRACH</t>
  </si>
  <si>
    <t>EFEDRINE LOKAAL</t>
  </si>
  <si>
    <t>ENALAPRIL IV</t>
  </si>
  <si>
    <t>ENALAPRIL OR</t>
  </si>
  <si>
    <t>EPINEFRINE IV/TRACH</t>
  </si>
  <si>
    <t>EPINEFRINE OR</t>
  </si>
  <si>
    <t>EPOPROSTENOL IV</t>
  </si>
  <si>
    <t>ERYTROMYCINE IV</t>
  </si>
  <si>
    <t>ERYTROMYCINE IV/IP/SC</t>
  </si>
  <si>
    <t>ERYTROMYCINE LOKAAL</t>
  </si>
  <si>
    <t>ERYTROMYCINE OR</t>
  </si>
  <si>
    <t>ERYTROPOËTINE IM/IV/RECT</t>
  </si>
  <si>
    <t>ERYTROPOËTINE IV/IP/SC</t>
  </si>
  <si>
    <t>ESKETAMINE IM/IV/RECT</t>
  </si>
  <si>
    <t>ESKETAMINE IV</t>
  </si>
  <si>
    <t>ESKETAMINE OR</t>
  </si>
  <si>
    <t>ESMOLOL IV</t>
  </si>
  <si>
    <t>ESMOLOL OR</t>
  </si>
  <si>
    <t>ESOMEPRAZOL IV</t>
  </si>
  <si>
    <t>ESOMEPRAZOL OR</t>
  </si>
  <si>
    <t>ESTRADIOL OR</t>
  </si>
  <si>
    <t>ESTRADIOL-17BETA OR</t>
  </si>
  <si>
    <t>ESTRADIOL-17ß LOKAAL</t>
  </si>
  <si>
    <t>ESTRADIOL-VALERAAT OR</t>
  </si>
  <si>
    <t>ESTRIOL IV</t>
  </si>
  <si>
    <t>ESTRIOL LOKAAL</t>
  </si>
  <si>
    <t>ETANERCEPT SC</t>
  </si>
  <si>
    <t>ETHAMBUTOL OR</t>
  </si>
  <si>
    <t>ETHINYLESTRADIOL/LEVONORGESTREL OR</t>
  </si>
  <si>
    <t>ETHOSUXIMIDE OR</t>
  </si>
  <si>
    <t>ETHYLCHLORIDE CUTAAN</t>
  </si>
  <si>
    <t>ETIDRONAAT OR</t>
  </si>
  <si>
    <t>ETOMIDAAT IV</t>
  </si>
  <si>
    <t>ETOPOSIDE IV</t>
  </si>
  <si>
    <t>EUCERINE LOKAAL</t>
  </si>
  <si>
    <t>FELBAMAAT OR</t>
  </si>
  <si>
    <t>FENETICILLINE OR</t>
  </si>
  <si>
    <t>FENOBARBITAL IV</t>
  </si>
  <si>
    <t>FENOBARBITAL OR</t>
  </si>
  <si>
    <t>FENOL+MENTHOL LOKAAL</t>
  </si>
  <si>
    <t>FENOXYMETHYL-PENICILLINE OR</t>
  </si>
  <si>
    <t>FENPROCOUMON OR</t>
  </si>
  <si>
    <t>FENTANYL IV</t>
  </si>
  <si>
    <t>FENTANYL OR</t>
  </si>
  <si>
    <t>FENTANYL TRANSDERMAAL</t>
  </si>
  <si>
    <t>FENTANYLPLEISTER LOKAAL</t>
  </si>
  <si>
    <t>FENTOLAMINEMESILAAT IM/IV</t>
  </si>
  <si>
    <t>FENYLEFRINE IM/SC/IV</t>
  </si>
  <si>
    <t>FENYLEFRINE LOKAAL</t>
  </si>
  <si>
    <t>FENYTOÏNE IV</t>
  </si>
  <si>
    <t>FENYTOÏNE OR</t>
  </si>
  <si>
    <t>FERRO(II)FUMARAAT OR</t>
  </si>
  <si>
    <t>FERROFUMARAAT OR</t>
  </si>
  <si>
    <t>FIBRINELIJM LOKAAL</t>
  </si>
  <si>
    <t>FILGRASTIM IV/SC</t>
  </si>
  <si>
    <t>FLAMINAL LOKAAL</t>
  </si>
  <si>
    <t>FLECAÏNIDE IV</t>
  </si>
  <si>
    <t>FLECAÏNIDE OR</t>
  </si>
  <si>
    <t>FLUCLOXACILLINE IV</t>
  </si>
  <si>
    <t>FLUCLOXACILLINE OR</t>
  </si>
  <si>
    <t>FLUCONAZOL IM</t>
  </si>
  <si>
    <t>FLUCONAZOL IV</t>
  </si>
  <si>
    <t>FLUCONAZOL OR</t>
  </si>
  <si>
    <t>FLUCYTOSINE IV</t>
  </si>
  <si>
    <t>FLUDARABINE IV</t>
  </si>
  <si>
    <t>FLUDROCORTISON OR</t>
  </si>
  <si>
    <t>FLUMAZENIL IV</t>
  </si>
  <si>
    <t>FLUNARIZINE OR</t>
  </si>
  <si>
    <t>FLUORMETHOLON LOKAAL</t>
  </si>
  <si>
    <t>FLUOXETINE OR</t>
  </si>
  <si>
    <t>FLUTICASON INH</t>
  </si>
  <si>
    <t>FLUTICASON LOKAAL</t>
  </si>
  <si>
    <t>FLUTICASON-FUROAAT NEUSDR</t>
  </si>
  <si>
    <t xml:space="preserve">FOLINEZUUR </t>
  </si>
  <si>
    <t>FOLINEZUUR IV</t>
  </si>
  <si>
    <t>FOLINEZUUR OR</t>
  </si>
  <si>
    <t>FOLIUMZUUR OR</t>
  </si>
  <si>
    <t>FORLAX OR</t>
  </si>
  <si>
    <t>FOSCARNET IV</t>
  </si>
  <si>
    <t>FOSFAATDRANK-AZU OR</t>
  </si>
  <si>
    <t>FOSFAAT-GEBUFFERD-ZOUT-PH IV</t>
  </si>
  <si>
    <t>FRAMYCETINE CUTAAN</t>
  </si>
  <si>
    <t>FUROSEMIDE IV</t>
  </si>
  <si>
    <t>FUROSEMIDE OR</t>
  </si>
  <si>
    <t>FUSIDINEZUUR CUTAAN</t>
  </si>
  <si>
    <t>FUSIDINEZUUR LOKAAL</t>
  </si>
  <si>
    <t>FYSIOLOGISCH-ZOUT RECT</t>
  </si>
  <si>
    <t>FYSOSTIGMINE-SULFAAT IV</t>
  </si>
  <si>
    <t>FYTOMENADION IM/IV</t>
  </si>
  <si>
    <t>FYTOMENADION OR</t>
  </si>
  <si>
    <t>GABAPENTINE OR</t>
  </si>
  <si>
    <t>GANCICLOVIR IV</t>
  </si>
  <si>
    <t>GANCICLOVIR OR</t>
  </si>
  <si>
    <t>GAVISCON-(COMB.PREP) OR</t>
  </si>
  <si>
    <t>GELATINE-GEMODIFICEERD IV</t>
  </si>
  <si>
    <t>GENOTROPIN SUBCUTAAN</t>
  </si>
  <si>
    <t>GENTAMICINE IMPLANTATIE</t>
  </si>
  <si>
    <t>GENTAMICINE IV</t>
  </si>
  <si>
    <t>GENTAMICINE LOKAAL</t>
  </si>
  <si>
    <t>GENTAMICINE+DEXAMETHASON LOKAAL</t>
  </si>
  <si>
    <t>GENTAMICINE+DEXAMETHASON OR</t>
  </si>
  <si>
    <t>GLIVEC OR</t>
  </si>
  <si>
    <t>GLUCAGON SC/IM</t>
  </si>
  <si>
    <t>GLUCOSE IV</t>
  </si>
  <si>
    <t>GLUCOSE OR</t>
  </si>
  <si>
    <t>GLUCOSE/ZOUT IV</t>
  </si>
  <si>
    <t>GLYCINE IRRIGATIEVLOEISTOF</t>
  </si>
  <si>
    <t>GLYCINE OR</t>
  </si>
  <si>
    <t>GLYCOPYRRONIUM IV</t>
  </si>
  <si>
    <t>GLYCOPYRRONIUM OR</t>
  </si>
  <si>
    <t>GONADORELINE IV/SC</t>
  </si>
  <si>
    <t>GRANISETRON IV</t>
  </si>
  <si>
    <t>GRANISETRON OR</t>
  </si>
  <si>
    <t>HAEMOPHILUS-INFLUENZAE-B-VACCIN IM</t>
  </si>
  <si>
    <t>HALOPERIDOL IM/IV</t>
  </si>
  <si>
    <t>HALOPERIDOL OR</t>
  </si>
  <si>
    <t>HEPAR OR</t>
  </si>
  <si>
    <t>HEPARINE-NATRIUM IV</t>
  </si>
  <si>
    <t>HEPARINE-NATRIUM SC</t>
  </si>
  <si>
    <t>HEPATITIS RECT</t>
  </si>
  <si>
    <t>HEPATITIS-A-VACCIN IM</t>
  </si>
  <si>
    <t>HEPATITIS-B-IMMUNOGLOBULINE IM</t>
  </si>
  <si>
    <t>HEPATITIS-B-VACCIN IM</t>
  </si>
  <si>
    <t>HUMANE-CMV-ANTILICHAMEN IV</t>
  </si>
  <si>
    <t>HYALURON/CARBOM OOG</t>
  </si>
  <si>
    <t>HYALURONIDASE IM/SC</t>
  </si>
  <si>
    <t>HYDROCHLOORTHIAZIDE IM/IV</t>
  </si>
  <si>
    <t>HYDROCHLOORTHIAZIDE OR</t>
  </si>
  <si>
    <t>HYDROCORT+OXYTETRAC+POLYMYX-B LOKAAL</t>
  </si>
  <si>
    <t>HYDROCORTISON IV</t>
  </si>
  <si>
    <t>HYDROCORTISON LOKAAL</t>
  </si>
  <si>
    <t>HYDROCORTISON OR</t>
  </si>
  <si>
    <t>HYDROCORTISON RECT</t>
  </si>
  <si>
    <t>HYDROXOCOBALAMINE IM</t>
  </si>
  <si>
    <t>HYDROXOCOBALAMINE IM/SC</t>
  </si>
  <si>
    <t>HYDROXYCARBAMIDE OR</t>
  </si>
  <si>
    <t>HYDROXYCARBAMIDE PO</t>
  </si>
  <si>
    <t>HYDROXYCHLOROQUINE OR</t>
  </si>
  <si>
    <t>HYDROXYZINE OR</t>
  </si>
  <si>
    <t>HYPOCHLORIET LOKAAL</t>
  </si>
  <si>
    <t>HYPROMELLOSE LOKAAL</t>
  </si>
  <si>
    <t>IBOPAMINE OR</t>
  </si>
  <si>
    <t>IBUPROFEN IV</t>
  </si>
  <si>
    <t>IBUPROFEN OR</t>
  </si>
  <si>
    <t>IDARUBICINE IV</t>
  </si>
  <si>
    <t>IFOSFAMIDE IV</t>
  </si>
  <si>
    <t>IJZER(III)SACCHARAAT IV</t>
  </si>
  <si>
    <t>IMATINIB OR</t>
  </si>
  <si>
    <t>IMIPENEM+CILASTATINE IV</t>
  </si>
  <si>
    <t>IMMUNOGLOBULINE IV</t>
  </si>
  <si>
    <t>IMMUNOGLOBULINE SC</t>
  </si>
  <si>
    <t>IMMUNOGLOBULINE-10% IV</t>
  </si>
  <si>
    <t>IMMUNOGLOBULINE-INTRAMUSCULAIR IM</t>
  </si>
  <si>
    <t>IMMUNOGLOBULINE-INTRAVENEUS-6% IV</t>
  </si>
  <si>
    <t>INDINAVIR OR</t>
  </si>
  <si>
    <t>INDOMETACINE IV</t>
  </si>
  <si>
    <t>INDOMETACINE OR</t>
  </si>
  <si>
    <t>INFLIXIMAB IV</t>
  </si>
  <si>
    <t>INFLUENZAVACCIN SC</t>
  </si>
  <si>
    <t>INSULINE-ASPART SC</t>
  </si>
  <si>
    <t>INSULINE-GLARGINE SC</t>
  </si>
  <si>
    <t>INSULINE-ISOFAAN SC</t>
  </si>
  <si>
    <t>INSULINE-ISOFAAN+KORTWERKEND SC</t>
  </si>
  <si>
    <t>INSULINE-KORTWERKEND IV/SC</t>
  </si>
  <si>
    <t>INSULINE-LISPRO SC</t>
  </si>
  <si>
    <t>INTERFERON-ALFA SC</t>
  </si>
  <si>
    <t>IOTROLAN OR</t>
  </si>
  <si>
    <t>IPRATROPIUM INH</t>
  </si>
  <si>
    <t>ISOFLURAAN INHALATIE</t>
  </si>
  <si>
    <t>ISONIAZIDE IV</t>
  </si>
  <si>
    <t>ISONIAZIDE OR</t>
  </si>
  <si>
    <t>ISOPRENALINE IV</t>
  </si>
  <si>
    <t>ISOSORBIDE OR</t>
  </si>
  <si>
    <t>ITRACONAZOL IV</t>
  </si>
  <si>
    <t>ITRACONAZOL OR</t>
  </si>
  <si>
    <t>JOHEXOL IV/TRACH/OR</t>
  </si>
  <si>
    <t>JOOD LOKAAL</t>
  </si>
  <si>
    <t>JOPROMIDE IV/TRACH/OR</t>
  </si>
  <si>
    <t>JOXITALAMINEZUUR OR</t>
  </si>
  <si>
    <t>KALIUMCHLORIDE IV</t>
  </si>
  <si>
    <t>KALIUMCHLORIDE OR</t>
  </si>
  <si>
    <t>KALIUMCITRAAT OR</t>
  </si>
  <si>
    <t>KALIUMFOSFAAT-DRANK-WKZ OR</t>
  </si>
  <si>
    <t>KALIUMJODAAT OR</t>
  </si>
  <si>
    <t>KALIUMJODIDE OR</t>
  </si>
  <si>
    <t>KALIUM-NATRIUM-FOSFAAT IV</t>
  </si>
  <si>
    <t>KEPPRA OR</t>
  </si>
  <si>
    <t>KETANSERINE IV</t>
  </si>
  <si>
    <t>KETOCONAZOL LOKAAL</t>
  </si>
  <si>
    <t>KETOCONAZOL+TRIAMCINOLON LOKAAL</t>
  </si>
  <si>
    <t>KETOTIFEN OR</t>
  </si>
  <si>
    <t>KINIDINE OR</t>
  </si>
  <si>
    <t>KLEAN-PREP-(COMB.PREP) OR</t>
  </si>
  <si>
    <t>KOOL-GEACTIVEERD OR</t>
  </si>
  <si>
    <t>LABETALOL IV</t>
  </si>
  <si>
    <t>LABETALOL OR</t>
  </si>
  <si>
    <t>LACOSAMIDE OR</t>
  </si>
  <si>
    <t>LACTITOL OR</t>
  </si>
  <si>
    <t>LACTULOSE LOKAAL</t>
  </si>
  <si>
    <t>LACTULOSE OR</t>
  </si>
  <si>
    <t>LAMIVUDINE IV</t>
  </si>
  <si>
    <t>LAMIVUDINE OR</t>
  </si>
  <si>
    <t>LAMOTRIGINE OR</t>
  </si>
  <si>
    <t>LANETTEWAS LOKAAL</t>
  </si>
  <si>
    <t>L-CARNITINE IV</t>
  </si>
  <si>
    <t>L-CARNITINE OR</t>
  </si>
  <si>
    <t>L-CITRULLINE OR</t>
  </si>
  <si>
    <t>LEVETIRACETAM IV</t>
  </si>
  <si>
    <t>LEVETIRACETAM OR</t>
  </si>
  <si>
    <t>LEVETIRACETAM ORAAL</t>
  </si>
  <si>
    <t>LEVOCABASTINE LOKAAL</t>
  </si>
  <si>
    <t xml:space="preserve">LEVOCARNITINE </t>
  </si>
  <si>
    <t>LEVOCARNITINE OR</t>
  </si>
  <si>
    <t>LEVOCETIRIZINE OR</t>
  </si>
  <si>
    <t>LEVODOPA+CARBIDOPA-10:1 OR</t>
  </si>
  <si>
    <t>LEVOFLOXACINE IV</t>
  </si>
  <si>
    <t>LEVOMENTHOL LOKAAL</t>
  </si>
  <si>
    <t xml:space="preserve">LEVOMEPROMAZINE </t>
  </si>
  <si>
    <t>LEVOMEPROMAZINE OR</t>
  </si>
  <si>
    <t>LEVOTHYROXINE IV</t>
  </si>
  <si>
    <t>LEVOTHYROXINE OR</t>
  </si>
  <si>
    <t>LIDOCAÏNE CUTAAN</t>
  </si>
  <si>
    <t>LIDOCAÏNE IV</t>
  </si>
  <si>
    <t>LIDOCAÏNE LOKAAL</t>
  </si>
  <si>
    <t>LIDOCAÏNE OR</t>
  </si>
  <si>
    <t>LIDOCAÏNE PERINEURAAL</t>
  </si>
  <si>
    <t>LIDOCAÏNE/CHLOORHEXIDINE VV</t>
  </si>
  <si>
    <t>LINEZOLID IV</t>
  </si>
  <si>
    <t>LISINOPRIL OR</t>
  </si>
  <si>
    <t>LOPERAMIDE OR</t>
  </si>
  <si>
    <t>LOPINAVIR+RITONAVIR OR</t>
  </si>
  <si>
    <t>LORATADINE OR</t>
  </si>
  <si>
    <t>LORAZEPAM IV</t>
  </si>
  <si>
    <t>LORAZEPAM OR</t>
  </si>
  <si>
    <t>LOSARTAN OR</t>
  </si>
  <si>
    <t>L-SERINE OR</t>
  </si>
  <si>
    <t>LYNESTRENOL OR</t>
  </si>
  <si>
    <t>LYRICA OR</t>
  </si>
  <si>
    <t>MACROGOL OR</t>
  </si>
  <si>
    <t>MACROGOL PO</t>
  </si>
  <si>
    <t xml:space="preserve">MACROGOL/ELEKTROLYTEN </t>
  </si>
  <si>
    <t>MAGNESIUMCHLORIDE IV</t>
  </si>
  <si>
    <t>MAGNESIUMCHLORIDE OR</t>
  </si>
  <si>
    <t>MAGNESIUMCITRAAT OR</t>
  </si>
  <si>
    <t>MAGNESIUMGLUCONAAT OR</t>
  </si>
  <si>
    <t>MAGNESIUMHYDROXIDE OR</t>
  </si>
  <si>
    <t>MAGNESIUMOXIDE OR</t>
  </si>
  <si>
    <t>MAGNESIUMSULFAAT IV</t>
  </si>
  <si>
    <t>MANNITOL IV</t>
  </si>
  <si>
    <t>MEBENDAZOL OR</t>
  </si>
  <si>
    <t>Medicatie Taak Eenmalige Medicatie</t>
  </si>
  <si>
    <t>MEDROXYPROGESTERON OR</t>
  </si>
  <si>
    <t>MELATONINE OR</t>
  </si>
  <si>
    <t>MENINGOKOKKENVACCIN IM</t>
  </si>
  <si>
    <t>MERCAPTO-ETHAANSULFONZUUR INH</t>
  </si>
  <si>
    <t>MERCAPTOETHAAN-SULFONZUUR IV</t>
  </si>
  <si>
    <t>MERCAPTOPURINE OR</t>
  </si>
  <si>
    <t>MEROPENEM IV</t>
  </si>
  <si>
    <t>MESALAZINE OR</t>
  </si>
  <si>
    <t>MESALAZINE RECT</t>
  </si>
  <si>
    <t>METHADON OR</t>
  </si>
  <si>
    <t>METHADON+METOCLOPRAMIDE OR</t>
  </si>
  <si>
    <t>METHADON+METOCLOPRAMIDE-(COMB.PREP.) OR</t>
  </si>
  <si>
    <t>METHOTREXAAT IV</t>
  </si>
  <si>
    <t>METHOTREXAAT IV/ITH</t>
  </si>
  <si>
    <t>METHOTREXAAT OR</t>
  </si>
  <si>
    <t>METHOTREXAAT SC/IM</t>
  </si>
  <si>
    <t>METHYLCELLULOSE LOKAAL</t>
  </si>
  <si>
    <t>METHYLEENBLAUW IV</t>
  </si>
  <si>
    <t>METHYLFENIDAAT OR</t>
  </si>
  <si>
    <t>METHYLPREDNISOLON IV</t>
  </si>
  <si>
    <t>METOCLOPRAMIDE IV</t>
  </si>
  <si>
    <t>METOCLOPRAMIDE OR</t>
  </si>
  <si>
    <t>METOCLOPRAMIDE RECT</t>
  </si>
  <si>
    <t>METOPROLOL IV</t>
  </si>
  <si>
    <t>METOPROLOL OR</t>
  </si>
  <si>
    <t>METRONIDAZOL IV</t>
  </si>
  <si>
    <t>METRONIDAZOL OR</t>
  </si>
  <si>
    <t>MICAFUNGINE IV</t>
  </si>
  <si>
    <t>MICANOZOL OR</t>
  </si>
  <si>
    <t>MICONAZOL CUTAAN</t>
  </si>
  <si>
    <t>MICONAZOL LOKAAL</t>
  </si>
  <si>
    <t>MICONAZOL OR</t>
  </si>
  <si>
    <t>MICROLAX-(COMB.PREP) RECT</t>
  </si>
  <si>
    <t>MIDAZOLAM INH</t>
  </si>
  <si>
    <t>MIDAZOLAM IV</t>
  </si>
  <si>
    <t>MIDAZOLAM OR</t>
  </si>
  <si>
    <t>MILRINON IV</t>
  </si>
  <si>
    <t>MINOXIDIL OR</t>
  </si>
  <si>
    <t>MITOXANTRON IV</t>
  </si>
  <si>
    <t>MIVACURIUM IV</t>
  </si>
  <si>
    <t>MOLGRAMOSTIM IV/SC</t>
  </si>
  <si>
    <t>MOMETHASON LOKAAL</t>
  </si>
  <si>
    <t>MONTELUKAST OR</t>
  </si>
  <si>
    <t>MORFINE EPIDUR</t>
  </si>
  <si>
    <t>MORFINE IV</t>
  </si>
  <si>
    <t>MORFINE OR</t>
  </si>
  <si>
    <t>MORFINE SC</t>
  </si>
  <si>
    <t>MORFINE+BUPIVACAÏNE-(COMB.PREP) EPIDUR</t>
  </si>
  <si>
    <t>MOVICOLON OR</t>
  </si>
  <si>
    <t>MOXIFLOXACINE OR</t>
  </si>
  <si>
    <t>MULTIVITAMINE-PREPARATEN OR</t>
  </si>
  <si>
    <t>MUPIROCIN CUTAAN</t>
  </si>
  <si>
    <t>MUPIROCIN LOKAAL</t>
  </si>
  <si>
    <t>MUPIROCIN NEUS</t>
  </si>
  <si>
    <t>MUROMONAB-CD3 IV</t>
  </si>
  <si>
    <t>MYCOFENOLAAT IV</t>
  </si>
  <si>
    <t>MYCOFENOLAAT OR</t>
  </si>
  <si>
    <t>MYCOFENOLZUUR OR</t>
  </si>
  <si>
    <t>NADROPARINE SC</t>
  </si>
  <si>
    <t>NALOXON IV/IM/TRACH</t>
  </si>
  <si>
    <t>NAPROXEN OR</t>
  </si>
  <si>
    <t>NAPROXEN RECT</t>
  </si>
  <si>
    <t>NASONEX LOK</t>
  </si>
  <si>
    <t>NATRIUMBENZOAAT IV</t>
  </si>
  <si>
    <t>NATRIUMBENZOAAT OR</t>
  </si>
  <si>
    <t>NATRIUMCARBONAAT LOKAAL</t>
  </si>
  <si>
    <t>NATRIUMCHLORIDE INH</t>
  </si>
  <si>
    <t>NATRIUMCHLORIDE IV</t>
  </si>
  <si>
    <t>NATRIUMCHLORIDE NEUSDR</t>
  </si>
  <si>
    <t>NATRIUMCHLORIDE OR</t>
  </si>
  <si>
    <t>NATRIUMCITRAAT OR</t>
  </si>
  <si>
    <t>NATRIUMFLUORIDE OR</t>
  </si>
  <si>
    <t>NATRIUMFOSFAAT OCULAIR</t>
  </si>
  <si>
    <t>NATRIUMFOSFAAT RECT</t>
  </si>
  <si>
    <t>NATRIUMTHIOSULFAAT IV</t>
  </si>
  <si>
    <t>NATRIUMTHIOSULFAAT LOKAAL</t>
  </si>
  <si>
    <t>NATRIUMWATERSTOF­CARBONAAT IV</t>
  </si>
  <si>
    <t>NATRIUMWATERSTOFCARBONAAT OR</t>
  </si>
  <si>
    <t>NATRIUMWATERSTOF­CARBONAAT OR</t>
  </si>
  <si>
    <t>NELFINAVIR OR</t>
  </si>
  <si>
    <t>NEOMYCINE-SULFAAT OR</t>
  </si>
  <si>
    <t>NEVIRAPINE OR</t>
  </si>
  <si>
    <t>NICARDIPINE IV</t>
  </si>
  <si>
    <t>NICOTINAMIDE OR</t>
  </si>
  <si>
    <t>NIFEDIPINE OR</t>
  </si>
  <si>
    <t>NIMODIPINE OR</t>
  </si>
  <si>
    <t>NITAZOXANIDE OR</t>
  </si>
  <si>
    <t>NITISINON-NTBC OR</t>
  </si>
  <si>
    <t>NITRAZEPAM OR</t>
  </si>
  <si>
    <t>NITROFURANTOÏNE OR</t>
  </si>
  <si>
    <t>NITROGLYCERINE CUTAAN</t>
  </si>
  <si>
    <t>NITROGLYCERINE IV</t>
  </si>
  <si>
    <t>NITROPRUSSIDE-NATRIUM IV</t>
  </si>
  <si>
    <t>NOREPINEFRINE IV</t>
  </si>
  <si>
    <t>NORETHISTERON OR</t>
  </si>
  <si>
    <t>NORFLOXACINE OR</t>
  </si>
  <si>
    <t>NORMAAL-IMMUNOGLOBULINE IV</t>
  </si>
  <si>
    <t>NYSTATINE CUTAAN</t>
  </si>
  <si>
    <t>NYSTATINE OR</t>
  </si>
  <si>
    <t>OBIDOXIM IV</t>
  </si>
  <si>
    <t>OCTOCOG IV</t>
  </si>
  <si>
    <t>OCTOCOG-ALFA IV</t>
  </si>
  <si>
    <t>OCTREOTIDE IV</t>
  </si>
  <si>
    <t>OCTREOTIDE SC</t>
  </si>
  <si>
    <t>OESTROGENEN-GECONJUGEERD IV/IM</t>
  </si>
  <si>
    <t>OFLOXACINE LOKAAL</t>
  </si>
  <si>
    <t>OLANZAPINE OR</t>
  </si>
  <si>
    <t>OLIE LOKAAL</t>
  </si>
  <si>
    <t>OMEGA OR</t>
  </si>
  <si>
    <t>OMEGAVISOLIE OR</t>
  </si>
  <si>
    <t>OMEPRAZOL IV</t>
  </si>
  <si>
    <t>OMEPRAZOL OR</t>
  </si>
  <si>
    <t>ONDANSETRON IV</t>
  </si>
  <si>
    <t>ONDANSETRON OR</t>
  </si>
  <si>
    <t>ONDANSETRON RECT</t>
  </si>
  <si>
    <t>ORS-REHYDRATIEDRANK OR</t>
  </si>
  <si>
    <t>OSELTAMIVIR OR</t>
  </si>
  <si>
    <t>OSPOLOT OR</t>
  </si>
  <si>
    <t>OXAZEPAM OR</t>
  </si>
  <si>
    <t>OXCARBAZEPINE OR</t>
  </si>
  <si>
    <t>OXYBUPROCAINE LOKAAL</t>
  </si>
  <si>
    <t>OXYBUTYNINE BLAAS</t>
  </si>
  <si>
    <t>OXYBUTYNINE BLAASINSTILLATIE</t>
  </si>
  <si>
    <t>OXYBUTYNINE IM</t>
  </si>
  <si>
    <t>OXYBUTYNINE OR</t>
  </si>
  <si>
    <t>OXYCODON OR</t>
  </si>
  <si>
    <t>OXYMETAZOLINE NEUSDR</t>
  </si>
  <si>
    <t>PALIVIZUMAB IM</t>
  </si>
  <si>
    <t>P-AMINOHYPPUUR-ZUUR IV</t>
  </si>
  <si>
    <t>PANCREATINE-(COMB.PREP.) OR</t>
  </si>
  <si>
    <t>PANCREATINE-(COMB.PREP.) RECT</t>
  </si>
  <si>
    <t>PANCURONIUM IV</t>
  </si>
  <si>
    <t>PANTOPRAZOL IV</t>
  </si>
  <si>
    <t>PANTOPRAZOL OR</t>
  </si>
  <si>
    <t>PARACETAMOL IV</t>
  </si>
  <si>
    <t>PARACETAMOL OR</t>
  </si>
  <si>
    <t>PARACETAMOL RECT</t>
  </si>
  <si>
    <t>PARACETAMOL+CODEÏNE RECT</t>
  </si>
  <si>
    <t>PARAFFINE LOKAAL</t>
  </si>
  <si>
    <t>PARAFFINE OR</t>
  </si>
  <si>
    <t>PARAFFINE/VASELINE/WOLVET LOKAAL</t>
  </si>
  <si>
    <t>PARAFFINE/VASELINE/WOLVET OR</t>
  </si>
  <si>
    <t>PARECOXIB IV</t>
  </si>
  <si>
    <t>PAROMOMYCINE OR</t>
  </si>
  <si>
    <t>PEDITRACE IV</t>
  </si>
  <si>
    <t>PEGFILGRASTIM SC</t>
  </si>
  <si>
    <t>PENTAMIDINE IV / INHALATIE</t>
  </si>
  <si>
    <t>PERAMPANEL OR</t>
  </si>
  <si>
    <t>PERMETRINE CUTAAN</t>
  </si>
  <si>
    <t>PERMETRINE LOKAAL</t>
  </si>
  <si>
    <t>PETHIDINE IM/IV</t>
  </si>
  <si>
    <t>PETHIDINE-COCKTAIL-(COMB.PREP) IM</t>
  </si>
  <si>
    <t>PHENYLBUTYRAAT OR</t>
  </si>
  <si>
    <t>PILOCARPINE LOKAAL</t>
  </si>
  <si>
    <t>PIPAMPERON LOKAAL</t>
  </si>
  <si>
    <t>PIPAMPERON OR</t>
  </si>
  <si>
    <t>PIPERACILLINE IV</t>
  </si>
  <si>
    <t>PIPERACILLINE+TAZOBACTAM IV</t>
  </si>
  <si>
    <t>PIRITRAMIDE IV</t>
  </si>
  <si>
    <t>PIROXICAM OR</t>
  </si>
  <si>
    <t>PIZOTIFEEN OR</t>
  </si>
  <si>
    <t>PLANTAGO OR</t>
  </si>
  <si>
    <t>PLASMA-EIWITOPLOSSING IV</t>
  </si>
  <si>
    <t>PLEXIVIT OR</t>
  </si>
  <si>
    <t>PNEUMOKOKKENVACCIN IM</t>
  </si>
  <si>
    <t>POLYFRUCTOSAN IV</t>
  </si>
  <si>
    <t>POLYMYXINE-B+TRIMETHOPRIM LOKAAL</t>
  </si>
  <si>
    <t>POLYSTYREEN-SULFONZUUR OR</t>
  </si>
  <si>
    <t>POLYSTYREEN-SULFONZUUR RECT</t>
  </si>
  <si>
    <t>POLYVIDON LOKAAL</t>
  </si>
  <si>
    <t>POSACONAZOL IV</t>
  </si>
  <si>
    <t>POSACONAZOL OR</t>
  </si>
  <si>
    <t>POVIDON-JOOD BLAASSPOELING</t>
  </si>
  <si>
    <t>POVIDON-JOOD LOKAAL</t>
  </si>
  <si>
    <t>PRAMIPEXOL OR</t>
  </si>
  <si>
    <t>PREDNISOLON IV</t>
  </si>
  <si>
    <t>PREDNISOLON LOKAAL</t>
  </si>
  <si>
    <t>PREDNISOLON OR</t>
  </si>
  <si>
    <t>PREGABALINE OR</t>
  </si>
  <si>
    <t>PROBENECID OR</t>
  </si>
  <si>
    <t>PROCAÏNAMIDE IV</t>
  </si>
  <si>
    <t>PROCARBAZINE OR</t>
  </si>
  <si>
    <t>PROMETHAZINE IM/IV</t>
  </si>
  <si>
    <t>PROMETHAZINE OR</t>
  </si>
  <si>
    <t>PROPAFENON IV</t>
  </si>
  <si>
    <t>PROPAFENON OR</t>
  </si>
  <si>
    <t>PROPANOL+ISOPROPANOL+MECETRONIUM LOKAAL</t>
  </si>
  <si>
    <t>PROPANOLOL OR</t>
  </si>
  <si>
    <t>PROPOFOL IM</t>
  </si>
  <si>
    <t>PROPOFOL IV</t>
  </si>
  <si>
    <t>PROPRANOLOL IV</t>
  </si>
  <si>
    <t>PROPRANOLOL OR</t>
  </si>
  <si>
    <t>PROPYLTHIOURACIL OR</t>
  </si>
  <si>
    <t>PROTAMINE IV</t>
  </si>
  <si>
    <t>PROTIRELINE IV</t>
  </si>
  <si>
    <t>PYRAZINAMIDE OR</t>
  </si>
  <si>
    <t>PYRIDOSTIGMINE OR</t>
  </si>
  <si>
    <t>PYRIDOXAAL-5-FOSFAAT OR</t>
  </si>
  <si>
    <t>PYRIDOXAALFOSFAAT OR</t>
  </si>
  <si>
    <t>PYRIDOXINE IV</t>
  </si>
  <si>
    <t>PYRIDOXINE OR</t>
  </si>
  <si>
    <t>PYRIMETHAMINE OR</t>
  </si>
  <si>
    <t>QUETIAPINE OR</t>
  </si>
  <si>
    <t>QUINAPRIL OR</t>
  </si>
  <si>
    <t>RAMIPRIL OR</t>
  </si>
  <si>
    <t>RANITIDINE IV</t>
  </si>
  <si>
    <t>RANITIDINE OR</t>
  </si>
  <si>
    <t>RASBURICASE IV</t>
  </si>
  <si>
    <t>REMIFENTANIL IV</t>
  </si>
  <si>
    <t>RESORCINOL-(COMB.PREP) LOKAAL</t>
  </si>
  <si>
    <t>RETINOL-ACETAAT OR</t>
  </si>
  <si>
    <t>RIBAVIRINE IV</t>
  </si>
  <si>
    <t>RIBAVIRINE OR</t>
  </si>
  <si>
    <t>RIBOFLAVINE OR</t>
  </si>
  <si>
    <t>RIFABUTINE OR</t>
  </si>
  <si>
    <t>RIFAMPICINE IV</t>
  </si>
  <si>
    <t>RIFAMPICINE OR</t>
  </si>
  <si>
    <t>RISPERIDON OR</t>
  </si>
  <si>
    <t>RITONAVIR OR</t>
  </si>
  <si>
    <t>RITUXIMAB IV</t>
  </si>
  <si>
    <t>ROCURONIUM IV</t>
  </si>
  <si>
    <t>ROPIVACAÏNE PERINEURAAL</t>
  </si>
  <si>
    <t>RUFINAMIDE OR</t>
  </si>
  <si>
    <t>SALBUTAMOL INH</t>
  </si>
  <si>
    <t>SALBUTAMOL IV</t>
  </si>
  <si>
    <t>SALBUTAMOL OR</t>
  </si>
  <si>
    <t>SALICYLZUUR LOKAAL</t>
  </si>
  <si>
    <t>SALMETEROL INH</t>
  </si>
  <si>
    <t>SALMETEROL/FLUTICASON INH</t>
  </si>
  <si>
    <t>SELEEN OR</t>
  </si>
  <si>
    <t>SELEENSULFIDE LOKAAL</t>
  </si>
  <si>
    <t>SENNOSIDEN-A-B OR</t>
  </si>
  <si>
    <t>SERETIDE INH</t>
  </si>
  <si>
    <t>SEVELAMEER OR</t>
  </si>
  <si>
    <t>SEVOFLURAAN INHALATIE</t>
  </si>
  <si>
    <t>SILDENAFIL IV</t>
  </si>
  <si>
    <t>SILDENAFIL OR</t>
  </si>
  <si>
    <t>SIMVASTATINE OR</t>
  </si>
  <si>
    <t>SINGULAIR OR</t>
  </si>
  <si>
    <t>SIROLIMUS OR</t>
  </si>
  <si>
    <t>SOJAOLIE-GEFRACTIONEERD IV</t>
  </si>
  <si>
    <t>SOLIFENACINE OR</t>
  </si>
  <si>
    <t>SOLUTIO-G-UROTAINER BLAASINSTILLATIE</t>
  </si>
  <si>
    <t>SOMATROPINE SC</t>
  </si>
  <si>
    <t>SOTALOL IV</t>
  </si>
  <si>
    <t>SOTALOL OR</t>
  </si>
  <si>
    <t>SPIRONOLACTON OR</t>
  </si>
  <si>
    <t>STAVUDINE OR</t>
  </si>
  <si>
    <t>STIRIPENTOL OR</t>
  </si>
  <si>
    <t>STUDIE-MEDICATIE IV</t>
  </si>
  <si>
    <t>STUDIE-MEDICATIE OR</t>
  </si>
  <si>
    <t>SUCRALFAAT OR</t>
  </si>
  <si>
    <t>SUFENTANIL IV</t>
  </si>
  <si>
    <t>SULFADIAZINE OR</t>
  </si>
  <si>
    <t>SULFASALAZINE OR</t>
  </si>
  <si>
    <t>SULTIAM OR</t>
  </si>
  <si>
    <t>SULTIAM ORAAL</t>
  </si>
  <si>
    <t>SUXAMETHONIUM IV</t>
  </si>
  <si>
    <t>TACHOLIQUIN VERN</t>
  </si>
  <si>
    <t>TACROLIMUS IV</t>
  </si>
  <si>
    <t>TACROLIMUS LOKAAL</t>
  </si>
  <si>
    <t>TACROLIMUS OR</t>
  </si>
  <si>
    <t>TAMIFLU OR</t>
  </si>
  <si>
    <t>TAURINE OR</t>
  </si>
  <si>
    <t>TAUROLIDINE IV</t>
  </si>
  <si>
    <t>TEICOPLANINE IV</t>
  </si>
  <si>
    <t>TEMAZEPAM OR</t>
  </si>
  <si>
    <t>TENIPOSIDE IV</t>
  </si>
  <si>
    <t>TERBINAFINE LOKAAL</t>
  </si>
  <si>
    <t>TERBUTALINE INH</t>
  </si>
  <si>
    <t>TERLIPRESSINE IV</t>
  </si>
  <si>
    <t>TESTOSTERON IM</t>
  </si>
  <si>
    <t>TESTOSTERON LOKAAL</t>
  </si>
  <si>
    <t>TESTOSTERON OR</t>
  </si>
  <si>
    <t>TETANUS-IMMUNOGLOBULINE IM</t>
  </si>
  <si>
    <t>TETANUSVACCIN IM</t>
  </si>
  <si>
    <t xml:space="preserve">TETRABENAZINE </t>
  </si>
  <si>
    <t>TETRACAINE LOKAAL</t>
  </si>
  <si>
    <t>TETRACOSACTIDE IM</t>
  </si>
  <si>
    <t>TETRACOSACTIDE IM/IV</t>
  </si>
  <si>
    <t>TETRACOSACTIDE IV</t>
  </si>
  <si>
    <t>THEOFYLLINE IV</t>
  </si>
  <si>
    <t>THEOFYLLINE OR</t>
  </si>
  <si>
    <t>THIAMAZOL OR</t>
  </si>
  <si>
    <t>THIAMINE IM/SC/IV</t>
  </si>
  <si>
    <t>THIAMINE OR</t>
  </si>
  <si>
    <t>THIOPENTAL IV</t>
  </si>
  <si>
    <t xml:space="preserve">THUISMEDICATIE </t>
  </si>
  <si>
    <t>THYMOCYTEN-IMMUNOGLOB-(ATG) IV</t>
  </si>
  <si>
    <t>THYMOCYTEN-IMMUNOGLOBULINE-(ATG) IV</t>
  </si>
  <si>
    <t>TIJMSTROOP OR</t>
  </si>
  <si>
    <t>TILACTASE OR</t>
  </si>
  <si>
    <t>TIMOLOL LOKAAL</t>
  </si>
  <si>
    <t>TINIDAZOL OR</t>
  </si>
  <si>
    <t>TIOGUANINE OR</t>
  </si>
  <si>
    <t>TIOPRONINE OR</t>
  </si>
  <si>
    <t>TOBRAMYCINE INH</t>
  </si>
  <si>
    <t>TOBRAMYCINE IV</t>
  </si>
  <si>
    <t>TOBRAMYCINE LOKAAL</t>
  </si>
  <si>
    <t>TOBRAMYCINE OR</t>
  </si>
  <si>
    <t>TOCOFEROLACET-(VITAMINE-E) OR</t>
  </si>
  <si>
    <t>TOLTERODINE OR</t>
  </si>
  <si>
    <t>TOLVAPTAN OR</t>
  </si>
  <si>
    <t>TOPIRAMAAT OR</t>
  </si>
  <si>
    <t>TPN IV</t>
  </si>
  <si>
    <t>TRAMADOL IV</t>
  </si>
  <si>
    <t>TRAMADOL OR</t>
  </si>
  <si>
    <t>TRAMADOL RECT</t>
  </si>
  <si>
    <t>TRANEXAMINEZUUR IV</t>
  </si>
  <si>
    <t>TRANEXAMINEZUUR OR</t>
  </si>
  <si>
    <t>TRANSIPEG-(COMB.PREP) OR</t>
  </si>
  <si>
    <t>TRETINOINE LOKAAL</t>
  </si>
  <si>
    <t>TRIAMCINOLON CUTAAN</t>
  </si>
  <si>
    <t>TRIAMCINOLON-ACETONIDE INTRA-ARTICULAIR</t>
  </si>
  <si>
    <t>TRIAMCINOLONACETONIDE LOKAAL</t>
  </si>
  <si>
    <t>TRIAMTEREEN IV</t>
  </si>
  <si>
    <t>TRIAMTEREEN OR</t>
  </si>
  <si>
    <t>TRIHEXYPHENIDYL OR</t>
  </si>
  <si>
    <t>TRIMETHOPRIM OR</t>
  </si>
  <si>
    <t>TROMBOCYTEN IV</t>
  </si>
  <si>
    <t>TROMETAMOL IV</t>
  </si>
  <si>
    <t>TROPICAMIDE LOKAAL</t>
  </si>
  <si>
    <t>TUBERCULINE INTRACUTAAN</t>
  </si>
  <si>
    <t>UROKINASE IV</t>
  </si>
  <si>
    <t>UROTAINER-FYS.ZOUT BLAASSPOELING</t>
  </si>
  <si>
    <t>URSODEOXYCHOLZUUR OR</t>
  </si>
  <si>
    <t>URSODEOXYCHOLZUURDRANK OR</t>
  </si>
  <si>
    <t>URSOFALK OR</t>
  </si>
  <si>
    <t>VALACICLOVIR OR</t>
  </si>
  <si>
    <t>VALGANCICLOVIR OR</t>
  </si>
  <si>
    <t>VALPROAAT IV</t>
  </si>
  <si>
    <t>VALPROAAT OR</t>
  </si>
  <si>
    <t>VALPROAAT RECT</t>
  </si>
  <si>
    <t>VANCOMYCINE IV</t>
  </si>
  <si>
    <t>VANCOMYCINE OR</t>
  </si>
  <si>
    <t>VARICELLA-ZOSTER IM</t>
  </si>
  <si>
    <t>VASELINE LOKAAL</t>
  </si>
  <si>
    <t>VASELINE/PARAFFINE LOKAAL</t>
  </si>
  <si>
    <t>VECURONIUM IV</t>
  </si>
  <si>
    <t>VERAPAMIL IV</t>
  </si>
  <si>
    <t>VERAPAMIL OR</t>
  </si>
  <si>
    <t>VIGABATRINE OR</t>
  </si>
  <si>
    <t>VINBLASTINE IV</t>
  </si>
  <si>
    <t>VINCRISTINE IV</t>
  </si>
  <si>
    <t>VISIPAQUE OR</t>
  </si>
  <si>
    <t>VITAMINE OR</t>
  </si>
  <si>
    <t>VITAMINE-A/D OR</t>
  </si>
  <si>
    <t>VITAMINE-A/D/E/K IV</t>
  </si>
  <si>
    <t>VITAMINE-B/C IV</t>
  </si>
  <si>
    <t>VITAMINE-B-COMPLEX OR</t>
  </si>
  <si>
    <t>VORICONAZOL IV</t>
  </si>
  <si>
    <t>VORICONAZOL OR</t>
  </si>
  <si>
    <t>XYLOMETAZOLINE NASAAL</t>
  </si>
  <si>
    <t>XYLOMETAZOLINE NEUSDR</t>
  </si>
  <si>
    <t>ZIDOVUDINE IV</t>
  </si>
  <si>
    <t>ZIDOVUDINE OR</t>
  </si>
  <si>
    <t>ZILVERSULFADIAZINE LOKAAL</t>
  </si>
  <si>
    <t>ZINKOXIDE LOKAAL</t>
  </si>
  <si>
    <t>ZINKSULFAAT IV</t>
  </si>
  <si>
    <t>ZINKSULFAAT LOKAAL</t>
  </si>
  <si>
    <t>ZINKSULFAAT OR</t>
  </si>
  <si>
    <t>ZOMACTON SC</t>
  </si>
  <si>
    <t>ZONISAMIDE OR</t>
  </si>
  <si>
    <t>ZzzCAPOTEN OR</t>
  </si>
  <si>
    <t>MO</t>
  </si>
  <si>
    <t>Doorverdund</t>
  </si>
  <si>
    <t>Doorverdunningstekst</t>
  </si>
  <si>
    <t>Patient:</t>
  </si>
  <si>
    <t>Naam arts:</t>
  </si>
  <si>
    <t>Tijd:</t>
  </si>
  <si>
    <t>Nummer:</t>
  </si>
  <si>
    <t>Unit 1-1</t>
  </si>
  <si>
    <t>Unit 1-2</t>
  </si>
  <si>
    <t>Unit 1-3</t>
  </si>
  <si>
    <t>Unit 1-4</t>
  </si>
  <si>
    <t>Unit 1-5</t>
  </si>
  <si>
    <t>Unit 1-7</t>
  </si>
  <si>
    <t>Unit 1-8</t>
  </si>
  <si>
    <t>Unit 1-9</t>
  </si>
  <si>
    <t>Unit 2-1</t>
  </si>
  <si>
    <t>Unit 2-2</t>
  </si>
  <si>
    <t>Unit 2-3</t>
  </si>
  <si>
    <t>Unit 2-4</t>
  </si>
  <si>
    <t>Unit 2-5</t>
  </si>
  <si>
    <t>Unit 2-6</t>
  </si>
  <si>
    <t>Unit 2-7</t>
  </si>
  <si>
    <t>Unit 2-8</t>
  </si>
  <si>
    <t>Unit 2-9</t>
  </si>
  <si>
    <t>Toev.03</t>
  </si>
  <si>
    <t>AND (@bed IS NULL OR RTRIM(LTRIM(b.BedName)) = RTRIM(LTRIM(@bed)))</t>
  </si>
  <si>
    <t>Unit 1-6</t>
  </si>
  <si>
    <t>ml/kg/dag</t>
  </si>
  <si>
    <t>Berekende waarden</t>
  </si>
  <si>
    <t>Houdbaarheid (in dagen)</t>
  </si>
  <si>
    <t>SET @patNum = '999999'</t>
  </si>
  <si>
    <t>, (SELECT TOP 1 dts.Value</t>
  </si>
  <si>
    <t xml:space="preserve">   FROM DateTimeSignals dts</t>
  </si>
  <si>
    <t xml:space="preserve">   WHERE dts.PatientID = pl.PatientID AND dts.ParameterID = @bd</t>
  </si>
  <si>
    <t xml:space="preserve">   ORDER BY dts.[Time] DESC)</t>
  </si>
  <si>
    <t xml:space="preserve">   BirthDate</t>
  </si>
  <si>
    <t>LEFT JOIN Beds b ON b.BedID = pl.BedID</t>
  </si>
  <si>
    <t>(@patId IS NULL OR pl.PatientID = @patId)</t>
  </si>
  <si>
    <t>SQL voor patienten ophalen verbeterd</t>
  </si>
  <si>
    <t>Omschrijving</t>
  </si>
  <si>
    <t>Discontinue voorschrijf formulier met keer dosering berekening</t>
  </si>
  <si>
    <t>0.10.26-beta</t>
  </si>
  <si>
    <t>Fiks bug ontberekende generieken in pick list</t>
  </si>
  <si>
    <t>0.10.27-beta</t>
  </si>
  <si>
    <t>Fiks bug in berekening epiduraal dosering NICU brief</t>
  </si>
  <si>
    <t>Fiks bug niet doorvoeren van abs max dosering</t>
  </si>
  <si>
    <t>Ontbrekende generieken door ontbreken in Metavision, Versie 0.10.26-beta terug gedraaid</t>
  </si>
  <si>
    <t>0.10.29-beta</t>
  </si>
  <si>
    <t>0.10.23-beta</t>
  </si>
  <si>
    <t>0.10.28-beta</t>
  </si>
  <si>
    <t>0.10.25-beta</t>
  </si>
  <si>
    <t>0.10.24-beta</t>
  </si>
  <si>
    <t>Fiks oplosvolume tekst was niet correct</t>
  </si>
  <si>
    <t>0.11.00-beta</t>
  </si>
  <si>
    <t>Neonatale continue medicatie configuratie</t>
  </si>
  <si>
    <t>0.11.01-beta</t>
  </si>
  <si>
    <t>Parenteralia configuratie</t>
  </si>
  <si>
    <t>BAXA bereiding</t>
  </si>
  <si>
    <t>11 tot 40</t>
  </si>
  <si>
    <t>vanaf 40</t>
  </si>
  <si>
    <t>Continue pediatrie medicatie gewichts klasse toegevoegd</t>
  </si>
  <si>
    <t>0,12.00-beta</t>
  </si>
  <si>
    <t>Continue pediatrie pomp stand berekening via dosering</t>
  </si>
  <si>
    <t>Anti-aritmica</t>
  </si>
  <si>
    <t>\db\</t>
  </si>
  <si>
    <t>0.12.01-beta</t>
  </si>
  <si>
    <t>Bug fixing medicatie discontinu onbekend medicament</t>
  </si>
  <si>
    <t>0.12.02-beta</t>
  </si>
  <si>
    <t>Medicatie discontinu oplossing wegschrijven</t>
  </si>
  <si>
    <t>0.13.00-beta</t>
  </si>
  <si>
    <t>Discontinue medicatie configuratie formulier</t>
  </si>
  <si>
    <t>0.14.00-beta</t>
  </si>
  <si>
    <t>Discontinue medicate productnaam toegevoegd en generieknaam uit assortiment bestand</t>
  </si>
  <si>
    <t>Mogelijkheid om generiek naam te wijzigen</t>
  </si>
  <si>
    <t>0.14.01-beta</t>
  </si>
  <si>
    <t>0.14.02-beta</t>
  </si>
  <si>
    <t>Canonicalize generiek naam, - voor spatie, + voor /</t>
  </si>
  <si>
    <t>0.14.03-beta</t>
  </si>
  <si>
    <t>Fix bug in tekst vrije tekst ped continue medicatie</t>
  </si>
  <si>
    <t>0.14.04-beta</t>
  </si>
  <si>
    <t>Fix bug in med disc frequentie lijst</t>
  </si>
  <si>
    <t>0.14.05-beta</t>
  </si>
  <si>
    <t>Correct epi calculatie voor infuus brief</t>
  </si>
  <si>
    <t>0.14.06-beta</t>
  </si>
  <si>
    <t>Infuusbrief berekent standaard voor quick pick list selectie</t>
  </si>
  <si>
    <t>0.14.07-beta</t>
  </si>
  <si>
    <t>Infuusbrief print alleen apotheek brief indien patient nummer en 17:00 versie</t>
  </si>
  <si>
    <t>0.11.02-beta</t>
  </si>
  <si>
    <t>0.14.08-beta</t>
  </si>
  <si>
    <t>Fiks bug verdunnings tekst neo med cont configuratie wegschrijven</t>
  </si>
  <si>
    <t>0.14.09-beta</t>
  </si>
  <si>
    <t>Fiks bug synoniem toepassen in config discontinue medicatie</t>
  </si>
  <si>
    <t>0.14.10-beta</t>
  </si>
  <si>
    <t>Fiks bug discontinue medicatie generiek count + 1</t>
  </si>
  <si>
    <t>0.14.11-beta</t>
  </si>
  <si>
    <t>0.14.12-beta</t>
  </si>
  <si>
    <t>Fiks bug berekening ped continue med totalen</t>
  </si>
  <si>
    <t>0.14.13-beta</t>
  </si>
  <si>
    <t>Fiks bug neo ontbrekende wondtekst</t>
  </si>
  <si>
    <t>Verander neo werkbrief geen nullen laten zien</t>
  </si>
  <si>
    <t>Tekst overig</t>
  </si>
  <si>
    <t>Maagsonde afhangend</t>
  </si>
  <si>
    <t>Overig tekst</t>
  </si>
  <si>
    <t>0.14.14-beta</t>
  </si>
  <si>
    <t>Neo aanvullende afspraken missende items toegevoegd</t>
  </si>
  <si>
    <t>0.14.15-beta</t>
  </si>
  <si>
    <t>Neo Infuusbrief, blokkeer invoer dosering voor epiduralen en doxapram</t>
  </si>
  <si>
    <t>0.14.16-beta</t>
  </si>
  <si>
    <t>Fiks bug totalen pediatrie continue medicatie</t>
  </si>
  <si>
    <t>0.14.17-beta</t>
  </si>
  <si>
    <t>Fiks bug pediatrie voeding poeder po berekening</t>
  </si>
  <si>
    <t>0.14.18-beta</t>
  </si>
  <si>
    <t>Fiks bug pediatrie voeding speciale voeding berekening</t>
  </si>
  <si>
    <t>nummer:</t>
  </si>
  <si>
    <t>gewicht:</t>
  </si>
  <si>
    <t xml:space="preserve">bed: </t>
  </si>
  <si>
    <t>0.14.19-beta</t>
  </si>
  <si>
    <t>Fiks Neo epiduraal dubbele hoeveelheid in de apotheek brief + bug in etiket (extra hoeveelheid)</t>
  </si>
  <si>
    <t>0.14.20-beta</t>
  </si>
  <si>
    <t>Vitamine D in totalen niet per kg, maar dagtotaal</t>
  </si>
  <si>
    <t>0.14.21-beta</t>
  </si>
  <si>
    <t>Fiks Medicatie Disc Admin formulier textbox synoniem schoonmaken bij geen generiek</t>
  </si>
  <si>
    <t>0.14.22-beta</t>
  </si>
  <si>
    <t>Fiks ped en neo tekst data</t>
  </si>
  <si>
    <t>NeoBerAfspr!$J$30</t>
  </si>
  <si>
    <t>_Neo_AfsprB_MaagsondeAfhanged</t>
  </si>
  <si>
    <t>NeoBerAfspr!$J$21</t>
  </si>
  <si>
    <t>NeoBerAfspr!$J$25</t>
  </si>
  <si>
    <t>NeoBerAfspr!$L$28</t>
  </si>
  <si>
    <t>NeoBerAfspr!$K$30</t>
  </si>
  <si>
    <t>NeoBerAfspr!$J$31</t>
  </si>
  <si>
    <t>_Neo_AfsprD_OverigTekst</t>
  </si>
  <si>
    <t>NeoBerAfspr!$K$18</t>
  </si>
  <si>
    <t>NeoBerAfspr!$L$18</t>
  </si>
  <si>
    <t>NeoBerAfspr!$K$21</t>
  </si>
  <si>
    <t>NeoPrtWerkbr!$A$1:$P$56</t>
  </si>
  <si>
    <t>NeoPrtWerkbr!Print_Area</t>
  </si>
  <si>
    <t>NeoTblMedIV!$B$4:$T$26</t>
  </si>
  <si>
    <t>Tbl_Admin_NeoMedCont</t>
  </si>
  <si>
    <t>Tbl_Admin_ParEnt</t>
  </si>
  <si>
    <t>PedTblMedIV!$B$5:$S$35</t>
  </si>
  <si>
    <t>Tbl_Admin_PedMedCont</t>
  </si>
  <si>
    <t>GlobBerConv!$J$2:$P$13</t>
  </si>
  <si>
    <t>Tbl_Glob_MedOpdr</t>
  </si>
  <si>
    <t>GlobSettings!$D$2:$D$35</t>
  </si>
  <si>
    <t>PedBerMedIV!$A$5:$AN$19</t>
  </si>
  <si>
    <t>Tbl_Ped_BerMedCont</t>
  </si>
  <si>
    <t>PedTblMedIV!$B$4:$X$35</t>
  </si>
  <si>
    <t>PedTblMedIV!$Z$4:$Z$7</t>
  </si>
  <si>
    <t>F:=IF(NeoBerInfB!AL44&gt;0,(NeoBerInfB!AL44-M10)*100,"")</t>
  </si>
  <si>
    <t>F:=IF(NeoBerInfB!AL44&gt;0,TRUNC(NeoBerInfB!AL44),"")</t>
  </si>
  <si>
    <t>F:=IF(NeoBerInfB!AL50&gt;0,(NeoBerInfB!AL50-M16)*100,"")</t>
  </si>
  <si>
    <t>F:=IF(NeoBerInfB!AL50&gt;0,TRUNC(NeoBerInfB!AL50),"")</t>
  </si>
  <si>
    <t>F:=IF(NeoBerInfB!AL43&gt;0,(NeoBerInfB!AL43-M9)*100,"")</t>
  </si>
  <si>
    <t>F:=IF(NeoBerInfB!AL43&gt;0,TRUNC(NeoBerInfB!AL43),"")</t>
  </si>
  <si>
    <t>F:=IF(NeoBerInfB!AL45&gt;0,(NeoBerInfB!AL45-M11)*100,"")</t>
  </si>
  <si>
    <t>F:=IF(NeoBerInfB!AL45&gt;0,TRUNC(NeoBerInfB!AL45),"")</t>
  </si>
  <si>
    <t>F:=IF(NeoBerInfB!AL42&gt;0,(NeoBerInfB!AL42-M8)*100,"")</t>
  </si>
  <si>
    <t>F:=IF(NeoBerInfB!AL42&gt;0,TRUNC(NeoBerInfB!AL42),"")</t>
  </si>
  <si>
    <t>F:=IF(NeoBerInfB!AL48&gt;0,(NeoBerInfB!AL48-M14)*100,"")</t>
  </si>
  <si>
    <t>F:=IF(NeoBerInfB!AL48&gt;0,TRUNC(NeoBerInfB!AL48),"")</t>
  </si>
  <si>
    <t>F:=IF(NeoBerInfB!AL47&gt;0,(NeoBerInfB!AL47-M13)*100,"")</t>
  </si>
  <si>
    <t>F:=IF(NeoBerInfB!AL47&gt;0,TRUNC(NeoBerInfB!AL47),"")</t>
  </si>
  <si>
    <t>F:=IF(NeoBerInfB!AL49&gt;0,(NeoBerInfB!AL49-M15)*100,"")</t>
  </si>
  <si>
    <t>F:=IF(NeoBerInfB!AL49&gt;0,TRUNC(NeoBerInfB!AL49),"")</t>
  </si>
  <si>
    <t>F:=IF(NeoBerInfB!AL46&gt;0,(NeoBerInfB!AL46-M12)*100,"")</t>
  </si>
  <si>
    <t>F:=IF(NeoBerInfB!AL46&gt;0,TRUNC(NeoBerInfB!AL46),"")</t>
  </si>
  <si>
    <t>F:=CONCATENATE(,IF(J7,I7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t>
  </si>
  <si>
    <t>NeoTblMedIV!$B$30</t>
  </si>
  <si>
    <t>Var_Neo_MedCont_VerdunningTekst</t>
  </si>
  <si>
    <t>0.14.23-beta</t>
  </si>
  <si>
    <t>Missende neo data toegevoegd</t>
  </si>
  <si>
    <t xml:space="preserve"> 1-11-2017</t>
  </si>
  <si>
    <t>0.14.24-beta</t>
  </si>
  <si>
    <t>Fiks bug infuusbrief formule voor tekst oplossingkeuze</t>
  </si>
  <si>
    <t xml:space="preserve"> 4-11-2017</t>
  </si>
  <si>
    <t>0.14.25-beta</t>
  </si>
  <si>
    <t>Aanpassing ped continue medicatie fenyl en thiopental, max conc toegevoegd voor alle middelen</t>
  </si>
  <si>
    <t xml:space="preserve"> 6-11-2017</t>
  </si>
  <si>
    <t>0.14.26-beta</t>
  </si>
  <si>
    <t>Fiks neo voeding tekst naam tweede voeding</t>
  </si>
  <si>
    <t>0.14.27-beta</t>
  </si>
  <si>
    <t>Lab neo tekst aangepast</t>
  </si>
  <si>
    <t xml:space="preserve"> 7-11-2017</t>
  </si>
  <si>
    <t>0.14.28-beta</t>
  </si>
  <si>
    <t>Fiks afronden aantal spuiten neo cont medicatie TVGM</t>
  </si>
  <si>
    <t>0.14.29-beta</t>
  </si>
  <si>
    <t>Neo Cont Medicatie print testen slaat resultaten op als PDF en print meteen</t>
  </si>
  <si>
    <t>0.14.30-beta</t>
  </si>
  <si>
    <t>Neo Cont Medicatie laat oplosvloeistof niet zien bij volume = 0</t>
  </si>
  <si>
    <t>0.14.31-beta</t>
  </si>
  <si>
    <t>Neo Cont Medicatie configuratie printen</t>
  </si>
  <si>
    <t>WERK ASEPTISCH IN EEN VAN DE LAF-KASTEN met achtergrond klasse D _x000D_
LINE CLEARANCE UITGEVOERD? JA/NEE_x000D_
• Trek via een filternaald de benodigde hoeveelheid adrenaline 0,1 mg/ml op in een passende injectiespuit._x000D_
• Trek de benodigde hoeveelheid glucose ……% op in een gekleurde injectiespuit van 50 ml._x000D_
• Voeg de adrenaline oplossing 0,1 mg/ml toe aan de glucose …...%._x000D_
• Zuig lucht in de injectiespuit van 50 ml en meng._x000D_
• Ontlucht de spuit en sluit af met een Cair LGL lijn. Vul de lijn met enkele centimeters vloeistof._x000D_
• Herhaal indien meerdere spuiten zijn aangevraagd._x000D_
• Etiketteer de injectiespuit(en).</t>
  </si>
  <si>
    <t>WERK ASEPTISCH IN EEN VAN DE LAF-KASTEN met achtergrond klasse D _x000D_
LINE CLEARANCE UITGEVOERD? JA/NEE_x000D_
• Trek via een filternaald de benodigde hoeveelheid alprostadil 0,5 mg/ml of een 10-voudige hoeveelheid van de 1 op 10 verdunning* (=……..ml) op in een passende injectiespuit. (*doorhalen wat niet van toepassing is)_x000D_
• Vul aan met glucose ……%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aangevraagd._x000D_
• Etiketteer de injectiespuit(en).</t>
  </si>
  <si>
    <t>WERK ASEPTISCH IN EEN VAN DE LAF-KASTEN met achtergrond klasse D_x000D_
LINE CLEARANCE UITGEVOERD? JA/NEE _x000D_
• Trek via een filternaald de benodigde hoeveelheid amiodaron 50 mg/ml op in een passende injectiespuit._x000D_
• Trek de benodigde hoeveelheid glucose ……% op in een injectiespuit van 50 ml_x000D_
• Voeg de amiodaron oplossing 50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</si>
  <si>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via een filternaald de benodigde hoeveelheid clonidine 0,15 mg/ml of een 10-voudige hoeveelheid van de 1 op 10 verdunning* (=……..ml) op in een passende injectiespuit. (*doorhalen wat niet van toepassing is)._x000D_
• Vul aan met NaCl 0,9%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</si>
  <si>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 _x000D_
LINE CLEARANCE UITGEVOERD? JA/NEE_x000D_
• Trek via een filternaald de benodigde hoeveelheid dobutamine 12,5 mg/ml op in een passende injectiespuit._x000D_
• Trek de benodigde hoeveelheid glucose ……% op in een injectiespuit van 50 ml_x000D_
• Voeg de dobutamine oplossing 12,5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</si>
  <si>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via een filternaald de benodigde hoeveelheid dopamine 40 mg/ml of een 10-voudige hoeveelheid van de 1 op 10 verdunning* (=……..ml) op in een passende injectiespuit. (*doorhalen wat niet van toepassing is)_x000D_
• Vul aan met glucose ……% tot de aangevraagde hoeveelheid in een injectiespuit van 50 ml_x000D_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</si>
  <si>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Zie Iprova document:_x000D_
PP5231204_Epoprostenol Flolan iv</t>
  </si>
  <si>
    <t>WERK ASEPTISCH IN EEN VAN DE LAF-KASTEN met achtergrond klasse D _x000D_
LINE CLEARANCE UITGEVOERD? JA/NEE_x000D_
• Trek de benodigde hoeveelheid esmolol 10 mg/ml op in een injectiespuit van 50 ml._x000D_
• Vul eventueel aan met glucose……% tot de aangevraagde hoeveelheid en meng._x000D_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</si>
  <si>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 _x000D_
LINE CLEARANCE UITGEVOERD? JA/NEE_x000D_
• Trek via een filternaald de benodigde hoeveelheid furosemide 10 mg/ml op in een passende injectiespuit._x000D_
• Trek de benodigde hoeveelheid glucose ……% op in een gekleurde injectiespuit van 50 ml_x000D_
• Voeg de furosemide oplossing 10 mg/ml toe aan de glucose …...%_x000D_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</si>
  <si>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 _x000D_
LINE CLEARANCE UITGEVOERD? JA/NEE_x000D_
• Trek via een filternaald de benodigde hoeveelheid isoprenaline 1,0 mg/ml of een 10-voudige hoeveelheid van de 1 op 10 verdunning* (=……..ml) op in een passende injectiespuit. (*doorhalen wat niet van toepassing is)_x000D_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</si>
  <si>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via een filternaald de benodigde hoeveelheid labetalol 5 mg/ml op in een passende injectiespuit._x000D_
• Vul eventueel aan met glucose……% tot de aangevraagde hoeveelheid in een injectiespuit van 50 ml._x000D_
• Zuig lucht in de injectiespuit van 50 ml en meng._x000D_
• Ontlucht de spuit en sluit af met een Cair LGL lijn. Vul de lijn met enkele centimeters vloeistof._x000D_
• Herhaal indien meerdere spuiten zijn aangevraagd_x000D_
• Etiketteer de injectiespuit(en).</t>
  </si>
  <si>
    <t>WERK ASEPTISCH IN EEN VAN DE LAF-KASTEN met achtergrond klasse D_x000D_
LINE CLEARANCE UITGEVOERD? JA/NEE _x000D_
• Trek via een filternaald de benodigde hoeveelheid lidocaïne 20 mg/ml op in een passende injectiespuit._x000D_
• Trek de benodigde hoeveelheid glucose ……% op in een injectiespuit van 50 ml_x000D_
• Voeg de lidocaïne oplossing 20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</si>
  <si>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via een filternaald de benodigde hoeveelheid midazolam 5 mg/ml op in een passende injectiespuit._x000D_
• Trek de benodigde hoeveelheid glucose ……% op in een injectiespuit van 50 ml_x000D_
• Voeg de midazolam oplossing 5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</si>
  <si>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de benodigde hoeveelheid milrinon 1 mg/ml op in een passende injectiespuit._x000D_
• Trek de benodigde hoeveelheid glucose ……% op in een injectiespuit van 50 ml_x000D_
• Voeg de milrinon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</si>
  <si>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JA/NEE_x000D_
• Trek via een filternaald de benodigde hoeveelheid morfinehydrochloride 1 mg/ml op in een passende injectiespuit._x000D_
• Trek de benodigde hoeveelheid glucose ……% op in een injectiespuit van 50 ml_x000D_
• Voeg de morfinehydrochloride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</si>
  <si>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via een filternaald de benodigde hoeveelheid nicardipine 1 mg/ml op in een passende injectiespuit._x000D_
• Trek de benodigde hoeveelheid glucose ……% op in een gekleurde injectiespuit van 50 ml_x000D_
• Voeg de nicardipine oplossing 1 mg/ml toe aan de glucose ……%_x000D_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</si>
  <si>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via een filternaald de benodigde hoeveelheid noradrenaline 1 mg/ml of een 10-voudige hoeveelheid van de 1 op 10 verdunning* (=……..ml) op in een passende injectiespuit. (*doorhalen wat niet van toepassing is)_x000D_
• Vul aan met glucose ……% tot de aangevraagde hoeveelheid in een gekleurde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</si>
  <si>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 _x000D_
LINE CLEARANCE UITGEVOERD? JA/NEE_x000D_
• Trek de benodigde hoeveelheid rocuronium 10 mg/ml op in een passende injectiespuit._x000D_
• Trek de benodigde hoeveelheid glucose ……% op in een injectiespuit van 50 ml_x000D_
• Voeg de rocuronium oplossing 10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</si>
  <si>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JA/NEE_x000D_
·    Trek via een spike of filternaald 1 ml van het aangevraagde geneesmiddel op in een 1 ml injectiespuit (opgetrokken: …… ml)._x000D_
·    Trek 9 ml van het aangevraagde oplosmiddel op in een spuit van 10 ml (opgetrokken: …… ml)_x000D_
·    Voeg het geneesmiddel toe aan het oplosmiddel_x000D_
·    Zuig lucht in de injectiespuit van 10 ml en meng_x000D_
·    Ontlucht de spuit en sluit af met een rode afsluitdop_x000D_
·    Identificeer de spuit met het geneesmiddel en de verkregen concentratie. Gebruik deze spuit voor het vervolg.</t>
  </si>
  <si>
    <t>0.15.00-beta</t>
  </si>
  <si>
    <t>Discontinue medicatie keuze tussen dag- en keerdosering berekening</t>
  </si>
  <si>
    <t xml:space="preserve"> 9-11-2017</t>
  </si>
  <si>
    <t>0.16.00-beta</t>
  </si>
  <si>
    <t>Neo Med Cont waarschuwingen op de apotheek bereidingsbrief voor dosering en/of concentratie afwijkingen/ fouten</t>
  </si>
  <si>
    <t>MORFINEHYDROCHLORIDE 1 MG/ML AMPUL 5ML EPIDURAAL/INTRATHECAAL</t>
  </si>
  <si>
    <t>IJzer</t>
  </si>
  <si>
    <t>0.16.01-beta</t>
  </si>
  <si>
    <t xml:space="preserve">Fiks intake ijzer met hoofdletter </t>
  </si>
  <si>
    <t xml:space="preserve"> 14-11-2017</t>
  </si>
  <si>
    <t>0.16.02-beta</t>
  </si>
  <si>
    <t>Fiks Neo art lijn tekst</t>
  </si>
  <si>
    <t>NoMO</t>
  </si>
  <si>
    <t>HasDose</t>
  </si>
  <si>
    <t>GlobBerMedDisc!$BP$2</t>
  </si>
  <si>
    <t>_Glob_MedDisc_HasDose_01</t>
  </si>
  <si>
    <t>GlobBerMedDisc!$BP$3</t>
  </si>
  <si>
    <t>_Glob_MedDisc_HasDose_02</t>
  </si>
  <si>
    <t>GlobBerMedDisc!$BP$4</t>
  </si>
  <si>
    <t>_Glob_MedDisc_HasDose_03</t>
  </si>
  <si>
    <t>GlobBerMedDisc!$BP$5</t>
  </si>
  <si>
    <t>_Glob_MedDisc_HasDose_04</t>
  </si>
  <si>
    <t>GlobBerMedDisc!$BP$6</t>
  </si>
  <si>
    <t>_Glob_MedDisc_HasDose_05</t>
  </si>
  <si>
    <t>GlobBerMedDisc!$BP$7</t>
  </si>
  <si>
    <t>_Glob_MedDisc_HasDose_06</t>
  </si>
  <si>
    <t>GlobBerMedDisc!$BP$8</t>
  </si>
  <si>
    <t>_Glob_MedDisc_HasDose_07</t>
  </si>
  <si>
    <t>GlobBerMedDisc!$BP$9</t>
  </si>
  <si>
    <t>_Glob_MedDisc_HasDose_08</t>
  </si>
  <si>
    <t>GlobBerMedDisc!$BP$10</t>
  </si>
  <si>
    <t>_Glob_MedDisc_HasDose_09</t>
  </si>
  <si>
    <t>GlobBerMedDisc!$BP$11</t>
  </si>
  <si>
    <t>_Glob_MedDisc_HasDose_10</t>
  </si>
  <si>
    <t>GlobBerMedDisc!$BP$12</t>
  </si>
  <si>
    <t>_Glob_MedDisc_HasDose_11</t>
  </si>
  <si>
    <t>GlobBerMedDisc!$BP$13</t>
  </si>
  <si>
    <t>_Glob_MedDisc_HasDose_12</t>
  </si>
  <si>
    <t>GlobBerMedDisc!$BP$14</t>
  </si>
  <si>
    <t>_Glob_MedDisc_HasDose_13</t>
  </si>
  <si>
    <t>GlobBerMedDisc!$BP$15</t>
  </si>
  <si>
    <t>_Glob_MedDisc_HasDose_14</t>
  </si>
  <si>
    <t>GlobBerMedDisc!$BP$16</t>
  </si>
  <si>
    <t>_Glob_MedDisc_HasDose_15</t>
  </si>
  <si>
    <t>GlobBerMedDisc!$BP$17</t>
  </si>
  <si>
    <t>_Glob_MedDisc_HasDose_16</t>
  </si>
  <si>
    <t>GlobBerMedDisc!$BP$18</t>
  </si>
  <si>
    <t>_Glob_MedDisc_HasDose_17</t>
  </si>
  <si>
    <t>GlobBerMedDisc!$BP$19</t>
  </si>
  <si>
    <t>_Glob_MedDisc_HasDose_18</t>
  </si>
  <si>
    <t>GlobBerMedDisc!$BP$20</t>
  </si>
  <si>
    <t>_Glob_MedDisc_HasDose_19</t>
  </si>
  <si>
    <t>GlobBerMedDisc!$BP$21</t>
  </si>
  <si>
    <t>_Glob_MedDisc_HasDose_20</t>
  </si>
  <si>
    <t>GlobBerMedDisc!$BP$22</t>
  </si>
  <si>
    <t>_Glob_MedDisc_HasDose_21</t>
  </si>
  <si>
    <t>GlobBerMedDisc!$BP$23</t>
  </si>
  <si>
    <t>_Glob_MedDisc_HasDose_22</t>
  </si>
  <si>
    <t>GlobBerMedDisc!$BP$24</t>
  </si>
  <si>
    <t>_Glob_MedDisc_HasDose_23</t>
  </si>
  <si>
    <t>GlobBerMedDisc!$BP$25</t>
  </si>
  <si>
    <t>_Glob_MedDisc_HasDose_24</t>
  </si>
  <si>
    <t>GlobBerMedDisc!$BP$26</t>
  </si>
  <si>
    <t>_Glob_MedDisc_HasDose_25</t>
  </si>
  <si>
    <t>GlobBerMedDisc!$BP$27</t>
  </si>
  <si>
    <t>_Glob_MedDisc_HasDose_26</t>
  </si>
  <si>
    <t>GlobBerMedDisc!$BP$28</t>
  </si>
  <si>
    <t>_Glob_MedDisc_HasDose_27</t>
  </si>
  <si>
    <t>GlobBerMedDisc!$BP$29</t>
  </si>
  <si>
    <t>_Glob_MedDisc_HasDose_28</t>
  </si>
  <si>
    <t>GlobBerMedDisc!$BP$30</t>
  </si>
  <si>
    <t>_Glob_MedDisc_HasDose_29</t>
  </si>
  <si>
    <t>GlobBerMedDisc!$BP$31</t>
  </si>
  <si>
    <t>_Glob_MedDisc_HasDose_30</t>
  </si>
  <si>
    <t>_xlfn.CEILING.PRECISE</t>
  </si>
  <si>
    <t>NeoTblMedIV!$A$1:$W$40</t>
  </si>
  <si>
    <t>NeoTblMedIV!Print_Area</t>
  </si>
  <si>
    <t>Fix patient gegevens formulier ongeldige eigenschappen bij cancel geslacht combo</t>
  </si>
  <si>
    <t>Fix tab volgorde admin discontinue medicatie formulier</t>
  </si>
  <si>
    <t xml:space="preserve"> 15-11-2017</t>
  </si>
  <si>
    <t>0.16.03-beta</t>
  </si>
  <si>
    <t>0.16.04-beta</t>
  </si>
  <si>
    <t>Medicatie discontinu optie voor geen dosering</t>
  </si>
  <si>
    <t>0.17.01-beta</t>
  </si>
  <si>
    <t>Fiks medicatie disc herberekening keer dosering</t>
  </si>
  <si>
    <t>0.17.02-beta</t>
  </si>
  <si>
    <t>0.17.03-beta</t>
  </si>
  <si>
    <t>Medicatie discontinu alleen inloop tijd mogelijk maken</t>
  </si>
  <si>
    <t>0.17.04-beta</t>
  </si>
  <si>
    <t>Fiks PM settings leeg indien geen PM</t>
  </si>
  <si>
    <t>0.17.05-beta</t>
  </si>
  <si>
    <t>Fiks medicatie discontinu keer dosering berekening</t>
  </si>
  <si>
    <t>0.17.06-beta</t>
  </si>
  <si>
    <t>Fiks ped continue medicatie blok pomp stand berekening via dosering voor epiduralen</t>
  </si>
  <si>
    <t>0.17.07-beta</t>
  </si>
  <si>
    <t>Precisie ped totalen aangepast</t>
  </si>
  <si>
    <t>Fiks precisie elektrolyten infuusbrief</t>
  </si>
  <si>
    <t>0.17.08-beta</t>
  </si>
  <si>
    <t>0.17.09-beta</t>
  </si>
  <si>
    <t>Laat info tekst zien bij numerieke invoer scherm</t>
  </si>
  <si>
    <t>0.17.10-beta</t>
  </si>
  <si>
    <t>Fiks neo infuusbrief lab opmerking invoer</t>
  </si>
  <si>
    <t>0.17.11-beta</t>
  </si>
  <si>
    <t>Fiks verwijderen SST1 ped voeding en TPN</t>
  </si>
  <si>
    <t>0.18.00-beta</t>
  </si>
  <si>
    <t>Neo Infuusbrief, blokkeer apotheek en werkbrief indien ongeldige medicatie of TPN</t>
  </si>
  <si>
    <t>DECLARE @login AS NVARCHAR(255)</t>
  </si>
  <si>
    <t xml:space="preserve">SET @login = 'cwb' </t>
  </si>
  <si>
    <t>SELECT</t>
  </si>
  <si>
    <t>u.UserID</t>
  </si>
  <si>
    <t>, u.Login</t>
  </si>
  <si>
    <t>, u.FirstName</t>
  </si>
  <si>
    <t>, u.LastName</t>
  </si>
  <si>
    <t>, ut.UserTypeName</t>
  </si>
  <si>
    <t>FROM Users u</t>
  </si>
  <si>
    <t>INNER JOIN t_UsersType ut ON u.UserTypeID = ut.UserTypeID</t>
  </si>
  <si>
    <t>WHERE u.Login = @login</t>
  </si>
  <si>
    <t>UserLogin</t>
  </si>
  <si>
    <t>UserFirstName</t>
  </si>
  <si>
    <t>UserLastName</t>
  </si>
  <si>
    <t>UserType</t>
  </si>
  <si>
    <t>cwb</t>
  </si>
  <si>
    <t>C.</t>
  </si>
  <si>
    <t>Bollen</t>
  </si>
  <si>
    <t>Beheerders</t>
  </si>
  <si>
    <t>0.19.00-beta</t>
  </si>
  <si>
    <t>Applicatie haalt login gegevens MetaVision op</t>
  </si>
  <si>
    <t xml:space="preserve"> 16-11-2017</t>
  </si>
  <si>
    <t>0.19.01-beta</t>
  </si>
  <si>
    <t>Login naam toegevoegd aan prints</t>
  </si>
  <si>
    <t>0.19.02-beta</t>
  </si>
  <si>
    <t>PatDetails!$B$36</t>
  </si>
  <si>
    <t>_User_FirstName</t>
  </si>
  <si>
    <t>PatDetails!$B$37</t>
  </si>
  <si>
    <t>_User_LastName</t>
  </si>
  <si>
    <t>PatDetails!$B$35</t>
  </si>
  <si>
    <t>_User_Login</t>
  </si>
  <si>
    <t>PatDetails!$B$38</t>
  </si>
  <si>
    <t>_User_Type</t>
  </si>
  <si>
    <t>NeoBerInfB!$AE$23:$AF$32</t>
  </si>
  <si>
    <t>Tbl_Neo_ValidContMed</t>
  </si>
  <si>
    <t>NeoBerInfB!$AE$50</t>
  </si>
  <si>
    <t>Tbl_NeoInfB_ValidTPN</t>
  </si>
  <si>
    <t>F:=C50&lt;0</t>
  </si>
  <si>
    <t>F:=IF(SUM(M8:N16)&gt;0,ROUND((SUM(M8:M16)+SUM(N8:N16)/100-M17)*100,0),"")</t>
  </si>
  <si>
    <t>F:=IF(SUM(M8:N16)&gt;0,TRUNC(SUM(M8:M16)+SUM(N8:N16)/100),"")</t>
  </si>
  <si>
    <t>F:=$G$20</t>
  </si>
  <si>
    <t>0.19.03-beta</t>
  </si>
  <si>
    <t>Applicatie toon menu's afhankelijk van de login</t>
  </si>
  <si>
    <t>Applicatie login met wachtwoord indien geen MetaVision login</t>
  </si>
  <si>
    <t xml:space="preserve"> 18-11-2017</t>
  </si>
  <si>
    <t>0.19.04-beta</t>
  </si>
  <si>
    <t>Medicatie discontinue directe link naar parentaralia knop</t>
  </si>
  <si>
    <t xml:space="preserve"> 19-11-2017</t>
  </si>
  <si>
    <t>0.19.05-beta</t>
  </si>
  <si>
    <t>Medicatie discontinue fix correct herkennen keer dosering vs dagdosering berekening</t>
  </si>
  <si>
    <t>0.19.06-beta</t>
  </si>
  <si>
    <t>Medicatie discontinue dosering hernoemt naar advies dosering</t>
  </si>
  <si>
    <t>0.19.07-beta</t>
  </si>
  <si>
    <t>Medicatie discontinue layout verbeterd en eenheden bij min max en abs max dosering</t>
  </si>
  <si>
    <t xml:space="preserve"> 20-11-2017</t>
  </si>
  <si>
    <t>0.19.08-beta</t>
  </si>
  <si>
    <t>Medicatie discontinue snelkeuze lijst niet laten zien bij niet MetaVision generieken</t>
  </si>
  <si>
    <t>0.20.00-beta</t>
  </si>
  <si>
    <t>Breaking change! Interne opslag gewicht nu niet meer delen door 10 en precisionfix op 2</t>
  </si>
  <si>
    <t>0.20.01-beta</t>
  </si>
  <si>
    <t>Medicatie discontinue fiks probleem met inconsistente dosis afronding</t>
  </si>
  <si>
    <t>0.20.02-beta</t>
  </si>
  <si>
    <t>Performance verbetering bij kopieren van patient data en verwijderen</t>
  </si>
  <si>
    <t>0.20.03-beta</t>
  </si>
  <si>
    <t>Fiks neo infuusbrief epiduraal concentratie error</t>
  </si>
  <si>
    <t xml:space="preserve"> 21-11-2017</t>
  </si>
  <si>
    <t>0.20.04-beta</t>
  </si>
  <si>
    <t>Fiks niet laden PICU cont medicatie configuratie</t>
  </si>
  <si>
    <t>0.20.05-beta</t>
  </si>
  <si>
    <t>0.20.06-beta</t>
  </si>
  <si>
    <t>Fiks Neo print apotheek brief niet indien nee als antwoord</t>
  </si>
  <si>
    <t>Fiks NeoInfB vochtintake wissen</t>
  </si>
  <si>
    <t>0.20.07-beta</t>
  </si>
  <si>
    <t>Fiks NeoInfB overzetten actueel -&gt; 17:00 uur in 17:00 versie</t>
  </si>
  <si>
    <t xml:space="preserve"> 22-11-2017</t>
  </si>
  <si>
    <t>0.20.08-beta</t>
  </si>
  <si>
    <t>Neo Apotheek brief nummer fiks</t>
  </si>
  <si>
    <t>0.20.09-beta</t>
  </si>
  <si>
    <t>Neo Med Administratie tests verbeterd</t>
  </si>
  <si>
    <t>0.20.10-beta</t>
  </si>
  <si>
    <t>Fiks dubbele Ped Voeding verw actie</t>
  </si>
  <si>
    <t>0.20.11-beta</t>
  </si>
  <si>
    <t>Fiks Neo Infuus Brief vocht per kg verwijderen</t>
  </si>
  <si>
    <t>0.20.12-beta</t>
  </si>
  <si>
    <t>Neo Infuusbrief TPN items apart verwijderen</t>
  </si>
  <si>
    <t>0.20.13-beta</t>
  </si>
  <si>
    <t>Fiks Pediatrie TPN brieven infuus snelheid</t>
  </si>
  <si>
    <t>0.20.14-beta</t>
  </si>
  <si>
    <t>Discontinue medicatie toont waarschuwing bij niet valide, kan wel ingevoerd worden</t>
  </si>
  <si>
    <t>0.20.15-beta</t>
  </si>
  <si>
    <t>Fiks Neo Cont Med print test toonde niet de juiste AfsprakenProgramma versie</t>
  </si>
  <si>
    <t>MOXIFLOXACINE IV</t>
  </si>
  <si>
    <t>NATRIUMCHLORIDE PO</t>
  </si>
  <si>
    <t>SUPLIVEN IV</t>
  </si>
  <si>
    <t xml:space="preserve"> 23-11-2017</t>
  </si>
  <si>
    <t>0.20.16-beta</t>
  </si>
  <si>
    <t>Fiks probleem met niet bijwerken externe links bij  openen bedden overzicht</t>
  </si>
  <si>
    <t>0.20.17-beta</t>
  </si>
  <si>
    <t>0.20.18-beta</t>
  </si>
  <si>
    <t>Fiks opslaan als PDF met juiste koptekst</t>
  </si>
  <si>
    <t>Fiks probleem layout apotheek print te weinig ruimte voor sterkte</t>
  </si>
  <si>
    <t xml:space="preserve"> 25-11-2017</t>
  </si>
  <si>
    <t>0.20.19-beta</t>
  </si>
  <si>
    <t>Fiks probleem layout apotheek print te weinig ruimte voor medicament en missende eenheid op etiketten</t>
  </si>
  <si>
    <t>0,01 mg/kg max 0,2 mg</t>
  </si>
  <si>
    <t>Flumazenil</t>
  </si>
  <si>
    <t>10 mcg/kg, max 1 mg</t>
  </si>
  <si>
    <t>0,5 ml/uur = 10 nanog/kg/min</t>
  </si>
  <si>
    <t>0,5 ml/uur = 5 mcg/kg/min</t>
  </si>
  <si>
    <t>0,5 ml/uur = 0,05 mcg/kg/min</t>
  </si>
  <si>
    <t xml:space="preserve"> 27-11-2017</t>
  </si>
  <si>
    <t>0.20.20-beta</t>
  </si>
  <si>
    <t>Fiks rekenfouten in Neo Acute blad</t>
  </si>
  <si>
    <t>0.20.21-beta</t>
  </si>
  <si>
    <t>Bij invoer patient gegevens neem geboorte gewicht indien groter dan actueel gewicht.</t>
  </si>
  <si>
    <t>0.20.22-beta</t>
  </si>
  <si>
    <t>Fiks epiduraal tekst missende sterkte voor Neo Cont Med</t>
  </si>
  <si>
    <t xml:space="preserve"> 29-11-2017</t>
  </si>
  <si>
    <t>0.20.23-beta</t>
  </si>
  <si>
    <t>Fiks verkeerde vochtbalans berekening bij invoeren van SST2</t>
  </si>
  <si>
    <t>0.20.24-beta</t>
  </si>
  <si>
    <t>Neo Infuusbrief blokkade van printen vanuit Infuusbrief Actueel</t>
  </si>
  <si>
    <t>0.20.25-beta</t>
  </si>
  <si>
    <t>Neo Cont Med bereiding, aanpassing van epiduraal etiketten</t>
  </si>
  <si>
    <t>0.20.26-beta</t>
  </si>
  <si>
    <t>Neo Infuusbrief neemt TPN advies niet meer automatisch over</t>
  </si>
  <si>
    <t>0.20.27-beta</t>
  </si>
  <si>
    <t>0.20.28-beta</t>
  </si>
  <si>
    <t>Neo Infuusbrief fiks verwijderen zijlijn Extra leegmaken</t>
  </si>
  <si>
    <t>Neo Infuusbrief fiks waarschuwing voor te weinig volume voor TPN</t>
  </si>
  <si>
    <t>0.20.29-beta</t>
  </si>
  <si>
    <t>Ped Cont Med fiks missend commentaar</t>
  </si>
  <si>
    <t>0.20.30-beta</t>
  </si>
  <si>
    <t>Ped TPN totalen berekening bug fiks verkeerde totaal berekening</t>
  </si>
  <si>
    <t>, pl.TimeLog</t>
  </si>
  <si>
    <t>INNER JOIN Patients pat ON pat.PatientID = pl.PatientID</t>
  </si>
  <si>
    <t>ORDER BY pl.TimeLog DESC</t>
  </si>
  <si>
    <t>0.20.31-beta</t>
  </si>
  <si>
    <t>Fiks ophalen van bed nummer uit MetaVision geeft soms een null waarde</t>
  </si>
  <si>
    <t xml:space="preserve"> 30-11-2017</t>
  </si>
  <si>
    <t>0.20.32-beta</t>
  </si>
  <si>
    <t>Foutmelding worden niet alleen gelogd, maar ook meteen gemaild</t>
  </si>
  <si>
    <t>0.20.33-beta</t>
  </si>
  <si>
    <t>Het laden van tabellen bij opstarten gaat veel sneller</t>
  </si>
  <si>
    <t>0.20.34-beta</t>
  </si>
  <si>
    <t>Neo Infuusbrief TPN pompstanden naar boven afronden</t>
  </si>
  <si>
    <t>0.20.35-beta</t>
  </si>
  <si>
    <t>0.20.36-beta</t>
  </si>
  <si>
    <t>Neo Infuusbrief berekent advies en verwijdert TPN correct</t>
  </si>
  <si>
    <t>Neo Infuusbrief bij veranderen zijlijn blijft de pompstand staan</t>
  </si>
  <si>
    <t>CALCIUMCARBONAAT+COLECALCIFEROL OR</t>
  </si>
  <si>
    <t>CARBASALAATCALCIUM OR</t>
  </si>
  <si>
    <t>CHLOORHEXIDINE CUT</t>
  </si>
  <si>
    <t>COFFEINE IV</t>
  </si>
  <si>
    <t>COFFEINE OR</t>
  </si>
  <si>
    <t>COTRIMOXAZOL OR</t>
  </si>
  <si>
    <t>FOSFAATDRANK OR</t>
  </si>
  <si>
    <t>HALOPERIDOL IV</t>
  </si>
  <si>
    <t xml:space="preserve">LORAZEPAM </t>
  </si>
  <si>
    <t>MICONAZOL CUT</t>
  </si>
  <si>
    <t>MIDAZOLAM NASAAL</t>
  </si>
  <si>
    <t>MUPIROCINE CUT</t>
  </si>
  <si>
    <t>NATRIUMCHLORIDE RECT</t>
  </si>
  <si>
    <t>NATRIUM-CHLORIDE-2,9% OR</t>
  </si>
  <si>
    <t xml:space="preserve">NATRIUMWATERSTOFCARBONAAT </t>
  </si>
  <si>
    <t>NATRIUMWATERSTOFCARBONAAT IV</t>
  </si>
  <si>
    <t>OOGZALF OOG</t>
  </si>
  <si>
    <t>OXYBUTYNINE-SPOELVLOEISTOF INTRAVESIC</t>
  </si>
  <si>
    <t xml:space="preserve"> 1-12-2017</t>
  </si>
  <si>
    <t>0.20.37-beta</t>
  </si>
  <si>
    <t>Pediatrie TPN fiks niet optellen van peditrace bij totaal</t>
  </si>
  <si>
    <t>0.20.38-beta</t>
  </si>
  <si>
    <t>Pediatrie TPN layout aangepast</t>
  </si>
  <si>
    <t xml:space="preserve"> 2-12-2017</t>
  </si>
  <si>
    <t>0.20.39-beta</t>
  </si>
  <si>
    <t>looptijd</t>
  </si>
  <si>
    <t>0.20.40-beta</t>
  </si>
  <si>
    <t>Pediatrie TPN geeft nu totaal volume + looptijd passend bij pompstand</t>
  </si>
  <si>
    <t>HasCVL</t>
  </si>
  <si>
    <t>IsCL</t>
  </si>
  <si>
    <t>IsCVL</t>
  </si>
  <si>
    <t>0.20.41-beta</t>
  </si>
  <si>
    <t>Pediatrie TPN houdt bij verdunning rekening met wel of niet een CVL</t>
  </si>
  <si>
    <t>0.20.42-beta</t>
  </si>
  <si>
    <t>Fiks pediatrie advies totalen verkeerde berekening totaal vocht</t>
  </si>
  <si>
    <t>Neo werkbrief en apotheek brief verder aangepast conform VTGM norm en regressie tests</t>
  </si>
  <si>
    <t>0.20.43-beta</t>
  </si>
  <si>
    <t>Neo Infuusbrief kleine aanpassing in layout, marge links</t>
  </si>
  <si>
    <t>0.20.44-beta</t>
  </si>
  <si>
    <t>CaCl2 3,3%</t>
  </si>
  <si>
    <t>MgCl2 10%</t>
  </si>
  <si>
    <t xml:space="preserve">MgCl2 10% </t>
  </si>
  <si>
    <t>Parenteralia MgCl 10% verandert in MgCl2 10%, CaCl2 verandert in CaCl2 3,3%, CaCl2 10% is niet meer beschikbaar</t>
  </si>
  <si>
    <t>0.20.45-beta</t>
  </si>
  <si>
    <t xml:space="preserve"> 4-12-2017</t>
  </si>
  <si>
    <t>0.20.46-beta</t>
  </si>
  <si>
    <t>Foutafhandeling opstarten veranderd. Gaat door maar doet melding.</t>
  </si>
  <si>
    <t>MgSulfaat</t>
  </si>
  <si>
    <t>0.20.47-beta</t>
  </si>
  <si>
    <t>Lettertype TPN brieven pediatrie naar Arial gezet</t>
  </si>
  <si>
    <t>Patienten 2-6 kg: BAXA 1</t>
  </si>
  <si>
    <t>0.20.48-beta</t>
  </si>
  <si>
    <t>Pediatrie TPN logica van dagkeuze en verwijderen verbeterd</t>
  </si>
  <si>
    <t>0.20.49-beta</t>
  </si>
  <si>
    <t>Pediatrie TPN fiks juiste glucose sterkte weergave in TPN brief</t>
  </si>
  <si>
    <t xml:space="preserve"> 5-12-2017</t>
  </si>
  <si>
    <t xml:space="preserve"> 6-12-2017</t>
  </si>
  <si>
    <t>0.20.50-beta</t>
  </si>
  <si>
    <t>Pediatrie voeding, fiks bug verwijderen van voeding of poeder geeft waarde fout in totalen</t>
  </si>
  <si>
    <t>Zoemer</t>
  </si>
  <si>
    <t>Pediatrie TPN brieven fiks formules voor verwijzingen naar juiste stand/volume</t>
  </si>
  <si>
    <t>0.20.51-beta</t>
  </si>
  <si>
    <t>0.20.52-beta</t>
  </si>
  <si>
    <t>Pediatrie TPN fiks 31 tot 50 kg blad naam waardoor niet herkennen als GUI blad</t>
  </si>
  <si>
    <t>1 ml/kg; max 15 ml</t>
  </si>
  <si>
    <t>0.20.53-beta</t>
  </si>
  <si>
    <t>0.20.54-beta</t>
  </si>
  <si>
    <t>Globaal parenteralia glucose 12,5 % hernoemd naar glucose 12,5% zonder spatie voor %</t>
  </si>
  <si>
    <t xml:space="preserve"> 10-12-2017</t>
  </si>
  <si>
    <t>0.20.55-beta</t>
  </si>
  <si>
    <t>Neo Cont Med VTGM apotheek vermeld vaste tijd van 22:00 uur bij expiratie datum</t>
  </si>
  <si>
    <t>0.20.56-beta</t>
  </si>
  <si>
    <t>Arts velden in prints worden alleen ingevuld bij gebruiker type is Artsen of Supervisor</t>
  </si>
  <si>
    <t>CaCl 3,3% (0,225 mmol/ml)</t>
  </si>
  <si>
    <t>Pediatrie TPN CaCl2 10% in de TPN prints veranderd in CaCl 3,3% is identiek aan CaGluc 10%</t>
  </si>
  <si>
    <t>Infuusbrief fiks afwezige infuus tekst bij advies = 0 ml lipiden</t>
  </si>
  <si>
    <t>METHOTREXAAT SC</t>
  </si>
  <si>
    <t>OXYBUTYNINE INTRAVESIC</t>
  </si>
  <si>
    <t>PLAVIX OR</t>
  </si>
  <si>
    <t>REBETOL OR</t>
  </si>
  <si>
    <t>0.20.57-beta</t>
  </si>
  <si>
    <t>Neo Infuusbrief opslaan kan nu ook vanuit de 17:00 uur afspraken</t>
  </si>
  <si>
    <t xml:space="preserve"> 16-12-2017</t>
  </si>
  <si>
    <t>NICU VTGM protocol</t>
  </si>
  <si>
    <t>0.21.00-beta</t>
  </si>
  <si>
    <t>0.22.00-beta</t>
  </si>
  <si>
    <t>Pediatrie TPN brieven worden direct gemaild naar de apotheek</t>
  </si>
  <si>
    <t>Neo werkbrief en VTGM protocollen worden direct gemaild naar de apotheek (na opslaan van de patient)</t>
  </si>
  <si>
    <t>0.22.01-beta</t>
  </si>
  <si>
    <t xml:space="preserve">Fiks Neo Infuusbrief verkeerde spelling van Var_Neo_InfB_TPN_Parenteraal </t>
  </si>
  <si>
    <t xml:space="preserve"> 17-12-2017</t>
  </si>
  <si>
    <t>0.22.02-beta</t>
  </si>
  <si>
    <t>Applicatie opstarten, zorg ervoor dat fout bij laden config tabellen een melding geeft en sluit de applicatie</t>
  </si>
  <si>
    <t>0.22.03-beta</t>
  </si>
  <si>
    <t>Applicatie foutmelding mail ook het pad naar het log bestand</t>
  </si>
  <si>
    <t>0.22.04-beta</t>
  </si>
  <si>
    <t>Pediatrie TPN advies kiest automatisch juiste glucose oplossing</t>
  </si>
  <si>
    <t>0.22.05-beta</t>
  </si>
  <si>
    <t>Neo Infuusbrief toont waarschuwing signaal rood bij 17:00 afspraken</t>
  </si>
  <si>
    <t>0.22.06-beta</t>
  </si>
  <si>
    <t>Peditrie TPN fiks verwijderen van MgCl2</t>
  </si>
  <si>
    <t>0.22.07-beta</t>
  </si>
  <si>
    <t>Neo Infuusbrief fiks verkeerde tekst bij niet kunnen printen werkbrief</t>
  </si>
  <si>
    <t>0.22.08-beta</t>
  </si>
  <si>
    <t>Applicatie print opdrachten geven direct print weergave</t>
  </si>
  <si>
    <t>0.22.09-beta</t>
  </si>
  <si>
    <t>Pediatrie TPN aparte verzend optie naast print optie</t>
  </si>
  <si>
    <t>0.22.10-beta</t>
  </si>
  <si>
    <t>Neo Afspraken en Controles gewicht en lengte invoer gefikst</t>
  </si>
  <si>
    <t>0.22.11-beta</t>
  </si>
  <si>
    <t xml:space="preserve">Neo Infuusbrief fiks verwijderen zijlijn </t>
  </si>
  <si>
    <t>0.22.12-beta</t>
  </si>
  <si>
    <t>Applicatie verzenden laat in niet productie versie mail adres invoer zien</t>
  </si>
  <si>
    <t xml:space="preserve"> 18-12-2017</t>
  </si>
  <si>
    <t xml:space="preserve"> 24-1-2018</t>
  </si>
  <si>
    <t>0.22.13-beta</t>
  </si>
  <si>
    <t>Pediatrie voeding poeder verwees voor tekst naar verkeerde tabel</t>
  </si>
  <si>
    <t>0.22.14-beta</t>
  </si>
  <si>
    <t>Tekst invoer blokkeert ongeldige tekens</t>
  </si>
  <si>
    <t>0.22.15-beta</t>
  </si>
  <si>
    <t>Prints laten alleen arts naam zien indien arts ingelogd</t>
  </si>
  <si>
    <t>infecties</t>
  </si>
  <si>
    <t>mg/stuk</t>
  </si>
  <si>
    <t>mg/ml</t>
  </si>
  <si>
    <t>iv</t>
  </si>
  <si>
    <t>injectievloeistof</t>
  </si>
  <si>
    <t xml:space="preserve"> 27-1-2018</t>
  </si>
  <si>
    <t>0.22.16-beta</t>
  </si>
  <si>
    <t>Ped Ent voeding verbeterde interface voor starten en stoppen van voeding/poeders</t>
  </si>
  <si>
    <t>0.22.17-beta</t>
  </si>
  <si>
    <t>Ped Ent voeding laat percentage zien bij poeder toevoegingen</t>
  </si>
  <si>
    <t>0.22.18-beta</t>
  </si>
  <si>
    <t xml:space="preserve">Ped Med Continue, fiks fout bij oplossing volume = 0 </t>
  </si>
  <si>
    <t>0.22.19-beta</t>
  </si>
  <si>
    <t>Ped TPN fiks verkeerde keuze bij gewicht grenswaarden</t>
  </si>
  <si>
    <t>0.22.20-beta</t>
  </si>
  <si>
    <t>Med Disc fiks vrije frequentie invoer blokeren</t>
  </si>
  <si>
    <t>0.22.21-beta</t>
  </si>
  <si>
    <t>Med Disc fiks correctie van keerdosering wanneer geen deelbaarheid</t>
  </si>
  <si>
    <t>0.22.22-beta</t>
  </si>
  <si>
    <t>Ped TPN fiks verkeerde SST inloop tijd berekening</t>
  </si>
  <si>
    <t>2 dagen</t>
  </si>
  <si>
    <t>3 dagen</t>
  </si>
  <si>
    <t>36 uur</t>
  </si>
  <si>
    <t>2 weken</t>
  </si>
  <si>
    <t>4 weken</t>
  </si>
  <si>
    <t>12 weken</t>
  </si>
  <si>
    <t>13 weken</t>
  </si>
  <si>
    <t>1 maand</t>
  </si>
  <si>
    <t>PerDose</t>
  </si>
  <si>
    <t>GlobNames!$A$1:$I$2255</t>
  </si>
  <si>
    <t>GlobBerMedDisc!$BQ$2</t>
  </si>
  <si>
    <t>_Glob_MedDisc_PerDose_01</t>
  </si>
  <si>
    <t>GlobBerMedDisc!$BQ$3</t>
  </si>
  <si>
    <t>_Glob_MedDisc_PerDose_02</t>
  </si>
  <si>
    <t>GlobBerMedDisc!$BQ$4</t>
  </si>
  <si>
    <t>_Glob_MedDisc_PerDose_03</t>
  </si>
  <si>
    <t>GlobBerMedDisc!$BQ$5</t>
  </si>
  <si>
    <t>_Glob_MedDisc_PerDose_04</t>
  </si>
  <si>
    <t>GlobBerMedDisc!$BQ$6</t>
  </si>
  <si>
    <t>_Glob_MedDisc_PerDose_05</t>
  </si>
  <si>
    <t>GlobBerMedDisc!$BQ$7</t>
  </si>
  <si>
    <t>_Glob_MedDisc_PerDose_06</t>
  </si>
  <si>
    <t>GlobBerMedDisc!$BQ$8</t>
  </si>
  <si>
    <t>_Glob_MedDisc_PerDose_07</t>
  </si>
  <si>
    <t>GlobBerMedDisc!$BQ$9</t>
  </si>
  <si>
    <t>_Glob_MedDisc_PerDose_08</t>
  </si>
  <si>
    <t>GlobBerMedDisc!$BQ$10</t>
  </si>
  <si>
    <t>_Glob_MedDisc_PerDose_09</t>
  </si>
  <si>
    <t>GlobBerMedDisc!$BQ$11</t>
  </si>
  <si>
    <t>_Glob_MedDisc_PerDose_10</t>
  </si>
  <si>
    <t>GlobBerMedDisc!$BQ$12</t>
  </si>
  <si>
    <t>_Glob_MedDisc_PerDose_11</t>
  </si>
  <si>
    <t>GlobBerMedDisc!$BQ$13</t>
  </si>
  <si>
    <t>_Glob_MedDisc_PerDose_12</t>
  </si>
  <si>
    <t>GlobBerMedDisc!$BQ$14</t>
  </si>
  <si>
    <t>_Glob_MedDisc_PerDose_13</t>
  </si>
  <si>
    <t>GlobBerMedDisc!$BQ$15</t>
  </si>
  <si>
    <t>_Glob_MedDisc_PerDose_14</t>
  </si>
  <si>
    <t>GlobBerMedDisc!$BQ$16</t>
  </si>
  <si>
    <t>_Glob_MedDisc_PerDose_15</t>
  </si>
  <si>
    <t>GlobBerMedDisc!$BQ$17</t>
  </si>
  <si>
    <t>_Glob_MedDisc_PerDose_16</t>
  </si>
  <si>
    <t>GlobBerMedDisc!$BQ$18</t>
  </si>
  <si>
    <t>_Glob_MedDisc_PerDose_17</t>
  </si>
  <si>
    <t>GlobBerMedDisc!$BQ$19</t>
  </si>
  <si>
    <t>_Glob_MedDisc_PerDose_18</t>
  </si>
  <si>
    <t>GlobBerMedDisc!$BQ$20</t>
  </si>
  <si>
    <t>_Glob_MedDisc_PerDose_19</t>
  </si>
  <si>
    <t>GlobBerMedDisc!$BQ$21</t>
  </si>
  <si>
    <t>_Glob_MedDisc_PerDose_20</t>
  </si>
  <si>
    <t>GlobBerMedDisc!$BQ$22</t>
  </si>
  <si>
    <t>_Glob_MedDisc_PerDose_21</t>
  </si>
  <si>
    <t>GlobBerMedDisc!$BQ$23</t>
  </si>
  <si>
    <t>_Glob_MedDisc_PerDose_22</t>
  </si>
  <si>
    <t>GlobBerMedDisc!$BQ$24</t>
  </si>
  <si>
    <t>_Glob_MedDisc_PerDose_23</t>
  </si>
  <si>
    <t>GlobBerMedDisc!$BQ$25</t>
  </si>
  <si>
    <t>_Glob_MedDisc_PerDose_24</t>
  </si>
  <si>
    <t>GlobBerMedDisc!$BQ$26</t>
  </si>
  <si>
    <t>_Glob_MedDisc_PerDose_25</t>
  </si>
  <si>
    <t>GlobBerMedDisc!$BQ$27</t>
  </si>
  <si>
    <t>_Glob_MedDisc_PerDose_26</t>
  </si>
  <si>
    <t>GlobBerMedDisc!$BQ$28</t>
  </si>
  <si>
    <t>_Glob_MedDisc_PerDose_27</t>
  </si>
  <si>
    <t>GlobBerMedDisc!$BQ$29</t>
  </si>
  <si>
    <t>_Glob_MedDisc_PerDose_28</t>
  </si>
  <si>
    <t>GlobBerMedDisc!$BQ$30</t>
  </si>
  <si>
    <t>_Glob_MedDisc_PerDose_29</t>
  </si>
  <si>
    <t>GlobBerMedDisc!$BQ$31</t>
  </si>
  <si>
    <t>_Glob_MedDisc_PerDose_30</t>
  </si>
  <si>
    <t>PedPrtTPN16tot30!$A$1:$H$43</t>
  </si>
  <si>
    <t>PedPrtTPN2tot6!$A$1:$H$44</t>
  </si>
  <si>
    <t>PedPrtTPN31tot50!$A$1:$H$43</t>
  </si>
  <si>
    <t>PedPrtTPN31tot50!Print_Area</t>
  </si>
  <si>
    <t>PedPrtTPN50!$A$1:$H$43</t>
  </si>
  <si>
    <t>PedPrtTPN7tot15!$A$1:$H$44</t>
  </si>
  <si>
    <t>GlobSettings!#REF!</t>
  </si>
  <si>
    <t>Setting_MVMed</t>
  </si>
  <si>
    <t>GlobTblMedDisc!$A$3:$AY$29</t>
  </si>
  <si>
    <t>GlobTblMedOpdr!$A$1:$A$967</t>
  </si>
  <si>
    <t>PedTblIV!$A$2:$E$34</t>
  </si>
  <si>
    <t>PedTblIV!$G$2:$G$5</t>
  </si>
  <si>
    <t>F:=IF(AND(_Pat_Gewicht&gt;0,AL54&gt;0),CONCATENATE("Vochtintake: ",AL54/(_Pat_Gewicht)," ","ml/kg/dag"," ","(= ",AL54," ml/dag)"),"")</t>
  </si>
  <si>
    <t>F:=IF(M17&lt;&gt;"",IF(ROUNDUP((M17+N17/100)/24,1)&gt;0,ROUNDUP((M17+N17/100)/24,1),""),"")</t>
  </si>
  <si>
    <t>F:=IF(_Pat_Gewicht&gt;0,"Gewicht: "&amp;FixPrecision(_Pat_Gewicht, 3)&amp;" kg", "Gewicht:")</t>
  </si>
  <si>
    <t>F:=IF(AND(_Pat_Gewicht&gt;0,_Pat_Lengte&gt;0),"Lichamelijk oppervlak: "&amp;ROUND(POWER(_Pat_Gewicht,0.425)*POWER(((_Pat_Lengte/100)*100),0.725)*0.007184,2)&amp;" m2", "Lichamelijk oppervlak:")</t>
  </si>
  <si>
    <t>F:=OR(INDEX(Tbl_Neo_BerMedCont,A5,24)=12,IsEpiduraal(INDEX(Tbl_Neo_BerMedCont,A5,10)))</t>
  </si>
  <si>
    <t>F:=ROUND((_Pat_Gewicht)*INDEX(NeoBerAdvies!$B$8:$G$15,8,$C$4),0)</t>
  </si>
  <si>
    <t>F:=ROUND((_Pat_Gewicht)*INDEX(NeoBerAdvies!$B$8:$G$15,1,$C$4),1)</t>
  </si>
  <si>
    <t>NeoDataInfB!$B$114</t>
  </si>
  <si>
    <t>PedPrtTPN31tot50!Z_33CCADFA_0D48_46A6_8927_2B2144029216_.wvu.PrintArea</t>
  </si>
  <si>
    <t>PedPrtTPN50!$A$1:$H$49</t>
  </si>
  <si>
    <t>0.23.00-beta</t>
  </si>
  <si>
    <t>Med Disc dosering berekening per andere tijdseenheid en per dosis mogelijk</t>
  </si>
  <si>
    <t>0.23.01-beta</t>
  </si>
  <si>
    <t>Neo Med Cont VTGM EPI uit de epiduraal tekst gehaald en EPIDURAAL als route toegevoegd</t>
  </si>
  <si>
    <t>Epiduraal berekeningen aangepast aan nieuwe epiduraal oplossing</t>
  </si>
  <si>
    <t>0.23.02-beta</t>
  </si>
  <si>
    <t xml:space="preserve"> 28-1-2018</t>
  </si>
  <si>
    <t>bupivacaine 0,125% EPI</t>
  </si>
  <si>
    <t>2 ml/kg/dag EPIDURAAL</t>
  </si>
  <si>
    <t>sufenta 0,5 mcg/ml bupivac 0,125% EPI</t>
  </si>
  <si>
    <t>Epi bupi 1,25mg /ml</t>
  </si>
  <si>
    <t>Epi bupi 1,25mg, sufenta 0,5 mcg /ml</t>
  </si>
  <si>
    <t>0.23.03-beta</t>
  </si>
  <si>
    <t xml:space="preserve"> 30-1-2018</t>
  </si>
  <si>
    <t xml:space="preserve">Med Disc fiks generiek klik opnieuw laden van medicament </t>
  </si>
  <si>
    <t xml:space="preserve"> 31-1-2018</t>
  </si>
  <si>
    <t>0.23.04-beta</t>
  </si>
  <si>
    <t>Ped TPN fiks probleem met TPN eiwit 0 ml hoeveelheid verwijderen van eiwit samenstelling</t>
  </si>
  <si>
    <t>SMOF 20%</t>
  </si>
  <si>
    <t>Tbl_Ped_Lipid</t>
  </si>
  <si>
    <t>Lipid keuze</t>
  </si>
  <si>
    <t>PedBerTPN!$B$17</t>
  </si>
  <si>
    <t>GlobTblParEnt!$A$6:$N$47</t>
  </si>
  <si>
    <t>GlobTblParEnt!$A$5:$N$47</t>
  </si>
  <si>
    <t>PedTblParEnt!$B$29:$N$30</t>
  </si>
  <si>
    <t>_Ped_TPN_LipidKeuze</t>
  </si>
  <si>
    <t xml:space="preserve"> 2-2-2018</t>
  </si>
  <si>
    <t>0.23.05-beta</t>
  </si>
  <si>
    <t>Ped TPN SMOF optie toegevoegd</t>
  </si>
  <si>
    <t xml:space="preserve"> 3-2-2018</t>
  </si>
  <si>
    <t>0.23.06-beta</t>
  </si>
  <si>
    <t>Med Disc aparte oplossing configuratie voor Pediatrie en Neonatologie</t>
  </si>
  <si>
    <t>0.23.07-beta</t>
  </si>
  <si>
    <t>Med Disc formulier opent juiste parentaralia voor Pediatrie en Neonatologie</t>
  </si>
  <si>
    <t>BUPIVACAINE HCL 1,25 MG/ML INFVLST FLACON  50ML</t>
  </si>
  <si>
    <t>WERK ASEPTISCH IN EEN VAN DE LAF-KASTEN met achtergrond klasse D _x000D_
LINE CLEARANCE UITGEVOERD? JA/NEE_x000D_
• Trek de benodigde hoeveelheid bupivacaine 1,25 mg/ml op in een passende injectiespuit._x000D_
• Trek de benodigde hoeveelheid NaCl 0,9% op in een injectiespuit van 50 ml_x000D_
• Voeg de bupivacaine oplossing 1,25 mg/ml toe aan de NaCl 0,9%_x000D_
• Zuig lucht in de injectiespuit van 50 ml en meng_x000D_
• Ontlucht de spuit en sluit af met een Cair LGL lijn. Vul de lijn met enkele centimeters vloeistof._x000D_
• Etiketteer de injectiespuit(en)</t>
  </si>
  <si>
    <t>BUPIVACAINE 1,25 MG/ML / SUFENTANIL 0,5 MCG/ML FLACON 50ML</t>
  </si>
  <si>
    <t>WERK ASEPTISCH IN EEN VAN DE LAF-KASTEN met achtergrond klasse D_x000D_
LINE CLEARANCE UITGEVOERD? JA/NEE _x000D_
• Trek de benodigde hoeveelheid bupivacaine 1,25 mg/ml + sufentanil 0,5 µg/ml op in een passende injectiespuit._x000D_
• Trek de benodigde hoeveelheid NaCl 0,9% op in een injectiespuit van 50 ml_x000D_
• Voeg de bupivacaine 1,25 mg/ml + sufentanil 0,5 µg/ml oplossing toe aan de NaCl 0,9%_x000D_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</si>
  <si>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Zie Iprova documenten: _x000D_
PP5231174_Insuline Novorapid iv in NaCl 0,9% NICU</t>
  </si>
  <si>
    <t>poeder voor injectievloeistof</t>
  </si>
  <si>
    <t>Smit</t>
  </si>
  <si>
    <t>Danielle</t>
  </si>
  <si>
    <t>J01CA04</t>
  </si>
  <si>
    <t>C02AC01</t>
  </si>
  <si>
    <t>H02AB02</t>
  </si>
  <si>
    <t>AMOXICILLINE 250MG INJPDR</t>
  </si>
  <si>
    <t>CLONIDINE 0,15MG/ML INJVLST</t>
  </si>
  <si>
    <t>DEXAMETHASON 1MG/ML DRANK</t>
  </si>
  <si>
    <t>amoxicilline</t>
  </si>
  <si>
    <t>dexamethason</t>
  </si>
  <si>
    <t>sedatie op ic: adjuvans bij benzodiazepinen</t>
  </si>
  <si>
    <t>afbouwschema</t>
  </si>
  <si>
    <t>or</t>
  </si>
  <si>
    <t>drank</t>
  </si>
  <si>
    <t>vrouw</t>
  </si>
  <si>
    <t xml:space="preserve"> 3-3-2018</t>
  </si>
  <si>
    <t>0.23.08-beta</t>
  </si>
  <si>
    <t>Ped Voeding fiks verkeerde percentage berekening voor poeders</t>
  </si>
  <si>
    <t xml:space="preserve"> 4-3-2018</t>
  </si>
  <si>
    <t>0.23.09-beta</t>
  </si>
  <si>
    <t>Gebruik Haycock formule voor berekening van BSA</t>
  </si>
  <si>
    <t>PerKg</t>
  </si>
  <si>
    <t>PerM2</t>
  </si>
  <si>
    <t>GlobBerMedDisc!$BR$2</t>
  </si>
  <si>
    <t>_Glob_MedDisc_PerKg_01</t>
  </si>
  <si>
    <t>GlobBerMedDisc!$BR$3</t>
  </si>
  <si>
    <t>_Glob_MedDisc_PerKg_02</t>
  </si>
  <si>
    <t>GlobBerMedDisc!$BR$4</t>
  </si>
  <si>
    <t>_Glob_MedDisc_PerKg_03</t>
  </si>
  <si>
    <t>GlobBerMedDisc!$BR$5</t>
  </si>
  <si>
    <t>_Glob_MedDisc_PerKg_04</t>
  </si>
  <si>
    <t>GlobBerMedDisc!$BR$6</t>
  </si>
  <si>
    <t>_Glob_MedDisc_PerKg_05</t>
  </si>
  <si>
    <t>GlobBerMedDisc!$BR$7</t>
  </si>
  <si>
    <t>_Glob_MedDisc_PerKg_06</t>
  </si>
  <si>
    <t>GlobBerMedDisc!$BR$8</t>
  </si>
  <si>
    <t>_Glob_MedDisc_PerKg_07</t>
  </si>
  <si>
    <t>GlobBerMedDisc!$BR$9</t>
  </si>
  <si>
    <t>_Glob_MedDisc_PerKg_08</t>
  </si>
  <si>
    <t>GlobBerMedDisc!$BR$10</t>
  </si>
  <si>
    <t>_Glob_MedDisc_PerKg_09</t>
  </si>
  <si>
    <t>GlobBerMedDisc!$BR$11</t>
  </si>
  <si>
    <t>_Glob_MedDisc_PerKg_10</t>
  </si>
  <si>
    <t>GlobBerMedDisc!$BR$12</t>
  </si>
  <si>
    <t>_Glob_MedDisc_PerKg_11</t>
  </si>
  <si>
    <t>GlobBerMedDisc!$BR$13</t>
  </si>
  <si>
    <t>_Glob_MedDisc_PerKg_12</t>
  </si>
  <si>
    <t>GlobBerMedDisc!$BR$14</t>
  </si>
  <si>
    <t>_Glob_MedDisc_PerKg_13</t>
  </si>
  <si>
    <t>GlobBerMedDisc!$BR$15</t>
  </si>
  <si>
    <t>_Glob_MedDisc_PerKg_14</t>
  </si>
  <si>
    <t>GlobBerMedDisc!$BR$16</t>
  </si>
  <si>
    <t>_Glob_MedDisc_PerKg_15</t>
  </si>
  <si>
    <t>GlobBerMedDisc!$BR$17</t>
  </si>
  <si>
    <t>_Glob_MedDisc_PerKg_16</t>
  </si>
  <si>
    <t>GlobBerMedDisc!$BR$18</t>
  </si>
  <si>
    <t>_Glob_MedDisc_PerKg_17</t>
  </si>
  <si>
    <t>GlobBerMedDisc!$BR$19</t>
  </si>
  <si>
    <t>_Glob_MedDisc_PerKg_18</t>
  </si>
  <si>
    <t>GlobBerMedDisc!$BR$20</t>
  </si>
  <si>
    <t>_Glob_MedDisc_PerKg_19</t>
  </si>
  <si>
    <t>GlobBerMedDisc!$BR$21</t>
  </si>
  <si>
    <t>_Glob_MedDisc_PerKg_20</t>
  </si>
  <si>
    <t>GlobBerMedDisc!$BR$22</t>
  </si>
  <si>
    <t>_Glob_MedDisc_PerKg_21</t>
  </si>
  <si>
    <t>GlobBerMedDisc!$BR$23</t>
  </si>
  <si>
    <t>_Glob_MedDisc_PerKg_22</t>
  </si>
  <si>
    <t>GlobBerMedDisc!$BR$24</t>
  </si>
  <si>
    <t>_Glob_MedDisc_PerKg_23</t>
  </si>
  <si>
    <t>GlobBerMedDisc!$BR$25</t>
  </si>
  <si>
    <t>_Glob_MedDisc_PerKg_24</t>
  </si>
  <si>
    <t>GlobBerMedDisc!$BR$26</t>
  </si>
  <si>
    <t>_Glob_MedDisc_PerKg_25</t>
  </si>
  <si>
    <t>GlobBerMedDisc!$BR$27</t>
  </si>
  <si>
    <t>_Glob_MedDisc_PerKg_26</t>
  </si>
  <si>
    <t>GlobBerMedDisc!$BR$28</t>
  </si>
  <si>
    <t>_Glob_MedDisc_PerKg_27</t>
  </si>
  <si>
    <t>GlobBerMedDisc!$BR$29</t>
  </si>
  <si>
    <t>_Glob_MedDisc_PerKg_28</t>
  </si>
  <si>
    <t>GlobBerMedDisc!$BR$30</t>
  </si>
  <si>
    <t>_Glob_MedDisc_PerKg_29</t>
  </si>
  <si>
    <t>GlobBerMedDisc!$BR$31</t>
  </si>
  <si>
    <t>_Glob_MedDisc_PerKg_30</t>
  </si>
  <si>
    <t>GlobBerMedDisc!$BS$2</t>
  </si>
  <si>
    <t>_Glob_MedDisc_PerM2_01</t>
  </si>
  <si>
    <t>GlobBerMedDisc!$BS$3</t>
  </si>
  <si>
    <t>_Glob_MedDisc_PerM2_02</t>
  </si>
  <si>
    <t>GlobBerMedDisc!$BS$4</t>
  </si>
  <si>
    <t>_Glob_MedDisc_PerM2_03</t>
  </si>
  <si>
    <t>GlobBerMedDisc!$BS$5</t>
  </si>
  <si>
    <t>_Glob_MedDisc_PerM2_04</t>
  </si>
  <si>
    <t>GlobBerMedDisc!$BS$6</t>
  </si>
  <si>
    <t>_Glob_MedDisc_PerM2_05</t>
  </si>
  <si>
    <t>GlobBerMedDisc!$BS$7</t>
  </si>
  <si>
    <t>_Glob_MedDisc_PerM2_06</t>
  </si>
  <si>
    <t>GlobBerMedDisc!$BS$8</t>
  </si>
  <si>
    <t>_Glob_MedDisc_PerM2_07</t>
  </si>
  <si>
    <t>GlobBerMedDisc!$BS$9</t>
  </si>
  <si>
    <t>_Glob_MedDisc_PerM2_08</t>
  </si>
  <si>
    <t>GlobBerMedDisc!$BS$10</t>
  </si>
  <si>
    <t>_Glob_MedDisc_PerM2_09</t>
  </si>
  <si>
    <t>GlobBerMedDisc!$BS$11</t>
  </si>
  <si>
    <t>_Glob_MedDisc_PerM2_10</t>
  </si>
  <si>
    <t>GlobBerMedDisc!$BS$12</t>
  </si>
  <si>
    <t>_Glob_MedDisc_PerM2_11</t>
  </si>
  <si>
    <t>GlobBerMedDisc!$BS$13</t>
  </si>
  <si>
    <t>_Glob_MedDisc_PerM2_12</t>
  </si>
  <si>
    <t>GlobBerMedDisc!$BS$14</t>
  </si>
  <si>
    <t>_Glob_MedDisc_PerM2_13</t>
  </si>
  <si>
    <t>GlobBerMedDisc!$BS$15</t>
  </si>
  <si>
    <t>_Glob_MedDisc_PerM2_14</t>
  </si>
  <si>
    <t>GlobBerMedDisc!$BS$16</t>
  </si>
  <si>
    <t>_Glob_MedDisc_PerM2_15</t>
  </si>
  <si>
    <t>GlobBerMedDisc!$BS$17</t>
  </si>
  <si>
    <t>_Glob_MedDisc_PerM2_16</t>
  </si>
  <si>
    <t>GlobBerMedDisc!$BS$18</t>
  </si>
  <si>
    <t>_Glob_MedDisc_PerM2_17</t>
  </si>
  <si>
    <t>GlobBerMedDisc!$BS$19</t>
  </si>
  <si>
    <t>_Glob_MedDisc_PerM2_18</t>
  </si>
  <si>
    <t>GlobBerMedDisc!$BS$20</t>
  </si>
  <si>
    <t>_Glob_MedDisc_PerM2_19</t>
  </si>
  <si>
    <t>GlobBerMedDisc!$BS$21</t>
  </si>
  <si>
    <t>_Glob_MedDisc_PerM2_20</t>
  </si>
  <si>
    <t>GlobBerMedDisc!$BS$22</t>
  </si>
  <si>
    <t>_Glob_MedDisc_PerM2_21</t>
  </si>
  <si>
    <t>GlobBerMedDisc!$BS$23</t>
  </si>
  <si>
    <t>_Glob_MedDisc_PerM2_22</t>
  </si>
  <si>
    <t>GlobBerMedDisc!$BS$24</t>
  </si>
  <si>
    <t>_Glob_MedDisc_PerM2_23</t>
  </si>
  <si>
    <t>GlobBerMedDisc!$BS$25</t>
  </si>
  <si>
    <t>_Glob_MedDisc_PerM2_24</t>
  </si>
  <si>
    <t>GlobBerMedDisc!$BS$26</t>
  </si>
  <si>
    <t>_Glob_MedDisc_PerM2_25</t>
  </si>
  <si>
    <t>GlobBerMedDisc!$BS$27</t>
  </si>
  <si>
    <t>_Glob_MedDisc_PerM2_26</t>
  </si>
  <si>
    <t>GlobBerMedDisc!$BS$28</t>
  </si>
  <si>
    <t>_Glob_MedDisc_PerM2_27</t>
  </si>
  <si>
    <t>GlobBerMedDisc!$BS$29</t>
  </si>
  <si>
    <t>_Glob_MedDisc_PerM2_28</t>
  </si>
  <si>
    <t>GlobBerMedDisc!$BS$30</t>
  </si>
  <si>
    <t>_Glob_MedDisc_PerM2_29</t>
  </si>
  <si>
    <t>GlobBerMedDisc!$BS$31</t>
  </si>
  <si>
    <t>_Glob_MedDisc_PerM2_30</t>
  </si>
  <si>
    <t>0.24.00-beta</t>
  </si>
  <si>
    <t>Med Disc implementatie van verschillende dosering correcties</t>
  </si>
  <si>
    <t xml:space="preserve"> 21-3-2018</t>
  </si>
  <si>
    <t>0.24.01-beta</t>
  </si>
  <si>
    <t>Med Disc bug fix voor missende route en indicatie invulling</t>
  </si>
  <si>
    <t xml:space="preserve"> 28-3-2018</t>
  </si>
  <si>
    <t>0.25.00-beta</t>
  </si>
  <si>
    <t>Json en Web functionaliteit toegegevoegd</t>
  </si>
  <si>
    <t>MaxKeer</t>
  </si>
  <si>
    <t>PatData!$A$1:$P$763</t>
  </si>
  <si>
    <t>GlobBerMedDisc!$BT$2</t>
  </si>
  <si>
    <t>_Glob_MedDisc_MaxKeer_01</t>
  </si>
  <si>
    <t>GlobBerMedDisc!$BT$3</t>
  </si>
  <si>
    <t>_Glob_MedDisc_MaxKeer_02</t>
  </si>
  <si>
    <t>GlobBerMedDisc!$BT$4</t>
  </si>
  <si>
    <t>_Glob_MedDisc_MaxKeer_03</t>
  </si>
  <si>
    <t>GlobBerMedDisc!$BT$5</t>
  </si>
  <si>
    <t>_Glob_MedDisc_MaxKeer_04</t>
  </si>
  <si>
    <t>GlobBerMedDisc!$BT$6</t>
  </si>
  <si>
    <t>_Glob_MedDisc_MaxKeer_05</t>
  </si>
  <si>
    <t>GlobBerMedDisc!$BT$7</t>
  </si>
  <si>
    <t>_Glob_MedDisc_MaxKeer_06</t>
  </si>
  <si>
    <t>GlobBerMedDisc!$BT$8</t>
  </si>
  <si>
    <t>_Glob_MedDisc_MaxKeer_07</t>
  </si>
  <si>
    <t>GlobBerMedDisc!$BT$9</t>
  </si>
  <si>
    <t>_Glob_MedDisc_MaxKeer_08</t>
  </si>
  <si>
    <t>GlobBerMedDisc!$BT$10</t>
  </si>
  <si>
    <t>_Glob_MedDisc_MaxKeer_09</t>
  </si>
  <si>
    <t>GlobBerMedDisc!$BT$11</t>
  </si>
  <si>
    <t>_Glob_MedDisc_MaxKeer_10</t>
  </si>
  <si>
    <t>GlobBerMedDisc!$BT$12</t>
  </si>
  <si>
    <t>_Glob_MedDisc_MaxKeer_11</t>
  </si>
  <si>
    <t>GlobBerMedDisc!$BT$13</t>
  </si>
  <si>
    <t>_Glob_MedDisc_MaxKeer_12</t>
  </si>
  <si>
    <t>GlobBerMedDisc!$BT$14</t>
  </si>
  <si>
    <t>_Glob_MedDisc_MaxKeer_13</t>
  </si>
  <si>
    <t>GlobBerMedDisc!$BT$15</t>
  </si>
  <si>
    <t>_Glob_MedDisc_MaxKeer_14</t>
  </si>
  <si>
    <t>GlobBerMedDisc!$BT$16</t>
  </si>
  <si>
    <t>_Glob_MedDisc_MaxKeer_15</t>
  </si>
  <si>
    <t>GlobBerMedDisc!$BT$17</t>
  </si>
  <si>
    <t>_Glob_MedDisc_MaxKeer_16</t>
  </si>
  <si>
    <t>GlobBerMedDisc!$BT$18</t>
  </si>
  <si>
    <t>_Glob_MedDisc_MaxKeer_17</t>
  </si>
  <si>
    <t>GlobBerMedDisc!$BT$19</t>
  </si>
  <si>
    <t>_Glob_MedDisc_MaxKeer_18</t>
  </si>
  <si>
    <t>GlobBerMedDisc!$BT$20</t>
  </si>
  <si>
    <t>_Glob_MedDisc_MaxKeer_19</t>
  </si>
  <si>
    <t>GlobBerMedDisc!$BT$21</t>
  </si>
  <si>
    <t>_Glob_MedDisc_MaxKeer_20</t>
  </si>
  <si>
    <t>GlobBerMedDisc!$BT$22</t>
  </si>
  <si>
    <t>_Glob_MedDisc_MaxKeer_21</t>
  </si>
  <si>
    <t>GlobBerMedDisc!$BT$23</t>
  </si>
  <si>
    <t>_Glob_MedDisc_MaxKeer_22</t>
  </si>
  <si>
    <t>GlobBerMedDisc!$BT$24</t>
  </si>
  <si>
    <t>_Glob_MedDisc_MaxKeer_23</t>
  </si>
  <si>
    <t>GlobBerMedDisc!$BT$25</t>
  </si>
  <si>
    <t>_Glob_MedDisc_MaxKeer_24</t>
  </si>
  <si>
    <t>GlobBerMedDisc!$BT$26</t>
  </si>
  <si>
    <t>_Glob_MedDisc_MaxKeer_25</t>
  </si>
  <si>
    <t>GlobBerMedDisc!$BT$27</t>
  </si>
  <si>
    <t>_Glob_MedDisc_MaxKeer_26</t>
  </si>
  <si>
    <t>GlobBerMedDisc!$BT$28</t>
  </si>
  <si>
    <t>_Glob_MedDisc_MaxKeer_27</t>
  </si>
  <si>
    <t>GlobBerMedDisc!$BT$29</t>
  </si>
  <si>
    <t>_Glob_MedDisc_MaxKeer_28</t>
  </si>
  <si>
    <t>GlobBerMedDisc!$BT$30</t>
  </si>
  <si>
    <t>_Glob_MedDisc_MaxKeer_29</t>
  </si>
  <si>
    <t>GlobBerMedDisc!$BT$31</t>
  </si>
  <si>
    <t>_Glob_MedDisc_MaxKeer_30</t>
  </si>
  <si>
    <t>Patient: Smit, Danielle</t>
  </si>
  <si>
    <t>Smit, Danielle</t>
  </si>
  <si>
    <t>0.30.00-beta</t>
  </si>
  <si>
    <t xml:space="preserve"> 30-3-2018</t>
  </si>
  <si>
    <t>Dosering koppeling initiele implementatie</t>
  </si>
  <si>
    <t>0.30.01-beta</t>
  </si>
  <si>
    <t>Dosering koppeling fix gewicht punt komma probleem</t>
  </si>
  <si>
    <t>Discontinue medicatie formulier kan nu doseer controle wissen</t>
  </si>
  <si>
    <t>0.30.02-beta</t>
  </si>
  <si>
    <t>Discontinue medicatie formulier toont tijdseenheid indien alle frequenties dezelfde eenheid</t>
  </si>
  <si>
    <t>0.30.03-beta</t>
  </si>
  <si>
    <t>0.30.04-beta</t>
  </si>
  <si>
    <t>Fiks continue medicatie probleem met niet geldige oplos volumes</t>
  </si>
  <si>
    <t>Data</t>
  </si>
  <si>
    <t>0.30.05-beta</t>
  </si>
  <si>
    <t>String naar range en range naar string implementatie</t>
  </si>
  <si>
    <t>NaCl 3% (0,5 mmol/ml)</t>
  </si>
  <si>
    <t>NaCl 3%</t>
  </si>
  <si>
    <t xml:space="preserve">NaCl 3% </t>
  </si>
  <si>
    <t>Actuele Afspraken</t>
  </si>
  <si>
    <t>0.30.06-beta</t>
  </si>
  <si>
    <t>NaCl 2,9% vervangen door NaCl 3%</t>
  </si>
  <si>
    <t>DOPRAM 20 MG/ML INJECTIEVLOEISTOF 5ML</t>
  </si>
  <si>
    <t>WERK ASEPTISCH IN EEN VAN DE LAF-KASTEN met achtergrond klasse D _x000D_
LINE CLEARANCE UITGEVOERD? JA/NEE_x000D_
• Trek via een filternaald 2,4 ml doxapram 20 mg/ml op in een passende injectiespuit. _x000D_
• Vul aan met 21,6 ml glucose ……% tot 24 ml in een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</si>
  <si>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NITROPRUSSIDE NATRIUM 25 MG/ML INJVLST AMPUL 2ML</t>
  </si>
  <si>
    <t>WERK ASEPTISCH IN EEN VAN DE LAF-KASTEN met achtergrond klasse D_x000D_
LINE CLEARANCE UITGEVOERD? JA/NEE _x000D_
• Trek via een filternaald de benodigde hoeveelheid nitroprusside 25 mg/ml of een 10-voudige hoeveelheid van de 1 op 10 verdunning* (=……..ml) op in een passende injectiespuit. (*doorhalen wat niet van toepassing is)._x000D_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</si>
  <si>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NaCl 2,9%</t>
  </si>
  <si>
    <t>GLUCOSE 20% INFUSIE ZAK 500 ML</t>
  </si>
  <si>
    <t>0.30.07-beta</t>
  </si>
  <si>
    <t>0.30.08-beta</t>
  </si>
  <si>
    <t>Fiks bug verwijderen extra vink bij voorgaand medicament</t>
  </si>
  <si>
    <t>DatabaseBusy</t>
  </si>
  <si>
    <t>0.40.00-beta</t>
  </si>
  <si>
    <t>Eerste implementatie van gebruik van database ipv bestanden</t>
  </si>
  <si>
    <t>0.40.01-beta</t>
  </si>
  <si>
    <t>Fiks database string naar type conversie voor numeriek en bool</t>
  </si>
  <si>
    <t>0.40.02-beta</t>
  </si>
  <si>
    <t>Fiks Ped TPN standaard TPN bij laden niet standaard TPN</t>
  </si>
  <si>
    <t>0.41.00-beta</t>
  </si>
  <si>
    <t>Eerste implementatie volledige patient lijst uit MetaVision</t>
  </si>
  <si>
    <t>0.42.00-beta</t>
  </si>
  <si>
    <t>Eerste implementatie opslaan en laden configuratie via database</t>
  </si>
  <si>
    <t>0.42.01-beta</t>
  </si>
  <si>
    <t>Fiks niet wegschrijven van laatst opgeslagen versie</t>
  </si>
  <si>
    <t>UMCU_WKZ_AP_Test</t>
  </si>
  <si>
    <t>Gebruik database</t>
  </si>
  <si>
    <t>Test Database</t>
  </si>
  <si>
    <t>Productie Database</t>
  </si>
  <si>
    <t>Test Server</t>
  </si>
  <si>
    <t>Productie Server</t>
  </si>
  <si>
    <t>mvtst_wkz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</si>
</sst>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  <numFmt numFmtId="175" formatCode="d/mm/yy\ h:mm;@"/>
  </numFmts>
  <fonts count="10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  <font>
      <sz val="10"/>
      <color rgb="FFFFFFFF"/>
      <name val="Arial"/>
      <family val="2"/>
    </font>
    <font>
      <sz val="10"/>
      <color theme="2" tint="-0.89999084444715716"/>
      <name val="Arial"/>
      <family val="2"/>
    </font>
    <font>
      <b/>
      <sz val="10"/>
      <color theme="1" tint="0.499984740745262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</borders>
  <cellStyleXfs count="898">
    <xf numFmtId="0" fontId="0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34" fillId="3" borderId="0" applyNumberFormat="0" applyBorder="0" applyAlignment="0" applyProtection="0"/>
    <xf numFmtId="0" fontId="35" fillId="20" borderId="1" applyNumberFormat="0" applyAlignment="0" applyProtection="0"/>
    <xf numFmtId="0" fontId="36" fillId="21" borderId="2" applyNumberFormat="0" applyAlignment="0" applyProtection="0"/>
    <xf numFmtId="0" fontId="37" fillId="0" borderId="0" applyNumberFormat="0" applyFill="0" applyBorder="0" applyAlignment="0" applyProtection="0"/>
    <xf numFmtId="0" fontId="38" fillId="4" borderId="0" applyNumberFormat="0" applyBorder="0" applyAlignment="0" applyProtection="0"/>
    <xf numFmtId="0" fontId="39" fillId="0" borderId="3" applyNumberFormat="0" applyFill="0" applyAlignment="0" applyProtection="0"/>
    <xf numFmtId="0" fontId="40" fillId="0" borderId="4" applyNumberFormat="0" applyFill="0" applyAlignment="0" applyProtection="0"/>
    <xf numFmtId="0" fontId="41" fillId="0" borderId="5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1" applyNumberFormat="0" applyAlignment="0" applyProtection="0"/>
    <xf numFmtId="0" fontId="43" fillId="0" borderId="6" applyNumberFormat="0" applyFill="0" applyAlignment="0" applyProtection="0"/>
    <xf numFmtId="0" fontId="44" fillId="22" borderId="0" applyNumberFormat="0" applyBorder="0" applyAlignment="0" applyProtection="0"/>
    <xf numFmtId="0" fontId="13" fillId="23" borderId="7" applyNumberFormat="0" applyFont="0" applyAlignment="0" applyProtection="0"/>
    <xf numFmtId="0" fontId="45" fillId="20" borderId="8" applyNumberFormat="0" applyAlignment="0" applyProtection="0"/>
    <xf numFmtId="0" fontId="46" fillId="0" borderId="0" applyNumberFormat="0" applyFill="0" applyBorder="0" applyAlignment="0" applyProtection="0"/>
    <xf numFmtId="0" fontId="47" fillId="0" borderId="9" applyNumberFormat="0" applyFill="0" applyAlignment="0" applyProtection="0"/>
    <xf numFmtId="0" fontId="48" fillId="0" borderId="0" applyNumberFormat="0" applyFill="0" applyBorder="0" applyAlignment="0" applyProtection="0"/>
    <xf numFmtId="0" fontId="13" fillId="0" borderId="0"/>
    <xf numFmtId="0" fontId="13" fillId="0" borderId="0"/>
    <xf numFmtId="0" fontId="12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11" fillId="0" borderId="0"/>
    <xf numFmtId="0" fontId="10" fillId="0" borderId="0"/>
    <xf numFmtId="0" fontId="13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10" fillId="0" borderId="0"/>
    <xf numFmtId="0" fontId="10" fillId="0" borderId="0"/>
    <xf numFmtId="0" fontId="13" fillId="0" borderId="0"/>
    <xf numFmtId="0" fontId="9" fillId="0" borderId="0"/>
    <xf numFmtId="0" fontId="13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3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34" fillId="3" borderId="0" applyNumberFormat="0" applyBorder="0" applyAlignment="0" applyProtection="0"/>
    <xf numFmtId="0" fontId="35" fillId="20" borderId="1" applyNumberFormat="0" applyAlignment="0" applyProtection="0"/>
    <xf numFmtId="0" fontId="36" fillId="21" borderId="2" applyNumberFormat="0" applyAlignment="0" applyProtection="0"/>
    <xf numFmtId="0" fontId="37" fillId="0" borderId="0" applyNumberFormat="0" applyFill="0" applyBorder="0" applyAlignment="0" applyProtection="0"/>
    <xf numFmtId="0" fontId="38" fillId="4" borderId="0" applyNumberFormat="0" applyBorder="0" applyAlignment="0" applyProtection="0"/>
    <xf numFmtId="0" fontId="39" fillId="0" borderId="3" applyNumberFormat="0" applyFill="0" applyAlignment="0" applyProtection="0"/>
    <xf numFmtId="0" fontId="40" fillId="0" borderId="4" applyNumberFormat="0" applyFill="0" applyAlignment="0" applyProtection="0"/>
    <xf numFmtId="0" fontId="41" fillId="0" borderId="5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1" applyNumberFormat="0" applyAlignment="0" applyProtection="0"/>
    <xf numFmtId="0" fontId="43" fillId="0" borderId="6" applyNumberFormat="0" applyFill="0" applyAlignment="0" applyProtection="0"/>
    <xf numFmtId="0" fontId="44" fillId="22" borderId="0" applyNumberFormat="0" applyBorder="0" applyAlignment="0" applyProtection="0"/>
    <xf numFmtId="0" fontId="13" fillId="0" borderId="0"/>
    <xf numFmtId="0" fontId="13" fillId="23" borderId="7" applyNumberFormat="0" applyFont="0" applyAlignment="0" applyProtection="0"/>
    <xf numFmtId="0" fontId="45" fillId="20" borderId="8" applyNumberFormat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66" fillId="0" borderId="0"/>
    <xf numFmtId="0" fontId="3" fillId="0" borderId="0"/>
    <xf numFmtId="0" fontId="1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6" fillId="0" borderId="0" applyNumberFormat="0" applyFill="0" applyBorder="0" applyAlignment="0" applyProtection="0"/>
    <xf numFmtId="0" fontId="47" fillId="0" borderId="9" applyNumberFormat="0" applyFill="0" applyAlignment="0" applyProtection="0"/>
    <xf numFmtId="0" fontId="48" fillId="0" borderId="0" applyNumberFormat="0" applyFill="0" applyBorder="0" applyAlignment="0" applyProtection="0"/>
    <xf numFmtId="0" fontId="2" fillId="0" borderId="0"/>
    <xf numFmtId="0" fontId="1" fillId="0" borderId="0"/>
    <xf numFmtId="0" fontId="13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3" fillId="0" borderId="0"/>
  </cellStyleXfs>
  <cellXfs count="930">
    <xf numFmtId="0" fontId="0" fillId="0" borderId="0" xfId="0"/>
    <xf numFmtId="0" fontId="15" fillId="0" borderId="0" xfId="0" applyFont="1"/>
    <xf numFmtId="164" fontId="0" fillId="0" borderId="0" xfId="0" applyNumberFormat="1"/>
    <xf numFmtId="0" fontId="23" fillId="0" borderId="0" xfId="0" applyFont="1"/>
    <xf numFmtId="0" fontId="22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3" fillId="0" borderId="0" xfId="0" applyFont="1" applyFill="1" applyBorder="1"/>
    <xf numFmtId="0" fontId="0" fillId="0" borderId="0" xfId="0" applyAlignment="1">
      <alignment wrapText="1"/>
    </xf>
    <xf numFmtId="0" fontId="23" fillId="0" borderId="0" xfId="0" applyFont="1" applyFill="1" applyProtection="1">
      <protection locked="0" hidden="1"/>
    </xf>
    <xf numFmtId="15" fontId="0" fillId="0" borderId="0" xfId="0" applyNumberFormat="1"/>
    <xf numFmtId="0" fontId="23" fillId="0" borderId="0" xfId="0" applyFont="1" applyFill="1" applyProtection="1"/>
    <xf numFmtId="0" fontId="23" fillId="0" borderId="0" xfId="0" applyFont="1" applyFill="1" applyBorder="1" applyProtection="1"/>
    <xf numFmtId="0" fontId="15" fillId="0" borderId="0" xfId="0" applyFont="1" applyFill="1" applyBorder="1" applyProtection="1"/>
    <xf numFmtId="0" fontId="23" fillId="0" borderId="0" xfId="0" applyFont="1" applyBorder="1"/>
    <xf numFmtId="0" fontId="20" fillId="25" borderId="29" xfId="0" applyFont="1" applyFill="1" applyBorder="1"/>
    <xf numFmtId="0" fontId="20" fillId="25" borderId="30" xfId="0" applyFont="1" applyFill="1" applyBorder="1"/>
    <xf numFmtId="0" fontId="20" fillId="25" borderId="31" xfId="0" applyFont="1" applyFill="1" applyBorder="1"/>
    <xf numFmtId="0" fontId="23" fillId="25" borderId="0" xfId="0" applyFont="1" applyFill="1" applyProtection="1"/>
    <xf numFmtId="0" fontId="23" fillId="25" borderId="0" xfId="0" applyFont="1" applyFill="1" applyBorder="1" applyProtection="1"/>
    <xf numFmtId="0" fontId="19" fillId="0" borderId="0" xfId="0" applyFont="1" applyFill="1" applyBorder="1" applyProtection="1"/>
    <xf numFmtId="0" fontId="19" fillId="24" borderId="0" xfId="0" applyFont="1" applyFill="1" applyBorder="1" applyProtection="1"/>
    <xf numFmtId="0" fontId="23" fillId="25" borderId="0" xfId="0" applyFont="1" applyFill="1" applyBorder="1"/>
    <xf numFmtId="166" fontId="23" fillId="25" borderId="0" xfId="0" applyNumberFormat="1" applyFont="1" applyFill="1" applyBorder="1" applyAlignment="1" applyProtection="1">
      <alignment horizontal="left"/>
    </xf>
    <xf numFmtId="0" fontId="23" fillId="0" borderId="0" xfId="0" applyFont="1" applyFill="1" applyBorder="1" applyAlignment="1" applyProtection="1">
      <alignment horizontal="center" vertical="center"/>
    </xf>
    <xf numFmtId="0" fontId="19" fillId="25" borderId="0" xfId="0" applyFont="1" applyFill="1" applyBorder="1" applyAlignment="1" applyProtection="1">
      <alignment horizontal="center"/>
    </xf>
    <xf numFmtId="0" fontId="30" fillId="25" borderId="0" xfId="0" applyFont="1" applyFill="1" applyBorder="1" applyProtection="1"/>
    <xf numFmtId="0" fontId="19" fillId="0" borderId="0" xfId="0" applyFont="1" applyFill="1" applyBorder="1" applyAlignment="1" applyProtection="1">
      <alignment horizontal="center"/>
    </xf>
    <xf numFmtId="0" fontId="16" fillId="25" borderId="0" xfId="0" applyFont="1" applyFill="1" applyBorder="1" applyProtection="1"/>
    <xf numFmtId="0" fontId="28" fillId="25" borderId="0" xfId="0" applyFont="1" applyFill="1" applyBorder="1" applyProtection="1"/>
    <xf numFmtId="0" fontId="19" fillId="24" borderId="33" xfId="0" applyFont="1" applyFill="1" applyBorder="1" applyProtection="1"/>
    <xf numFmtId="0" fontId="15" fillId="0" borderId="33" xfId="0" applyFont="1" applyFill="1" applyBorder="1" applyProtection="1"/>
    <xf numFmtId="0" fontId="23" fillId="0" borderId="33" xfId="0" applyFont="1" applyFill="1" applyBorder="1" applyProtection="1"/>
    <xf numFmtId="0" fontId="19" fillId="24" borderId="34" xfId="0" applyFont="1" applyFill="1" applyBorder="1" applyProtection="1"/>
    <xf numFmtId="0" fontId="15" fillId="0" borderId="34" xfId="0" applyFont="1" applyFill="1" applyBorder="1" applyProtection="1"/>
    <xf numFmtId="0" fontId="23" fillId="0" borderId="34" xfId="0" applyFont="1" applyFill="1" applyBorder="1" applyProtection="1"/>
    <xf numFmtId="0" fontId="16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3" fillId="25" borderId="0" xfId="0" applyNumberFormat="1" applyFont="1" applyFill="1" applyBorder="1" applyAlignment="1" applyProtection="1">
      <alignment horizontal="left"/>
    </xf>
    <xf numFmtId="0" fontId="22" fillId="0" borderId="30" xfId="0" applyFont="1" applyBorder="1" applyAlignment="1">
      <alignment horizontal="right" vertical="top" wrapText="1"/>
    </xf>
    <xf numFmtId="0" fontId="22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applyNumberFormat="1"/>
    <xf numFmtId="0" fontId="49" fillId="0" borderId="33" xfId="0" applyFont="1" applyFill="1" applyBorder="1" applyProtection="1"/>
    <xf numFmtId="0" fontId="49" fillId="0" borderId="0" xfId="0" applyFont="1" applyFill="1" applyBorder="1" applyProtection="1"/>
    <xf numFmtId="0" fontId="49" fillId="0" borderId="34" xfId="0" applyFont="1" applyFill="1" applyBorder="1" applyProtection="1"/>
    <xf numFmtId="0" fontId="49" fillId="0" borderId="0" xfId="0" applyFont="1" applyFill="1" applyProtection="1"/>
    <xf numFmtId="0" fontId="13" fillId="0" borderId="0" xfId="0" applyFont="1"/>
    <xf numFmtId="0" fontId="13" fillId="0" borderId="0" xfId="0" applyFont="1" applyFill="1" applyBorder="1"/>
    <xf numFmtId="0" fontId="13" fillId="0" borderId="0" xfId="0" applyFont="1" applyAlignment="1">
      <alignment wrapText="1"/>
    </xf>
    <xf numFmtId="0" fontId="13" fillId="0" borderId="0" xfId="0" applyFont="1" applyFill="1" applyProtection="1">
      <protection locked="0" hidden="1"/>
    </xf>
    <xf numFmtId="169" fontId="0" fillId="0" borderId="0" xfId="0" applyNumberFormat="1"/>
    <xf numFmtId="0" fontId="13" fillId="0" borderId="0" xfId="42"/>
    <xf numFmtId="49" fontId="13" fillId="0" borderId="0" xfId="42" applyNumberFormat="1"/>
    <xf numFmtId="20" fontId="13" fillId="0" borderId="0" xfId="42" applyNumberFormat="1"/>
    <xf numFmtId="0" fontId="53" fillId="0" borderId="0" xfId="42" applyFont="1"/>
    <xf numFmtId="0" fontId="13" fillId="0" borderId="0" xfId="42" applyAlignment="1"/>
    <xf numFmtId="0" fontId="15" fillId="0" borderId="0" xfId="42" applyFont="1" applyAlignment="1">
      <alignment horizontal="left"/>
    </xf>
    <xf numFmtId="0" fontId="15" fillId="0" borderId="0" xfId="42" applyFont="1"/>
    <xf numFmtId="0" fontId="54" fillId="0" borderId="0" xfId="42" applyFont="1" applyBorder="1"/>
    <xf numFmtId="0" fontId="13" fillId="0" borderId="0" xfId="42" applyBorder="1"/>
    <xf numFmtId="0" fontId="54" fillId="0" borderId="23" xfId="42" applyFont="1" applyBorder="1"/>
    <xf numFmtId="0" fontId="13" fillId="0" borderId="23" xfId="42" applyBorder="1"/>
    <xf numFmtId="15" fontId="13" fillId="0" borderId="23" xfId="42" applyNumberFormat="1" applyBorder="1" applyAlignment="1">
      <alignment horizontal="left"/>
    </xf>
    <xf numFmtId="0" fontId="13" fillId="0" borderId="14" xfId="42" applyBorder="1"/>
    <xf numFmtId="0" fontId="13" fillId="0" borderId="15" xfId="42" applyBorder="1"/>
    <xf numFmtId="0" fontId="53" fillId="0" borderId="0" xfId="42" applyFont="1" applyBorder="1"/>
    <xf numFmtId="0" fontId="15" fillId="0" borderId="0" xfId="42" applyFont="1" applyBorder="1"/>
    <xf numFmtId="0" fontId="13" fillId="0" borderId="0" xfId="42" applyFont="1"/>
    <xf numFmtId="0" fontId="13" fillId="0" borderId="0" xfId="42" applyAlignment="1">
      <alignment horizontal="right"/>
    </xf>
    <xf numFmtId="0" fontId="13" fillId="0" borderId="0" xfId="42" applyBorder="1" applyAlignment="1">
      <alignment horizontal="center"/>
    </xf>
    <xf numFmtId="0" fontId="13" fillId="0" borderId="23" xfId="42" applyFont="1" applyBorder="1"/>
    <xf numFmtId="0" fontId="13" fillId="0" borderId="39" xfId="42" applyBorder="1"/>
    <xf numFmtId="0" fontId="13" fillId="0" borderId="40" xfId="42" applyBorder="1"/>
    <xf numFmtId="0" fontId="13" fillId="0" borderId="0" xfId="42" applyAlignment="1">
      <alignment horizontal="left"/>
    </xf>
    <xf numFmtId="0" fontId="13" fillId="0" borderId="41" xfId="42" applyFont="1" applyBorder="1"/>
    <xf numFmtId="0" fontId="15" fillId="0" borderId="41" xfId="42" applyFont="1" applyBorder="1"/>
    <xf numFmtId="0" fontId="13" fillId="0" borderId="42" xfId="42" applyFont="1" applyBorder="1"/>
    <xf numFmtId="0" fontId="13" fillId="0" borderId="41" xfId="42" applyFont="1" applyBorder="1" applyAlignment="1">
      <alignment horizontal="center"/>
    </xf>
    <xf numFmtId="0" fontId="13" fillId="0" borderId="42" xfId="42" applyBorder="1"/>
    <xf numFmtId="0" fontId="13" fillId="0" borderId="43" xfId="42" applyFont="1" applyBorder="1"/>
    <xf numFmtId="0" fontId="15" fillId="0" borderId="43" xfId="42" applyFont="1" applyBorder="1"/>
    <xf numFmtId="0" fontId="15" fillId="0" borderId="43" xfId="42" applyFont="1" applyBorder="1" applyAlignment="1">
      <alignment horizontal="right"/>
    </xf>
    <xf numFmtId="0" fontId="13" fillId="0" borderId="43" xfId="42" applyFont="1" applyBorder="1" applyAlignment="1">
      <alignment horizontal="center"/>
    </xf>
    <xf numFmtId="0" fontId="13" fillId="0" borderId="43" xfId="42" applyFont="1" applyBorder="1" applyAlignment="1">
      <alignment horizontal="right"/>
    </xf>
    <xf numFmtId="0" fontId="31" fillId="0" borderId="43" xfId="42" applyFont="1" applyBorder="1" applyAlignment="1">
      <alignment horizontal="left"/>
    </xf>
    <xf numFmtId="0" fontId="13" fillId="0" borderId="44" xfId="42" applyFont="1" applyBorder="1"/>
    <xf numFmtId="0" fontId="13" fillId="0" borderId="44" xfId="42" applyBorder="1"/>
    <xf numFmtId="0" fontId="13" fillId="0" borderId="45" xfId="42" applyBorder="1"/>
    <xf numFmtId="0" fontId="13" fillId="0" borderId="46" xfId="42" applyBorder="1"/>
    <xf numFmtId="0" fontId="13" fillId="0" borderId="31" xfId="42" applyBorder="1"/>
    <xf numFmtId="0" fontId="13" fillId="0" borderId="29" xfId="42" applyBorder="1"/>
    <xf numFmtId="0" fontId="13" fillId="0" borderId="47" xfId="42" applyBorder="1"/>
    <xf numFmtId="0" fontId="13" fillId="0" borderId="30" xfId="42" applyBorder="1"/>
    <xf numFmtId="0" fontId="15" fillId="0" borderId="29" xfId="42" applyFont="1" applyBorder="1"/>
    <xf numFmtId="0" fontId="13" fillId="0" borderId="30" xfId="42" applyFont="1" applyBorder="1"/>
    <xf numFmtId="0" fontId="13" fillId="0" borderId="31" xfId="42" applyFont="1" applyBorder="1"/>
    <xf numFmtId="0" fontId="13" fillId="0" borderId="48" xfId="42" applyBorder="1"/>
    <xf numFmtId="0" fontId="13" fillId="0" borderId="49" xfId="42" applyBorder="1"/>
    <xf numFmtId="0" fontId="13" fillId="0" borderId="50" xfId="42" applyBorder="1"/>
    <xf numFmtId="0" fontId="13" fillId="0" borderId="51" xfId="42" applyBorder="1"/>
    <xf numFmtId="0" fontId="22" fillId="0" borderId="0" xfId="42" applyFont="1"/>
    <xf numFmtId="0" fontId="13" fillId="0" borderId="0" xfId="42" applyFill="1"/>
    <xf numFmtId="0" fontId="13" fillId="0" borderId="0" xfId="42" applyFill="1" applyAlignment="1">
      <alignment horizontal="left"/>
    </xf>
    <xf numFmtId="0" fontId="15" fillId="0" borderId="0" xfId="42" applyFont="1" applyFill="1"/>
    <xf numFmtId="20" fontId="13" fillId="0" borderId="0" xfId="42" applyNumberFormat="1" applyFill="1" applyAlignment="1"/>
    <xf numFmtId="0" fontId="13" fillId="0" borderId="23" xfId="42" applyFill="1" applyBorder="1"/>
    <xf numFmtId="0" fontId="13" fillId="0" borderId="29" xfId="42" applyFill="1" applyBorder="1"/>
    <xf numFmtId="0" fontId="13" fillId="0" borderId="31" xfId="42" applyFill="1" applyBorder="1"/>
    <xf numFmtId="0" fontId="13" fillId="0" borderId="46" xfId="42" applyFill="1" applyBorder="1"/>
    <xf numFmtId="0" fontId="15" fillId="0" borderId="46" xfId="42" applyFont="1" applyFill="1" applyBorder="1"/>
    <xf numFmtId="0" fontId="13" fillId="0" borderId="0" xfId="42" applyFill="1" applyBorder="1"/>
    <xf numFmtId="0" fontId="13" fillId="0" borderId="54" xfId="42" applyFill="1" applyBorder="1"/>
    <xf numFmtId="0" fontId="15" fillId="0" borderId="29" xfId="42" applyFont="1" applyFill="1" applyBorder="1"/>
    <xf numFmtId="0" fontId="13" fillId="0" borderId="30" xfId="42" applyFill="1" applyBorder="1"/>
    <xf numFmtId="170" fontId="55" fillId="0" borderId="7" xfId="42" applyNumberFormat="1" applyFont="1" applyFill="1" applyBorder="1" applyAlignment="1">
      <alignment horizontal="right"/>
    </xf>
    <xf numFmtId="170" fontId="55" fillId="0" borderId="30" xfId="42" applyNumberFormat="1" applyFont="1" applyFill="1" applyBorder="1" applyAlignment="1">
      <alignment horizontal="right"/>
    </xf>
    <xf numFmtId="0" fontId="15" fillId="0" borderId="55" xfId="42" applyFont="1" applyFill="1" applyBorder="1"/>
    <xf numFmtId="0" fontId="13" fillId="0" borderId="52" xfId="42" applyFill="1" applyBorder="1"/>
    <xf numFmtId="0" fontId="13" fillId="0" borderId="35" xfId="42" applyFill="1" applyBorder="1"/>
    <xf numFmtId="0" fontId="13" fillId="0" borderId="53" xfId="42" applyFill="1" applyBorder="1"/>
    <xf numFmtId="1" fontId="55" fillId="0" borderId="32" xfId="42" applyNumberFormat="1" applyFont="1" applyFill="1" applyBorder="1" applyAlignment="1">
      <alignment horizontal="right"/>
    </xf>
    <xf numFmtId="170" fontId="55" fillId="0" borderId="32" xfId="42" applyNumberFormat="1" applyFont="1" applyFill="1" applyBorder="1" applyAlignment="1">
      <alignment horizontal="right"/>
    </xf>
    <xf numFmtId="0" fontId="13" fillId="0" borderId="55" xfId="42" applyFill="1" applyBorder="1"/>
    <xf numFmtId="1" fontId="55" fillId="0" borderId="7" xfId="42" applyNumberFormat="1" applyFont="1" applyFill="1" applyBorder="1" applyAlignment="1">
      <alignment horizontal="right"/>
    </xf>
    <xf numFmtId="0" fontId="15" fillId="0" borderId="30" xfId="42" applyFont="1" applyFill="1" applyBorder="1"/>
    <xf numFmtId="1" fontId="56" fillId="0" borderId="0" xfId="42" applyNumberFormat="1" applyFont="1" applyFill="1" applyBorder="1" applyAlignment="1">
      <alignment horizontal="right"/>
    </xf>
    <xf numFmtId="170" fontId="56" fillId="0" borderId="0" xfId="42" applyNumberFormat="1" applyFont="1" applyFill="1" applyBorder="1" applyAlignment="1">
      <alignment horizontal="right"/>
    </xf>
    <xf numFmtId="0" fontId="15" fillId="0" borderId="7" xfId="42" applyFont="1" applyFill="1" applyBorder="1"/>
    <xf numFmtId="0" fontId="13" fillId="0" borderId="7" xfId="42" applyFill="1" applyBorder="1"/>
    <xf numFmtId="0" fontId="15" fillId="0" borderId="7" xfId="42" applyFont="1" applyFill="1" applyBorder="1" applyAlignment="1">
      <alignment horizontal="left"/>
    </xf>
    <xf numFmtId="1" fontId="55" fillId="0" borderId="56" xfId="42" applyNumberFormat="1" applyFont="1" applyFill="1" applyBorder="1" applyAlignment="1">
      <alignment horizontal="right"/>
    </xf>
    <xf numFmtId="170" fontId="55" fillId="0" borderId="56" xfId="42" applyNumberFormat="1" applyFont="1" applyFill="1" applyBorder="1" applyAlignment="1">
      <alignment horizontal="right"/>
    </xf>
    <xf numFmtId="0" fontId="13" fillId="0" borderId="0" xfId="42" applyFill="1" applyBorder="1" applyAlignment="1">
      <alignment horizontal="right"/>
    </xf>
    <xf numFmtId="1" fontId="55" fillId="0" borderId="57" xfId="42" applyNumberFormat="1" applyFont="1" applyFill="1" applyBorder="1" applyAlignment="1">
      <alignment horizontal="right"/>
    </xf>
    <xf numFmtId="170" fontId="55" fillId="0" borderId="57" xfId="42" applyNumberFormat="1" applyFont="1" applyFill="1" applyBorder="1" applyAlignment="1">
      <alignment horizontal="right"/>
    </xf>
    <xf numFmtId="0" fontId="13" fillId="0" borderId="35" xfId="42" applyFill="1" applyBorder="1" applyAlignment="1">
      <alignment horizontal="right"/>
    </xf>
    <xf numFmtId="0" fontId="15" fillId="0" borderId="35" xfId="42" applyFont="1" applyFill="1" applyBorder="1"/>
    <xf numFmtId="0" fontId="53" fillId="0" borderId="29" xfId="42" applyFont="1" applyFill="1" applyBorder="1"/>
    <xf numFmtId="0" fontId="13" fillId="0" borderId="30" xfId="42" applyFill="1" applyBorder="1" applyAlignment="1">
      <alignment horizontal="right"/>
    </xf>
    <xf numFmtId="0" fontId="57" fillId="0" borderId="7" xfId="42" applyFont="1" applyFill="1" applyBorder="1" applyAlignment="1">
      <alignment horizontal="right"/>
    </xf>
    <xf numFmtId="0" fontId="13" fillId="0" borderId="0" xfId="42" applyFill="1" applyAlignment="1">
      <alignment horizontal="right"/>
    </xf>
    <xf numFmtId="0" fontId="58" fillId="0" borderId="0" xfId="42" applyFont="1"/>
    <xf numFmtId="0" fontId="13" fillId="0" borderId="0" xfId="42" applyBorder="1" applyAlignment="1">
      <alignment horizontal="right"/>
    </xf>
    <xf numFmtId="49" fontId="13" fillId="0" borderId="0" xfId="42" applyNumberFormat="1" applyAlignment="1">
      <alignment wrapText="1"/>
    </xf>
    <xf numFmtId="2" fontId="13" fillId="0" borderId="0" xfId="42" applyNumberFormat="1"/>
    <xf numFmtId="49" fontId="15" fillId="0" borderId="0" xfId="42" applyNumberFormat="1" applyFont="1" applyAlignment="1">
      <alignment wrapText="1"/>
    </xf>
    <xf numFmtId="0" fontId="13" fillId="0" borderId="0" xfId="42" applyAlignment="1">
      <alignment wrapText="1"/>
    </xf>
    <xf numFmtId="0" fontId="13" fillId="0" borderId="0" xfId="42" applyNumberFormat="1"/>
    <xf numFmtId="0" fontId="0" fillId="0" borderId="0" xfId="0"/>
    <xf numFmtId="0" fontId="13" fillId="0" borderId="0" xfId="0" applyFont="1"/>
    <xf numFmtId="2" fontId="0" fillId="0" borderId="0" xfId="0" applyNumberFormat="1"/>
    <xf numFmtId="49" fontId="0" fillId="0" borderId="0" xfId="0" quotePrefix="1" applyNumberFormat="1"/>
    <xf numFmtId="0" fontId="0" fillId="0" borderId="0" xfId="0" applyFont="1"/>
    <xf numFmtId="0" fontId="0" fillId="0" borderId="58" xfId="0" applyBorder="1"/>
    <xf numFmtId="0" fontId="13" fillId="0" borderId="0" xfId="0" quotePrefix="1" applyFont="1"/>
    <xf numFmtId="0" fontId="62" fillId="0" borderId="0" xfId="0" applyFont="1" applyFill="1" applyProtection="1"/>
    <xf numFmtId="0" fontId="64" fillId="0" borderId="0" xfId="0" applyFont="1" applyFill="1" applyProtection="1"/>
    <xf numFmtId="0" fontId="62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3" fillId="0" borderId="0" xfId="0" applyFont="1" applyFill="1"/>
    <xf numFmtId="0" fontId="65" fillId="0" borderId="0" xfId="0" applyFont="1"/>
    <xf numFmtId="0" fontId="13" fillId="0" borderId="0" xfId="0" applyFont="1" applyBorder="1"/>
    <xf numFmtId="20" fontId="0" fillId="0" borderId="0" xfId="0" applyNumberFormat="1"/>
    <xf numFmtId="49" fontId="15" fillId="0" borderId="0" xfId="0" applyNumberFormat="1" applyFont="1"/>
    <xf numFmtId="0" fontId="15" fillId="0" borderId="59" xfId="0" applyFont="1" applyBorder="1"/>
    <xf numFmtId="0" fontId="13" fillId="0" borderId="59" xfId="0" applyFont="1" applyBorder="1"/>
    <xf numFmtId="0" fontId="0" fillId="0" borderId="59" xfId="0" applyBorder="1"/>
    <xf numFmtId="0" fontId="15" fillId="0" borderId="0" xfId="43" applyFont="1"/>
    <xf numFmtId="0" fontId="13" fillId="0" borderId="0" xfId="43"/>
    <xf numFmtId="0" fontId="13" fillId="0" borderId="58" xfId="43" applyBorder="1"/>
    <xf numFmtId="0" fontId="15" fillId="0" borderId="59" xfId="43" applyFont="1" applyBorder="1"/>
    <xf numFmtId="0" fontId="13" fillId="0" borderId="0" xfId="43" applyFont="1"/>
    <xf numFmtId="0" fontId="13" fillId="0" borderId="59" xfId="43" applyFont="1" applyBorder="1"/>
    <xf numFmtId="0" fontId="13" fillId="0" borderId="0" xfId="43" applyFont="1" applyBorder="1"/>
    <xf numFmtId="0" fontId="13" fillId="0" borderId="59" xfId="43" applyBorder="1"/>
    <xf numFmtId="0" fontId="13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3" fillId="0" borderId="0" xfId="43" applyProtection="1">
      <protection locked="0"/>
    </xf>
    <xf numFmtId="0" fontId="13" fillId="0" borderId="58" xfId="43" applyBorder="1" applyProtection="1">
      <protection locked="0"/>
    </xf>
    <xf numFmtId="0" fontId="13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3" fillId="0" borderId="0" xfId="0" applyFont="1" applyFill="1" applyProtection="1">
      <protection locked="0"/>
    </xf>
    <xf numFmtId="0" fontId="13" fillId="0" borderId="0" xfId="0" applyFont="1" applyAlignment="1" applyProtection="1">
      <alignment wrapText="1"/>
      <protection locked="0"/>
    </xf>
    <xf numFmtId="0" fontId="15" fillId="0" borderId="0" xfId="0" applyFont="1" applyProtection="1">
      <protection locked="0"/>
    </xf>
    <xf numFmtId="0" fontId="13" fillId="0" borderId="0" xfId="42" applyFont="1" applyProtection="1">
      <protection locked="0"/>
    </xf>
    <xf numFmtId="0" fontId="13" fillId="0" borderId="0" xfId="42" applyFill="1" applyProtection="1">
      <protection locked="0"/>
    </xf>
    <xf numFmtId="0" fontId="15" fillId="0" borderId="0" xfId="42" applyFont="1" applyAlignment="1" applyProtection="1">
      <alignment wrapText="1"/>
      <protection locked="0"/>
    </xf>
    <xf numFmtId="0" fontId="15" fillId="0" borderId="0" xfId="43" applyFont="1" applyProtection="1">
      <protection locked="0"/>
    </xf>
    <xf numFmtId="0" fontId="15" fillId="0" borderId="29" xfId="42" applyFont="1" applyFill="1" applyBorder="1" applyProtection="1">
      <protection locked="0"/>
    </xf>
    <xf numFmtId="49" fontId="13" fillId="0" borderId="0" xfId="42" applyNumberFormat="1" applyAlignment="1" applyProtection="1">
      <alignment wrapText="1"/>
      <protection locked="0"/>
    </xf>
    <xf numFmtId="20" fontId="13" fillId="0" borderId="0" xfId="0" applyNumberFormat="1" applyFont="1"/>
    <xf numFmtId="0" fontId="13" fillId="0" borderId="0" xfId="0" applyFont="1" applyAlignment="1">
      <alignment horizontal="left"/>
    </xf>
    <xf numFmtId="0" fontId="13" fillId="0" borderId="0" xfId="43" applyFont="1" applyBorder="1" applyProtection="1">
      <protection locked="0"/>
    </xf>
    <xf numFmtId="0" fontId="13" fillId="0" borderId="59" xfId="42" applyBorder="1"/>
    <xf numFmtId="0" fontId="13" fillId="0" borderId="58" xfId="42" applyBorder="1"/>
    <xf numFmtId="0" fontId="13" fillId="0" borderId="0" xfId="0" applyFont="1" applyAlignment="1">
      <alignment vertical="center"/>
    </xf>
    <xf numFmtId="0" fontId="13" fillId="0" borderId="0" xfId="0" applyFont="1" applyAlignment="1">
      <alignment horizontal="right" vertical="center"/>
    </xf>
    <xf numFmtId="0" fontId="26" fillId="0" borderId="0" xfId="0" applyFont="1"/>
    <xf numFmtId="0" fontId="13" fillId="0" borderId="0" xfId="96" applyFont="1" applyFill="1"/>
    <xf numFmtId="0" fontId="13" fillId="0" borderId="0" xfId="42"/>
    <xf numFmtId="168" fontId="13" fillId="0" borderId="0" xfId="42" applyNumberFormat="1"/>
    <xf numFmtId="169" fontId="13" fillId="0" borderId="0" xfId="42" applyNumberFormat="1" applyFill="1"/>
    <xf numFmtId="0" fontId="13" fillId="0" borderId="0" xfId="42"/>
    <xf numFmtId="0" fontId="13" fillId="0" borderId="0" xfId="0" applyFont="1" applyBorder="1" applyProtection="1">
      <protection locked="0"/>
    </xf>
    <xf numFmtId="0" fontId="22" fillId="0" borderId="0" xfId="0" applyFont="1" applyFill="1" applyBorder="1" applyAlignment="1">
      <alignment horizontal="left"/>
    </xf>
    <xf numFmtId="0" fontId="22" fillId="0" borderId="0" xfId="0" applyFont="1" applyAlignment="1">
      <alignment horizontal="left"/>
    </xf>
    <xf numFmtId="0" fontId="22" fillId="0" borderId="0" xfId="0" applyFont="1" applyFill="1" applyBorder="1" applyProtection="1">
      <protection locked="0"/>
    </xf>
    <xf numFmtId="0" fontId="22" fillId="0" borderId="0" xfId="0" applyFont="1" applyFill="1" applyBorder="1" applyAlignment="1">
      <alignment horizontal="center"/>
    </xf>
    <xf numFmtId="0" fontId="22" fillId="0" borderId="0" xfId="0" applyFont="1" applyFill="1" applyBorder="1"/>
    <xf numFmtId="0" fontId="69" fillId="0" borderId="0" xfId="0" applyFont="1" applyFill="1" applyBorder="1"/>
    <xf numFmtId="0" fontId="22" fillId="25" borderId="0" xfId="0" applyFont="1" applyFill="1" applyBorder="1" applyAlignment="1">
      <alignment horizontal="center"/>
    </xf>
    <xf numFmtId="0" fontId="22" fillId="25" borderId="0" xfId="0" applyFont="1" applyFill="1" applyBorder="1" applyAlignment="1">
      <alignment horizontal="right"/>
    </xf>
    <xf numFmtId="15" fontId="22" fillId="0" borderId="0" xfId="0" applyNumberFormat="1" applyFont="1" applyFill="1" applyBorder="1" applyAlignment="1">
      <alignment horizontal="left"/>
    </xf>
    <xf numFmtId="0" fontId="22" fillId="25" borderId="0" xfId="0" applyFont="1" applyFill="1" applyBorder="1"/>
    <xf numFmtId="0" fontId="70" fillId="0" borderId="0" xfId="0" applyFont="1" applyFill="1" applyBorder="1"/>
    <xf numFmtId="1" fontId="22" fillId="0" borderId="0" xfId="0" applyNumberFormat="1" applyFont="1" applyFill="1" applyBorder="1" applyAlignment="1">
      <alignment horizontal="left"/>
    </xf>
    <xf numFmtId="165" fontId="22" fillId="0" borderId="0" xfId="0" applyNumberFormat="1" applyFont="1" applyFill="1" applyBorder="1" applyAlignment="1">
      <alignment horizontal="left"/>
    </xf>
    <xf numFmtId="0" fontId="22" fillId="0" borderId="23" xfId="0" applyFont="1" applyFill="1" applyBorder="1"/>
    <xf numFmtId="0" fontId="25" fillId="0" borderId="23" xfId="0" applyFont="1" applyFill="1" applyBorder="1"/>
    <xf numFmtId="0" fontId="22" fillId="0" borderId="0" xfId="0" quotePrefix="1" applyFont="1" applyFill="1" applyBorder="1"/>
    <xf numFmtId="0" fontId="22" fillId="0" borderId="0" xfId="0" applyFont="1" applyFill="1" applyBorder="1" applyAlignment="1"/>
    <xf numFmtId="0" fontId="22" fillId="25" borderId="23" xfId="0" applyFont="1" applyFill="1" applyBorder="1" applyAlignment="1">
      <alignment horizontal="center"/>
    </xf>
    <xf numFmtId="0" fontId="22" fillId="25" borderId="23" xfId="0" applyFont="1" applyFill="1" applyBorder="1"/>
    <xf numFmtId="0" fontId="22" fillId="25" borderId="0" xfId="0" applyFont="1" applyFill="1" applyBorder="1" applyAlignment="1">
      <alignment horizontal="left" vertical="top"/>
    </xf>
    <xf numFmtId="0" fontId="22" fillId="25" borderId="23" xfId="0" applyFont="1" applyFill="1" applyBorder="1" applyAlignment="1">
      <alignment horizontal="left" vertical="top"/>
    </xf>
    <xf numFmtId="0" fontId="71" fillId="0" borderId="23" xfId="0" applyFont="1" applyFill="1" applyBorder="1"/>
    <xf numFmtId="0" fontId="22" fillId="0" borderId="0" xfId="43" applyFont="1"/>
    <xf numFmtId="49" fontId="22" fillId="0" borderId="0" xfId="0" applyNumberFormat="1" applyFont="1" applyBorder="1" applyAlignment="1">
      <alignment horizontal="left" vertical="top"/>
    </xf>
    <xf numFmtId="49" fontId="22" fillId="0" borderId="0" xfId="0" applyNumberFormat="1" applyFont="1" applyBorder="1" applyAlignment="1">
      <alignment horizontal="left" vertical="top" wrapText="1"/>
    </xf>
    <xf numFmtId="49" fontId="25" fillId="0" borderId="0" xfId="0" applyNumberFormat="1" applyFont="1" applyBorder="1" applyAlignment="1">
      <alignment horizontal="left" vertical="top"/>
    </xf>
    <xf numFmtId="0" fontId="22" fillId="0" borderId="23" xfId="0" applyFont="1" applyFill="1" applyBorder="1" applyAlignment="1">
      <alignment horizontal="left"/>
    </xf>
    <xf numFmtId="0" fontId="25" fillId="25" borderId="11" xfId="0" applyFont="1" applyFill="1" applyBorder="1"/>
    <xf numFmtId="0" fontId="22" fillId="0" borderId="11" xfId="0" applyFont="1" applyFill="1" applyBorder="1"/>
    <xf numFmtId="0" fontId="22" fillId="25" borderId="22" xfId="0" applyFont="1" applyFill="1" applyBorder="1"/>
    <xf numFmtId="0" fontId="22" fillId="0" borderId="0" xfId="0" applyFont="1" applyFill="1" applyBorder="1" applyAlignment="1">
      <alignment horizontal="right"/>
    </xf>
    <xf numFmtId="0" fontId="25" fillId="25" borderId="23" xfId="0" applyFont="1" applyFill="1" applyBorder="1" applyAlignment="1">
      <alignment horizontal="right"/>
    </xf>
    <xf numFmtId="0" fontId="22" fillId="0" borderId="23" xfId="0" applyFont="1" applyFill="1" applyBorder="1" applyAlignment="1">
      <alignment horizontal="right"/>
    </xf>
    <xf numFmtId="0" fontId="25" fillId="25" borderId="23" xfId="0" applyFont="1" applyFill="1" applyBorder="1"/>
    <xf numFmtId="0" fontId="25" fillId="25" borderId="23" xfId="0" applyFont="1" applyFill="1" applyBorder="1" applyAlignment="1">
      <alignment horizontal="left"/>
    </xf>
    <xf numFmtId="0" fontId="22" fillId="25" borderId="23" xfId="0" applyFont="1" applyFill="1" applyBorder="1" applyAlignment="1">
      <alignment horizontal="right"/>
    </xf>
    <xf numFmtId="0" fontId="13" fillId="0" borderId="0" xfId="42"/>
    <xf numFmtId="15" fontId="15" fillId="0" borderId="0" xfId="42" applyNumberFormat="1" applyFont="1" applyFill="1" applyAlignment="1">
      <alignment horizontal="left"/>
    </xf>
    <xf numFmtId="0" fontId="13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5" fillId="0" borderId="0" xfId="0" applyFont="1" applyFill="1" applyBorder="1" applyAlignment="1" applyProtection="1">
      <alignment horizontal="left"/>
    </xf>
    <xf numFmtId="0" fontId="23" fillId="0" borderId="0" xfId="0" applyFont="1" applyFill="1" applyBorder="1" applyAlignment="1" applyProtection="1">
      <alignment horizontal="left" vertical="center" wrapText="1"/>
    </xf>
    <xf numFmtId="0" fontId="15" fillId="0" borderId="60" xfId="0" applyFont="1" applyFill="1" applyBorder="1" applyProtection="1"/>
    <xf numFmtId="0" fontId="13" fillId="0" borderId="34" xfId="42" applyFont="1" applyFill="1" applyBorder="1" applyProtection="1"/>
    <xf numFmtId="0" fontId="13" fillId="25" borderId="0" xfId="42" applyFont="1" applyFill="1" applyBorder="1"/>
    <xf numFmtId="0" fontId="15" fillId="0" borderId="33" xfId="42" applyFont="1" applyFill="1" applyBorder="1" applyProtection="1"/>
    <xf numFmtId="0" fontId="13" fillId="0" borderId="33" xfId="42" applyFont="1" applyFill="1" applyBorder="1" applyProtection="1"/>
    <xf numFmtId="0" fontId="19" fillId="24" borderId="34" xfId="42" applyFont="1" applyFill="1" applyBorder="1" applyProtection="1"/>
    <xf numFmtId="0" fontId="15" fillId="0" borderId="34" xfId="42" applyFont="1" applyFill="1" applyBorder="1" applyProtection="1"/>
    <xf numFmtId="0" fontId="13" fillId="0" borderId="34" xfId="42" applyFont="1" applyFill="1" applyBorder="1" applyProtection="1"/>
    <xf numFmtId="0" fontId="49" fillId="0" borderId="34" xfId="42" applyFont="1" applyFill="1" applyBorder="1" applyProtection="1"/>
    <xf numFmtId="0" fontId="13" fillId="25" borderId="0" xfId="42" applyFont="1" applyFill="1" applyBorder="1" applyAlignment="1">
      <alignment vertical="top" wrapText="1"/>
    </xf>
    <xf numFmtId="0" fontId="49" fillId="0" borderId="33" xfId="42" applyFont="1" applyBorder="1" applyAlignment="1"/>
    <xf numFmtId="0" fontId="13" fillId="0" borderId="0" xfId="42"/>
    <xf numFmtId="0" fontId="13" fillId="0" borderId="0" xfId="42" applyFont="1" applyFill="1"/>
    <xf numFmtId="0" fontId="13" fillId="0" borderId="0" xfId="42" applyFont="1" applyFill="1" applyBorder="1"/>
    <xf numFmtId="0" fontId="13" fillId="0" borderId="0" xfId="42" applyFont="1" applyFill="1" applyBorder="1" applyProtection="1"/>
    <xf numFmtId="0" fontId="15" fillId="0" borderId="0" xfId="42" applyFont="1" applyFill="1" applyBorder="1" applyProtection="1"/>
    <xf numFmtId="0" fontId="13" fillId="0" borderId="61" xfId="42" applyFont="1" applyFill="1" applyBorder="1" applyProtection="1"/>
    <xf numFmtId="0" fontId="19" fillId="24" borderId="0" xfId="42" applyFont="1" applyFill="1" applyBorder="1" applyProtection="1"/>
    <xf numFmtId="0" fontId="13" fillId="25" borderId="0" xfId="42" applyFont="1" applyFill="1" applyBorder="1"/>
    <xf numFmtId="0" fontId="19" fillId="24" borderId="33" xfId="42" applyFont="1" applyFill="1" applyBorder="1" applyProtection="1"/>
    <xf numFmtId="0" fontId="13" fillId="0" borderId="33" xfId="42" applyFont="1" applyFill="1" applyBorder="1" applyProtection="1"/>
    <xf numFmtId="0" fontId="19" fillId="24" borderId="34" xfId="42" applyFont="1" applyFill="1" applyBorder="1" applyProtection="1"/>
    <xf numFmtId="0" fontId="15" fillId="0" borderId="34" xfId="42" applyFont="1" applyFill="1" applyBorder="1" applyProtection="1"/>
    <xf numFmtId="0" fontId="13" fillId="0" borderId="34" xfId="42" applyFont="1" applyFill="1" applyBorder="1" applyProtection="1"/>
    <xf numFmtId="0" fontId="16" fillId="0" borderId="0" xfId="42" applyFont="1" applyFill="1" applyProtection="1"/>
    <xf numFmtId="0" fontId="49" fillId="0" borderId="33" xfId="42" applyFont="1" applyFill="1" applyBorder="1" applyProtection="1"/>
    <xf numFmtId="0" fontId="49" fillId="0" borderId="0" xfId="42" applyFont="1" applyFill="1" applyBorder="1" applyProtection="1"/>
    <xf numFmtId="0" fontId="49" fillId="0" borderId="34" xfId="42" applyFont="1" applyFill="1" applyBorder="1" applyProtection="1"/>
    <xf numFmtId="0" fontId="49" fillId="0" borderId="0" xfId="42" applyFont="1" applyFill="1" applyProtection="1"/>
    <xf numFmtId="0" fontId="62" fillId="0" borderId="0" xfId="42" applyFont="1" applyFill="1" applyProtection="1"/>
    <xf numFmtId="0" fontId="65" fillId="0" borderId="0" xfId="42" applyFont="1"/>
    <xf numFmtId="0" fontId="15" fillId="0" borderId="60" xfId="42" applyFont="1" applyFill="1" applyBorder="1" applyProtection="1"/>
    <xf numFmtId="0" fontId="13" fillId="26" borderId="0" xfId="42" applyFill="1" applyProtection="1">
      <protection locked="0"/>
    </xf>
    <xf numFmtId="0" fontId="13" fillId="26" borderId="0" xfId="42" applyFill="1"/>
    <xf numFmtId="0" fontId="13" fillId="27" borderId="0" xfId="42" applyFill="1" applyProtection="1">
      <protection locked="0"/>
    </xf>
    <xf numFmtId="0" fontId="13" fillId="0" borderId="0" xfId="42" applyAlignment="1">
      <alignment horizontal="left"/>
    </xf>
    <xf numFmtId="0" fontId="13" fillId="0" borderId="0" xfId="0" applyFont="1" applyAlignment="1"/>
    <xf numFmtId="0" fontId="0" fillId="26" borderId="0" xfId="0" applyFill="1"/>
    <xf numFmtId="0" fontId="13" fillId="26" borderId="0" xfId="0" applyFont="1" applyFill="1"/>
    <xf numFmtId="49" fontId="13" fillId="0" borderId="0" xfId="0" applyNumberFormat="1" applyFont="1"/>
    <xf numFmtId="0" fontId="13" fillId="0" borderId="0" xfId="0" applyNumberFormat="1" applyFont="1"/>
    <xf numFmtId="0" fontId="79" fillId="28" borderId="0" xfId="0" applyFont="1" applyFill="1"/>
    <xf numFmtId="0" fontId="81" fillId="29" borderId="0" xfId="0" applyFont="1" applyFill="1"/>
    <xf numFmtId="0" fontId="80" fillId="30" borderId="0" xfId="0" applyFont="1" applyFill="1"/>
    <xf numFmtId="0" fontId="13" fillId="28" borderId="0" xfId="0" applyFont="1" applyFill="1" applyBorder="1" applyProtection="1"/>
    <xf numFmtId="0" fontId="15" fillId="28" borderId="0" xfId="0" applyFont="1" applyFill="1" applyBorder="1" applyProtection="1"/>
    <xf numFmtId="0" fontId="67" fillId="28" borderId="0" xfId="0" applyFont="1" applyFill="1" applyBorder="1" applyProtection="1"/>
    <xf numFmtId="0" fontId="23" fillId="28" borderId="0" xfId="0" applyFont="1" applyFill="1" applyBorder="1" applyProtection="1">
      <protection locked="0"/>
    </xf>
    <xf numFmtId="0" fontId="23" fillId="28" borderId="0" xfId="0" applyFont="1" applyFill="1" applyBorder="1" applyProtection="1"/>
    <xf numFmtId="0" fontId="15" fillId="28" borderId="0" xfId="0" applyFont="1" applyFill="1" applyBorder="1" applyAlignment="1">
      <alignment horizontal="left"/>
    </xf>
    <xf numFmtId="0" fontId="23" fillId="28" borderId="0" xfId="0" applyFont="1" applyFill="1" applyBorder="1" applyAlignment="1"/>
    <xf numFmtId="1" fontId="15" fillId="28" borderId="0" xfId="0" applyNumberFormat="1" applyFont="1" applyFill="1" applyBorder="1" applyAlignment="1">
      <alignment horizontal="left"/>
    </xf>
    <xf numFmtId="0" fontId="18" fillId="28" borderId="0" xfId="0" applyFont="1" applyFill="1" applyBorder="1" applyProtection="1"/>
    <xf numFmtId="0" fontId="52" fillId="28" borderId="0" xfId="0" applyFont="1" applyFill="1" applyBorder="1" applyProtection="1"/>
    <xf numFmtId="0" fontId="72" fillId="28" borderId="0" xfId="0" applyFont="1" applyFill="1" applyBorder="1" applyProtection="1"/>
    <xf numFmtId="0" fontId="15" fillId="28" borderId="0" xfId="0" applyFont="1" applyFill="1" applyBorder="1" applyAlignment="1" applyProtection="1">
      <alignment horizontal="center"/>
    </xf>
    <xf numFmtId="0" fontId="29" fillId="28" borderId="0" xfId="0" applyFont="1" applyFill="1" applyBorder="1" applyProtection="1"/>
    <xf numFmtId="0" fontId="17" fillId="28" borderId="0" xfId="0" applyFont="1" applyFill="1" applyBorder="1" applyProtection="1"/>
    <xf numFmtId="0" fontId="23" fillId="28" borderId="0" xfId="0" applyFont="1" applyFill="1" applyBorder="1" applyAlignment="1">
      <alignment horizontal="center"/>
    </xf>
    <xf numFmtId="0" fontId="81" fillId="29" borderId="0" xfId="0" applyFont="1" applyFill="1" applyBorder="1"/>
    <xf numFmtId="0" fontId="80" fillId="30" borderId="0" xfId="0" applyFont="1" applyFill="1" applyBorder="1"/>
    <xf numFmtId="0" fontId="50" fillId="31" borderId="0" xfId="0" applyFont="1" applyFill="1"/>
    <xf numFmtId="0" fontId="52" fillId="28" borderId="0" xfId="0" applyFont="1" applyFill="1" applyBorder="1" applyAlignment="1">
      <alignment horizontal="left"/>
    </xf>
    <xf numFmtId="0" fontId="52" fillId="28" borderId="0" xfId="0" applyFont="1" applyFill="1" applyBorder="1" applyAlignment="1"/>
    <xf numFmtId="0" fontId="52" fillId="28" borderId="0" xfId="0" applyFont="1" applyFill="1" applyBorder="1"/>
    <xf numFmtId="0" fontId="67" fillId="28" borderId="0" xfId="0" applyFont="1" applyFill="1" applyBorder="1"/>
    <xf numFmtId="0" fontId="74" fillId="28" borderId="0" xfId="0" applyFont="1" applyFill="1" applyBorder="1" applyProtection="1"/>
    <xf numFmtId="0" fontId="72" fillId="28" borderId="0" xfId="0" applyFont="1" applyFill="1" applyBorder="1" applyAlignment="1" applyProtection="1">
      <alignment horizontal="left"/>
    </xf>
    <xf numFmtId="0" fontId="14" fillId="28" borderId="0" xfId="0" applyFont="1" applyFill="1" applyBorder="1"/>
    <xf numFmtId="1" fontId="52" fillId="28" borderId="0" xfId="0" applyNumberFormat="1" applyFont="1" applyFill="1" applyBorder="1" applyAlignment="1">
      <alignment horizontal="left"/>
    </xf>
    <xf numFmtId="0" fontId="62" fillId="28" borderId="0" xfId="0" applyFont="1" applyFill="1" applyBorder="1"/>
    <xf numFmtId="0" fontId="23" fillId="28" borderId="0" xfId="0" applyFont="1" applyFill="1" applyBorder="1"/>
    <xf numFmtId="0" fontId="23" fillId="28" borderId="0" xfId="0" applyNumberFormat="1" applyFont="1" applyFill="1" applyBorder="1" applyAlignment="1"/>
    <xf numFmtId="49" fontId="23" fillId="28" borderId="0" xfId="0" applyNumberFormat="1" applyFont="1" applyFill="1" applyBorder="1" applyAlignment="1">
      <alignment horizontal="left" vertical="top" wrapText="1"/>
    </xf>
    <xf numFmtId="0" fontId="23" fillId="28" borderId="0" xfId="0" applyFont="1" applyFill="1" applyBorder="1" applyAlignment="1">
      <alignment shrinkToFit="1"/>
    </xf>
    <xf numFmtId="0" fontId="67" fillId="28" borderId="0" xfId="0" applyFont="1" applyFill="1" applyBorder="1" applyAlignment="1">
      <alignment shrinkToFit="1"/>
    </xf>
    <xf numFmtId="0" fontId="52" fillId="28" borderId="0" xfId="0" applyFont="1" applyFill="1" applyBorder="1" applyAlignment="1">
      <alignment horizontal="right"/>
    </xf>
    <xf numFmtId="0" fontId="72" fillId="28" borderId="0" xfId="0" applyFont="1" applyFill="1" applyBorder="1"/>
    <xf numFmtId="0" fontId="72" fillId="28" borderId="0" xfId="0" applyFont="1" applyFill="1" applyBorder="1" applyAlignment="1">
      <alignment horizontal="left"/>
    </xf>
    <xf numFmtId="0" fontId="74" fillId="28" borderId="0" xfId="0" applyFont="1" applyFill="1" applyBorder="1"/>
    <xf numFmtId="0" fontId="15" fillId="28" borderId="0" xfId="0" applyFont="1" applyFill="1" applyBorder="1"/>
    <xf numFmtId="0" fontId="19" fillId="28" borderId="0" xfId="0" applyFont="1" applyFill="1" applyBorder="1"/>
    <xf numFmtId="0" fontId="72" fillId="28" borderId="0" xfId="0" applyFont="1" applyFill="1" applyBorder="1" applyProtection="1">
      <protection locked="0" hidden="1"/>
    </xf>
    <xf numFmtId="0" fontId="72" fillId="28" borderId="0" xfId="0" applyFont="1" applyFill="1" applyBorder="1" applyAlignment="1">
      <alignment horizontal="right"/>
    </xf>
    <xf numFmtId="0" fontId="23" fillId="28" borderId="0" xfId="0" applyFont="1" applyFill="1" applyBorder="1" applyProtection="1">
      <protection locked="0" hidden="1"/>
    </xf>
    <xf numFmtId="0" fontId="75" fillId="28" borderId="0" xfId="0" applyFont="1" applyFill="1" applyBorder="1" applyAlignment="1">
      <alignment horizontal="right"/>
    </xf>
    <xf numFmtId="0" fontId="72" fillId="28" borderId="0" xfId="0" applyFont="1" applyFill="1" applyBorder="1" applyAlignment="1" applyProtection="1">
      <alignment horizontal="right"/>
      <protection locked="0" hidden="1"/>
    </xf>
    <xf numFmtId="0" fontId="76" fillId="28" borderId="0" xfId="0" applyFont="1" applyFill="1" applyBorder="1"/>
    <xf numFmtId="0" fontId="67" fillId="28" borderId="0" xfId="0" applyFont="1" applyFill="1" applyBorder="1" applyProtection="1">
      <protection locked="0" hidden="1"/>
    </xf>
    <xf numFmtId="0" fontId="72" fillId="28" borderId="0" xfId="0" applyFont="1" applyFill="1" applyBorder="1" applyAlignment="1">
      <alignment horizontal="center"/>
    </xf>
    <xf numFmtId="0" fontId="13" fillId="28" borderId="0" xfId="42" applyFont="1" applyFill="1" applyBorder="1" applyProtection="1">
      <protection locked="0"/>
    </xf>
    <xf numFmtId="0" fontId="63" fillId="28" borderId="0" xfId="42" applyFont="1" applyFill="1" applyBorder="1"/>
    <xf numFmtId="0" fontId="19" fillId="28" borderId="0" xfId="0" applyFont="1" applyFill="1" applyBorder="1" applyAlignment="1" applyProtection="1">
      <alignment horizontal="center"/>
    </xf>
    <xf numFmtId="0" fontId="19" fillId="28" borderId="0" xfId="0" applyFont="1" applyFill="1" applyBorder="1" applyProtection="1"/>
    <xf numFmtId="0" fontId="49" fillId="28" borderId="0" xfId="0" applyFont="1" applyFill="1" applyBorder="1" applyProtection="1"/>
    <xf numFmtId="0" fontId="23" fillId="28" borderId="0" xfId="0" applyFont="1" applyFill="1" applyBorder="1" applyAlignment="1" applyProtection="1">
      <alignment horizontal="left" vertical="center" wrapText="1"/>
    </xf>
    <xf numFmtId="0" fontId="23" fillId="28" borderId="0" xfId="0" applyFont="1" applyFill="1" applyBorder="1" applyAlignment="1" applyProtection="1">
      <alignment horizontal="center" vertical="center"/>
    </xf>
    <xf numFmtId="0" fontId="22" fillId="28" borderId="0" xfId="0" applyFont="1" applyFill="1" applyBorder="1" applyProtection="1"/>
    <xf numFmtId="0" fontId="13" fillId="28" borderId="0" xfId="43" applyFont="1" applyFill="1" applyBorder="1"/>
    <xf numFmtId="0" fontId="13" fillId="28" borderId="0" xfId="43" applyFill="1" applyBorder="1" applyAlignment="1">
      <alignment vertical="top"/>
    </xf>
    <xf numFmtId="0" fontId="13" fillId="28" borderId="0" xfId="43" applyFill="1" applyBorder="1"/>
    <xf numFmtId="0" fontId="50" fillId="31" borderId="62" xfId="0" applyFont="1" applyFill="1" applyBorder="1"/>
    <xf numFmtId="0" fontId="50" fillId="31" borderId="63" xfId="0" applyFont="1" applyFill="1" applyBorder="1"/>
    <xf numFmtId="0" fontId="81" fillId="29" borderId="0" xfId="42" applyFont="1" applyFill="1" applyBorder="1"/>
    <xf numFmtId="20" fontId="13" fillId="0" borderId="0" xfId="0" quotePrefix="1" applyNumberFormat="1" applyFont="1"/>
    <xf numFmtId="0" fontId="0" fillId="0" borderId="0" xfId="0" applyAlignment="1"/>
    <xf numFmtId="0" fontId="68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5" fillId="0" borderId="0" xfId="0" applyFont="1" applyFill="1"/>
    <xf numFmtId="0" fontId="13" fillId="0" borderId="0" xfId="0" applyFont="1" applyFill="1" applyProtection="1">
      <protection locked="0"/>
    </xf>
    <xf numFmtId="0" fontId="66" fillId="0" borderId="0" xfId="44" applyFont="1" applyFill="1"/>
    <xf numFmtId="0" fontId="13" fillId="0" borderId="0" xfId="44" applyFont="1" applyFill="1"/>
    <xf numFmtId="0" fontId="0" fillId="0" borderId="0" xfId="0" applyBorder="1"/>
    <xf numFmtId="0" fontId="13" fillId="0" borderId="0" xfId="0" applyFont="1" applyFill="1" applyAlignment="1">
      <alignment horizontal="left"/>
    </xf>
    <xf numFmtId="0" fontId="13" fillId="0" borderId="0" xfId="42" applyAlignment="1">
      <alignment wrapText="1"/>
    </xf>
    <xf numFmtId="0" fontId="15" fillId="0" borderId="0" xfId="42" applyFont="1" applyAlignment="1">
      <alignment wrapText="1"/>
    </xf>
    <xf numFmtId="0" fontId="13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2" fontId="13" fillId="0" borderId="0" xfId="0" applyNumberFormat="1" applyFont="1"/>
    <xf numFmtId="0" fontId="13" fillId="0" borderId="0" xfId="96" applyFont="1" applyFill="1" applyBorder="1"/>
    <xf numFmtId="0" fontId="13" fillId="0" borderId="0" xfId="96" applyFont="1" applyFill="1" applyBorder="1" applyAlignment="1">
      <alignment horizontal="right"/>
    </xf>
    <xf numFmtId="0" fontId="50" fillId="0" borderId="0" xfId="0" applyFont="1" applyFill="1" applyBorder="1"/>
    <xf numFmtId="168" fontId="13" fillId="0" borderId="0" xfId="42" applyNumberFormat="1" applyFont="1" applyFill="1" applyBorder="1"/>
    <xf numFmtId="0" fontId="66" fillId="0" borderId="0" xfId="96" applyFont="1" applyFill="1" applyBorder="1"/>
    <xf numFmtId="0" fontId="13" fillId="0" borderId="0" xfId="42" applyFont="1" applyFill="1" applyBorder="1" applyAlignment="1">
      <alignment wrapText="1"/>
    </xf>
    <xf numFmtId="0" fontId="13" fillId="0" borderId="0" xfId="42" applyAlignment="1" applyProtection="1">
      <alignment wrapText="1"/>
      <protection locked="0"/>
    </xf>
    <xf numFmtId="169" fontId="13" fillId="0" borderId="0" xfId="42" applyNumberFormat="1"/>
    <xf numFmtId="0" fontId="15" fillId="0" borderId="0" xfId="42" applyFont="1" applyAlignment="1">
      <alignment horizontal="right" wrapText="1"/>
    </xf>
    <xf numFmtId="2" fontId="13" fillId="0" borderId="0" xfId="42" applyNumberFormat="1" applyAlignment="1">
      <alignment horizontal="right" wrapText="1"/>
    </xf>
    <xf numFmtId="2" fontId="13" fillId="0" borderId="0" xfId="42" applyNumberFormat="1" applyAlignment="1">
      <alignment horizontal="right"/>
    </xf>
    <xf numFmtId="2" fontId="15" fillId="0" borderId="0" xfId="42" applyNumberFormat="1" applyFont="1" applyAlignment="1">
      <alignment horizontal="right" wrapText="1"/>
    </xf>
    <xf numFmtId="0" fontId="15" fillId="26" borderId="0" xfId="0" applyFont="1" applyFill="1"/>
    <xf numFmtId="0" fontId="13" fillId="26" borderId="0" xfId="0" applyFont="1" applyFill="1" applyAlignment="1">
      <alignment horizontal="left"/>
    </xf>
    <xf numFmtId="0" fontId="15" fillId="26" borderId="0" xfId="131" applyFont="1" applyFill="1" applyBorder="1"/>
    <xf numFmtId="0" fontId="13" fillId="26" borderId="0" xfId="131" applyFont="1" applyFill="1" applyBorder="1"/>
    <xf numFmtId="0" fontId="13" fillId="26" borderId="0" xfId="42" applyFont="1" applyFill="1" applyBorder="1"/>
    <xf numFmtId="0" fontId="15" fillId="26" borderId="0" xfId="42" applyFont="1" applyFill="1" applyBorder="1"/>
    <xf numFmtId="167" fontId="13" fillId="0" borderId="0" xfId="42" applyNumberFormat="1" applyFont="1" applyFill="1" applyBorder="1"/>
    <xf numFmtId="0" fontId="13" fillId="0" borderId="0" xfId="132" applyFont="1" applyFill="1" applyBorder="1"/>
    <xf numFmtId="167" fontId="13" fillId="0" borderId="0" xfId="132" applyNumberFormat="1" applyFont="1" applyFill="1" applyBorder="1"/>
    <xf numFmtId="2" fontId="13" fillId="0" borderId="0" xfId="42" applyNumberFormat="1" applyFont="1" applyFill="1" applyBorder="1"/>
    <xf numFmtId="1" fontId="13" fillId="0" borderId="0" xfId="42" applyNumberFormat="1" applyFont="1" applyFill="1" applyBorder="1"/>
    <xf numFmtId="0" fontId="13" fillId="0" borderId="0" xfId="131" applyFont="1" applyFill="1" applyBorder="1"/>
    <xf numFmtId="0" fontId="13" fillId="26" borderId="0" xfId="132" applyFont="1" applyFill="1" applyBorder="1"/>
    <xf numFmtId="0" fontId="13" fillId="0" borderId="0" xfId="42" applyFont="1" applyFill="1" applyBorder="1" applyAlignment="1">
      <alignment horizontal="right"/>
    </xf>
    <xf numFmtId="167" fontId="13" fillId="0" borderId="0" xfId="132" applyNumberFormat="1" applyFont="1" applyFill="1" applyBorder="1" applyAlignment="1">
      <alignment horizontal="right"/>
    </xf>
    <xf numFmtId="0" fontId="13" fillId="0" borderId="0" xfId="132" applyFont="1" applyFill="1" applyBorder="1" applyAlignment="1">
      <alignment horizontal="right"/>
    </xf>
    <xf numFmtId="0" fontId="13" fillId="26" borderId="0" xfId="132" applyFont="1" applyFill="1" applyBorder="1" applyAlignment="1">
      <alignment horizontal="right"/>
    </xf>
    <xf numFmtId="0" fontId="13" fillId="28" borderId="0" xfId="42" applyFont="1" applyFill="1" applyBorder="1" applyAlignment="1">
      <alignment horizontal="left" vertical="center"/>
    </xf>
    <xf numFmtId="0" fontId="13" fillId="28" borderId="0" xfId="42" applyFont="1" applyFill="1" applyBorder="1" applyAlignment="1" applyProtection="1">
      <alignment vertical="center"/>
      <protection locked="0"/>
    </xf>
    <xf numFmtId="0" fontId="13" fillId="28" borderId="0" xfId="42" applyFont="1" applyFill="1" applyBorder="1" applyAlignment="1">
      <alignment vertical="center"/>
    </xf>
    <xf numFmtId="0" fontId="85" fillId="28" borderId="0" xfId="42" applyFont="1" applyFill="1" applyBorder="1" applyAlignment="1">
      <alignment vertical="center"/>
    </xf>
    <xf numFmtId="0" fontId="31" fillId="28" borderId="0" xfId="0" applyFont="1" applyFill="1" applyBorder="1" applyAlignment="1">
      <alignment vertical="center"/>
    </xf>
    <xf numFmtId="0" fontId="13" fillId="28" borderId="0" xfId="42" applyFont="1" applyFill="1" applyBorder="1" applyAlignment="1">
      <alignment horizontal="center" vertical="center"/>
    </xf>
    <xf numFmtId="0" fontId="22" fillId="28" borderId="0" xfId="42" applyFont="1" applyFill="1" applyBorder="1" applyAlignment="1">
      <alignment vertical="center"/>
    </xf>
    <xf numFmtId="0" fontId="13" fillId="28" borderId="0" xfId="42" applyFont="1" applyFill="1" applyBorder="1" applyAlignment="1">
      <alignment horizontal="right" vertical="center"/>
    </xf>
    <xf numFmtId="0" fontId="50" fillId="28" borderId="0" xfId="42" applyFont="1" applyFill="1" applyBorder="1" applyAlignment="1">
      <alignment vertical="center"/>
    </xf>
    <xf numFmtId="49" fontId="13" fillId="28" borderId="0" xfId="42" applyNumberFormat="1" applyFont="1" applyFill="1" applyBorder="1" applyAlignment="1">
      <alignment vertical="center"/>
    </xf>
    <xf numFmtId="0" fontId="80" fillId="28" borderId="0" xfId="42" applyFont="1" applyFill="1" applyBorder="1" applyAlignment="1">
      <alignment vertical="center"/>
    </xf>
    <xf numFmtId="0" fontId="73" fillId="28" borderId="0" xfId="42" applyFont="1" applyFill="1" applyBorder="1" applyAlignment="1">
      <alignment vertical="center"/>
    </xf>
    <xf numFmtId="0" fontId="15" fillId="28" borderId="0" xfId="0" applyFont="1" applyFill="1" applyBorder="1" applyAlignment="1">
      <alignment horizontal="center"/>
    </xf>
    <xf numFmtId="0" fontId="50" fillId="31" borderId="64" xfId="0" applyFont="1" applyFill="1" applyBorder="1" applyAlignment="1">
      <alignment horizontal="center"/>
    </xf>
    <xf numFmtId="0" fontId="50" fillId="31" borderId="64" xfId="0" applyFont="1" applyFill="1" applyBorder="1"/>
    <xf numFmtId="0" fontId="50" fillId="31" borderId="64" xfId="0" applyFont="1" applyFill="1" applyBorder="1" applyProtection="1"/>
    <xf numFmtId="0" fontId="50" fillId="31" borderId="64" xfId="0" applyFont="1" applyFill="1" applyBorder="1" applyAlignment="1">
      <alignment horizontal="left"/>
    </xf>
    <xf numFmtId="0" fontId="16" fillId="28" borderId="0" xfId="0" applyFont="1" applyFill="1" applyBorder="1"/>
    <xf numFmtId="0" fontId="14" fillId="28" borderId="0" xfId="0" applyFont="1" applyFill="1" applyBorder="1" applyAlignment="1">
      <alignment wrapText="1"/>
    </xf>
    <xf numFmtId="0" fontId="50" fillId="31" borderId="64" xfId="0" applyNumberFormat="1" applyFont="1" applyFill="1" applyBorder="1"/>
    <xf numFmtId="0" fontId="50" fillId="31" borderId="71" xfId="0" applyFont="1" applyFill="1" applyBorder="1" applyAlignment="1">
      <alignment horizontal="left"/>
    </xf>
    <xf numFmtId="0" fontId="50" fillId="31" borderId="71" xfId="0" applyNumberFormat="1" applyFont="1" applyFill="1" applyBorder="1"/>
    <xf numFmtId="0" fontId="50" fillId="31" borderId="71" xfId="0" applyFont="1" applyFill="1" applyBorder="1" applyAlignment="1">
      <alignment horizontal="center"/>
    </xf>
    <xf numFmtId="0" fontId="50" fillId="31" borderId="71" xfId="0" applyFont="1" applyFill="1" applyBorder="1"/>
    <xf numFmtId="0" fontId="79" fillId="28" borderId="0" xfId="0" applyFont="1" applyFill="1" applyBorder="1" applyProtection="1"/>
    <xf numFmtId="0" fontId="14" fillId="28" borderId="0" xfId="0" applyFont="1" applyFill="1" applyBorder="1" applyProtection="1"/>
    <xf numFmtId="0" fontId="50" fillId="31" borderId="71" xfId="0" applyFont="1" applyFill="1" applyBorder="1" applyAlignment="1" applyProtection="1">
      <alignment horizontal="center"/>
    </xf>
    <xf numFmtId="0" fontId="50" fillId="31" borderId="64" xfId="0" applyFont="1" applyFill="1" applyBorder="1" applyAlignment="1" applyProtection="1">
      <alignment horizontal="center"/>
    </xf>
    <xf numFmtId="0" fontId="50" fillId="31" borderId="71" xfId="0" applyFont="1" applyFill="1" applyBorder="1" applyAlignment="1" applyProtection="1">
      <alignment horizontal="left"/>
    </xf>
    <xf numFmtId="0" fontId="50" fillId="31" borderId="64" xfId="0" applyFont="1" applyFill="1" applyBorder="1" applyAlignment="1" applyProtection="1">
      <alignment horizontal="left"/>
    </xf>
    <xf numFmtId="0" fontId="50" fillId="31" borderId="71" xfId="0" applyFont="1" applyFill="1" applyBorder="1" applyProtection="1"/>
    <xf numFmtId="0" fontId="50" fillId="31" borderId="71" xfId="0" applyFont="1" applyFill="1" applyBorder="1" applyAlignment="1" applyProtection="1">
      <alignment horizontal="center"/>
      <protection locked="0"/>
    </xf>
    <xf numFmtId="0" fontId="50" fillId="31" borderId="64" xfId="0" applyFont="1" applyFill="1" applyBorder="1" applyAlignment="1" applyProtection="1">
      <alignment horizontal="center"/>
      <protection locked="0"/>
    </xf>
    <xf numFmtId="0" fontId="50" fillId="28" borderId="0" xfId="42" applyFont="1" applyFill="1" applyBorder="1" applyAlignment="1">
      <alignment horizontal="left" vertical="center"/>
    </xf>
    <xf numFmtId="0" fontId="13" fillId="33" borderId="0" xfId="0" applyFont="1" applyFill="1"/>
    <xf numFmtId="0" fontId="13" fillId="34" borderId="0" xfId="0" applyFont="1" applyFill="1"/>
    <xf numFmtId="0" fontId="52" fillId="32" borderId="0" xfId="0" applyFont="1" applyFill="1"/>
    <xf numFmtId="0" fontId="50" fillId="31" borderId="0" xfId="0" applyFont="1" applyFill="1" applyBorder="1" applyProtection="1"/>
    <xf numFmtId="0" fontId="50" fillId="31" borderId="0" xfId="0" applyFont="1" applyFill="1" applyBorder="1"/>
    <xf numFmtId="0" fontId="50" fillId="31" borderId="71" xfId="43" applyFont="1" applyFill="1" applyBorder="1" applyAlignment="1">
      <alignment horizontal="left"/>
    </xf>
    <xf numFmtId="0" fontId="50" fillId="31" borderId="64" xfId="43" applyFont="1" applyFill="1" applyBorder="1" applyAlignment="1">
      <alignment horizontal="left"/>
    </xf>
    <xf numFmtId="0" fontId="50" fillId="31" borderId="0" xfId="43" applyFont="1" applyFill="1" applyBorder="1" applyAlignment="1">
      <alignment horizontal="left"/>
    </xf>
    <xf numFmtId="0" fontId="16" fillId="28" borderId="0" xfId="0" applyFont="1" applyFill="1" applyBorder="1" applyProtection="1"/>
    <xf numFmtId="0" fontId="62" fillId="28" borderId="0" xfId="0" applyFont="1" applyFill="1" applyBorder="1" applyProtection="1"/>
    <xf numFmtId="0" fontId="21" fillId="28" borderId="0" xfId="0" applyFont="1" applyFill="1" applyBorder="1" applyProtection="1"/>
    <xf numFmtId="0" fontId="83" fillId="31" borderId="0" xfId="0" applyFont="1" applyFill="1" applyBorder="1" applyProtection="1"/>
    <xf numFmtId="0" fontId="16" fillId="28" borderId="0" xfId="0" applyFont="1" applyFill="1" applyBorder="1" applyAlignment="1" applyProtection="1">
      <alignment horizontal="center" vertical="center"/>
    </xf>
    <xf numFmtId="0" fontId="13" fillId="28" borderId="0" xfId="43" applyFill="1" applyBorder="1" applyProtection="1">
      <protection locked="0"/>
    </xf>
    <xf numFmtId="0" fontId="0" fillId="28" borderId="0" xfId="0" applyFill="1" applyBorder="1"/>
    <xf numFmtId="0" fontId="50" fillId="31" borderId="0" xfId="43" applyFont="1" applyFill="1" applyBorder="1"/>
    <xf numFmtId="0" fontId="13" fillId="28" borderId="0" xfId="43" applyFill="1" applyBorder="1" applyAlignment="1">
      <alignment vertical="center"/>
    </xf>
    <xf numFmtId="0" fontId="13" fillId="28" borderId="0" xfId="43" applyFont="1" applyFill="1" applyBorder="1" applyAlignment="1">
      <alignment vertical="top" wrapText="1"/>
    </xf>
    <xf numFmtId="0" fontId="13" fillId="28" borderId="0" xfId="43" applyFont="1" applyFill="1" applyBorder="1" applyAlignment="1">
      <alignment horizontal="left" vertical="top"/>
    </xf>
    <xf numFmtId="0" fontId="13" fillId="28" borderId="0" xfId="0" applyFont="1" applyFill="1" applyBorder="1"/>
    <xf numFmtId="0" fontId="62" fillId="28" borderId="0" xfId="43" applyFont="1" applyFill="1" applyBorder="1"/>
    <xf numFmtId="0" fontId="50" fillId="28" borderId="0" xfId="0" applyFont="1" applyFill="1" applyBorder="1"/>
    <xf numFmtId="0" fontId="83" fillId="31" borderId="64" xfId="0" applyFont="1" applyFill="1" applyBorder="1" applyProtection="1"/>
    <xf numFmtId="0" fontId="83" fillId="31" borderId="71" xfId="0" applyFont="1" applyFill="1" applyBorder="1" applyProtection="1"/>
    <xf numFmtId="0" fontId="83" fillId="31" borderId="64" xfId="0" applyFont="1" applyFill="1" applyBorder="1" applyAlignment="1"/>
    <xf numFmtId="0" fontId="83" fillId="31" borderId="71" xfId="0" applyFont="1" applyFill="1" applyBorder="1" applyAlignment="1"/>
    <xf numFmtId="0" fontId="50" fillId="31" borderId="64" xfId="43" applyFont="1" applyFill="1" applyBorder="1"/>
    <xf numFmtId="0" fontId="13" fillId="0" borderId="0" xfId="0" applyNumberFormat="1" applyFont="1" applyAlignment="1">
      <alignment horizontal="right"/>
    </xf>
    <xf numFmtId="0" fontId="74" fillId="28" borderId="0" xfId="0" applyFont="1" applyFill="1" applyBorder="1" applyAlignment="1" applyProtection="1">
      <alignment horizontal="center"/>
    </xf>
    <xf numFmtId="0" fontId="78" fillId="28" borderId="0" xfId="0" applyFont="1" applyFill="1" applyBorder="1" applyProtection="1"/>
    <xf numFmtId="0" fontId="74" fillId="28" borderId="0" xfId="0" applyFont="1" applyFill="1" applyBorder="1" applyAlignment="1" applyProtection="1">
      <alignment horizontal="center"/>
      <protection locked="0"/>
    </xf>
    <xf numFmtId="0" fontId="78" fillId="28" borderId="0" xfId="0" applyFont="1" applyFill="1" applyBorder="1"/>
    <xf numFmtId="0" fontId="50" fillId="31" borderId="0" xfId="0" applyFont="1" applyFill="1" applyBorder="1" applyAlignment="1" applyProtection="1">
      <alignment horizontal="center"/>
    </xf>
    <xf numFmtId="0" fontId="50" fillId="31" borderId="0" xfId="0" applyFont="1" applyFill="1" applyBorder="1" applyAlignment="1" applyProtection="1">
      <alignment horizontal="left"/>
    </xf>
    <xf numFmtId="0" fontId="50" fillId="31" borderId="0" xfId="0" applyFont="1" applyFill="1" applyBorder="1" applyAlignment="1" applyProtection="1">
      <alignment horizontal="center"/>
      <protection locked="0"/>
    </xf>
    <xf numFmtId="0" fontId="50" fillId="31" borderId="0" xfId="0" applyNumberFormat="1" applyFont="1" applyFill="1" applyBorder="1"/>
    <xf numFmtId="0" fontId="50" fillId="31" borderId="0" xfId="0" applyFont="1" applyFill="1" applyBorder="1" applyAlignment="1">
      <alignment horizontal="center"/>
    </xf>
    <xf numFmtId="0" fontId="19" fillId="28" borderId="0" xfId="42" applyFont="1" applyFill="1" applyBorder="1"/>
    <xf numFmtId="0" fontId="23" fillId="28" borderId="0" xfId="0" applyFont="1" applyFill="1" applyBorder="1" applyAlignment="1">
      <alignment horizontal="right"/>
    </xf>
    <xf numFmtId="0" fontId="13" fillId="28" borderId="0" xfId="42" applyFill="1" applyBorder="1"/>
    <xf numFmtId="0" fontId="50" fillId="31" borderId="0" xfId="43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center" vertical="center"/>
    </xf>
    <xf numFmtId="0" fontId="50" fillId="31" borderId="71" xfId="42" applyFont="1" applyFill="1" applyBorder="1" applyAlignment="1">
      <alignment vertical="center"/>
    </xf>
    <xf numFmtId="0" fontId="50" fillId="31" borderId="64" xfId="42" applyFont="1" applyFill="1" applyBorder="1" applyAlignment="1">
      <alignment vertical="center"/>
    </xf>
    <xf numFmtId="0" fontId="50" fillId="31" borderId="71" xfId="42" applyFont="1" applyFill="1" applyBorder="1" applyAlignment="1">
      <alignment horizontal="right" vertical="center"/>
    </xf>
    <xf numFmtId="0" fontId="50" fillId="31" borderId="64" xfId="42" applyFont="1" applyFill="1" applyBorder="1" applyAlignment="1">
      <alignment horizontal="right" vertical="center"/>
    </xf>
    <xf numFmtId="0" fontId="50" fillId="31" borderId="0" xfId="42" applyFont="1" applyFill="1" applyBorder="1" applyAlignment="1">
      <alignment horizontal="center" vertical="center"/>
    </xf>
    <xf numFmtId="0" fontId="50" fillId="31" borderId="0" xfId="42" applyFont="1" applyFill="1" applyBorder="1" applyAlignment="1">
      <alignment vertical="center"/>
    </xf>
    <xf numFmtId="0" fontId="50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4" fillId="26" borderId="0" xfId="131" applyFont="1" applyFill="1" applyBorder="1"/>
    <xf numFmtId="0" fontId="80" fillId="28" borderId="0" xfId="0" applyFont="1" applyFill="1" applyBorder="1"/>
    <xf numFmtId="0" fontId="80" fillId="28" borderId="0" xfId="0" applyFont="1" applyFill="1" applyBorder="1" applyAlignment="1">
      <alignment horizontal="right"/>
    </xf>
    <xf numFmtId="0" fontId="95" fillId="28" borderId="0" xfId="0" applyFont="1" applyFill="1" applyBorder="1" applyAlignment="1">
      <alignment horizontal="center" vertical="top"/>
    </xf>
    <xf numFmtId="0" fontId="74" fillId="28" borderId="0" xfId="0" applyFont="1" applyFill="1" applyBorder="1" applyAlignment="1">
      <alignment horizontal="center"/>
    </xf>
    <xf numFmtId="0" fontId="77" fillId="28" borderId="0" xfId="0" applyFont="1" applyFill="1" applyBorder="1" applyAlignment="1">
      <alignment horizontal="center" vertical="top"/>
    </xf>
    <xf numFmtId="0" fontId="77" fillId="28" borderId="0" xfId="0" applyFont="1" applyFill="1" applyBorder="1" applyAlignment="1">
      <alignment horizontal="left" vertical="top"/>
    </xf>
    <xf numFmtId="0" fontId="80" fillId="28" borderId="0" xfId="0" applyFont="1" applyFill="1" applyBorder="1" applyProtection="1">
      <protection locked="0" hidden="1"/>
    </xf>
    <xf numFmtId="0" fontId="87" fillId="28" borderId="0" xfId="0" applyFont="1" applyFill="1" applyBorder="1"/>
    <xf numFmtId="0" fontId="22" fillId="0" borderId="0" xfId="0" applyFont="1" applyFill="1" applyBorder="1" applyAlignment="1">
      <alignment horizontal="left"/>
    </xf>
    <xf numFmtId="0" fontId="22" fillId="0" borderId="0" xfId="0" applyFont="1" applyAlignment="1">
      <alignment horizontal="left" vertical="top" wrapText="1"/>
    </xf>
    <xf numFmtId="0" fontId="13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22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3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25" fillId="25" borderId="7" xfId="0" quotePrefix="1" applyNumberFormat="1" applyFont="1" applyFill="1" applyBorder="1" applyAlignment="1">
      <alignment horizontal="center"/>
    </xf>
    <xf numFmtId="0" fontId="25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2" fillId="25" borderId="7" xfId="0" applyNumberFormat="1" applyFont="1" applyFill="1" applyBorder="1" applyAlignment="1">
      <alignment horizontal="center"/>
    </xf>
    <xf numFmtId="0" fontId="25" fillId="25" borderId="7" xfId="0" applyFont="1" applyFill="1" applyBorder="1" applyAlignment="1">
      <alignment horizontal="center"/>
    </xf>
    <xf numFmtId="0" fontId="23" fillId="0" borderId="0" xfId="0" applyFont="1" applyBorder="1" applyAlignment="1">
      <alignment horizontal="center"/>
    </xf>
    <xf numFmtId="166" fontId="13" fillId="0" borderId="0" xfId="0" applyNumberFormat="1" applyFont="1" applyAlignment="1">
      <alignment horizontal="left"/>
    </xf>
    <xf numFmtId="0" fontId="13" fillId="0" borderId="25" xfId="0" applyFont="1" applyBorder="1"/>
    <xf numFmtId="0" fontId="13" fillId="0" borderId="22" xfId="0" applyFont="1" applyBorder="1"/>
    <xf numFmtId="0" fontId="13" fillId="0" borderId="18" xfId="0" applyFont="1" applyBorder="1"/>
    <xf numFmtId="0" fontId="13" fillId="0" borderId="14" xfId="0" applyFont="1" applyBorder="1"/>
    <xf numFmtId="0" fontId="13" fillId="0" borderId="15" xfId="0" applyFont="1" applyBorder="1"/>
    <xf numFmtId="15" fontId="13" fillId="0" borderId="14" xfId="0" applyNumberFormat="1" applyFont="1" applyBorder="1"/>
    <xf numFmtId="0" fontId="13" fillId="0" borderId="16" xfId="0" applyFont="1" applyBorder="1"/>
    <xf numFmtId="0" fontId="13" fillId="0" borderId="23" xfId="0" applyFont="1" applyBorder="1"/>
    <xf numFmtId="0" fontId="13" fillId="0" borderId="17" xfId="0" applyFont="1" applyBorder="1"/>
    <xf numFmtId="0" fontId="13" fillId="0" borderId="14" xfId="0" applyFont="1" applyBorder="1" applyAlignment="1">
      <alignment vertical="top" wrapText="1"/>
    </xf>
    <xf numFmtId="0" fontId="13" fillId="0" borderId="15" xfId="0" applyFont="1" applyBorder="1" applyAlignment="1">
      <alignment vertical="top" wrapText="1"/>
    </xf>
    <xf numFmtId="0" fontId="13" fillId="0" borderId="17" xfId="0" applyFont="1" applyBorder="1" applyAlignment="1">
      <alignment vertical="top" wrapText="1"/>
    </xf>
    <xf numFmtId="0" fontId="13" fillId="0" borderId="10" xfId="0" applyFont="1" applyBorder="1" applyAlignment="1">
      <alignment vertical="center" wrapText="1"/>
    </xf>
    <xf numFmtId="0" fontId="13" fillId="0" borderId="12" xfId="0" applyFont="1" applyBorder="1" applyAlignment="1">
      <alignment horizontal="center" vertical="center" wrapText="1"/>
    </xf>
    <xf numFmtId="0" fontId="13" fillId="0" borderId="16" xfId="0" applyFont="1" applyBorder="1" applyAlignment="1">
      <alignment vertical="center" wrapText="1"/>
    </xf>
    <xf numFmtId="0" fontId="13" fillId="0" borderId="23" xfId="0" applyFont="1" applyBorder="1" applyAlignment="1">
      <alignment vertical="center" wrapText="1"/>
    </xf>
    <xf numFmtId="0" fontId="13" fillId="0" borderId="17" xfId="0" applyFont="1" applyBorder="1" applyAlignment="1">
      <alignment vertical="center" wrapText="1"/>
    </xf>
    <xf numFmtId="0" fontId="13" fillId="0" borderId="17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13" fillId="0" borderId="15" xfId="0" applyFont="1" applyBorder="1" applyAlignment="1">
      <alignment horizontal="left" vertical="top" wrapText="1"/>
    </xf>
    <xf numFmtId="0" fontId="13" fillId="0" borderId="0" xfId="0" applyFont="1" applyAlignment="1">
      <alignment vertical="top" wrapText="1"/>
    </xf>
    <xf numFmtId="0" fontId="13" fillId="0" borderId="0" xfId="0" applyFont="1" applyAlignment="1">
      <alignment horizontal="center" vertical="center" wrapText="1"/>
    </xf>
    <xf numFmtId="0" fontId="13" fillId="0" borderId="18" xfId="0" applyFont="1" applyBorder="1" applyAlignment="1">
      <alignment vertical="top" wrapText="1"/>
    </xf>
    <xf numFmtId="0" fontId="13" fillId="0" borderId="19" xfId="0" applyFont="1" applyBorder="1" applyAlignment="1">
      <alignment vertical="top" wrapText="1"/>
    </xf>
    <xf numFmtId="0" fontId="13" fillId="0" borderId="26" xfId="0" applyFont="1" applyBorder="1" applyAlignment="1">
      <alignment horizontal="center" vertical="center" wrapText="1"/>
    </xf>
    <xf numFmtId="0" fontId="13" fillId="0" borderId="20" xfId="0" applyFont="1" applyBorder="1" applyAlignment="1">
      <alignment vertical="top" wrapText="1"/>
    </xf>
    <xf numFmtId="0" fontId="13" fillId="0" borderId="10" xfId="0" applyFont="1" applyBorder="1" applyAlignment="1">
      <alignment vertical="center"/>
    </xf>
    <xf numFmtId="0" fontId="13" fillId="0" borderId="11" xfId="0" applyFont="1" applyBorder="1" applyAlignment="1">
      <alignment vertical="center"/>
    </xf>
    <xf numFmtId="0" fontId="24" fillId="0" borderId="12" xfId="0" applyFont="1" applyBorder="1" applyAlignment="1">
      <alignment vertical="center"/>
    </xf>
    <xf numFmtId="0" fontId="13" fillId="0" borderId="12" xfId="0" applyFont="1" applyBorder="1" applyAlignment="1">
      <alignment horizontal="center" vertical="center"/>
    </xf>
    <xf numFmtId="0" fontId="13" fillId="0" borderId="16" xfId="0" applyFont="1" applyBorder="1" applyAlignment="1">
      <alignment vertical="center"/>
    </xf>
    <xf numFmtId="0" fontId="13" fillId="0" borderId="23" xfId="0" applyFont="1" applyBorder="1" applyAlignment="1">
      <alignment vertical="center"/>
    </xf>
    <xf numFmtId="0" fontId="24" fillId="0" borderId="17" xfId="0" applyFont="1" applyBorder="1" applyAlignment="1">
      <alignment vertical="center"/>
    </xf>
    <xf numFmtId="0" fontId="13" fillId="0" borderId="17" xfId="0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top" wrapText="1"/>
    </xf>
    <xf numFmtId="0" fontId="13" fillId="0" borderId="0" xfId="0" applyFont="1" applyAlignment="1">
      <alignment horizontal="center" vertical="center"/>
    </xf>
    <xf numFmtId="0" fontId="13" fillId="0" borderId="21" xfId="0" applyFont="1" applyBorder="1" applyAlignment="1">
      <alignment vertical="top" wrapText="1"/>
    </xf>
    <xf numFmtId="0" fontId="13" fillId="0" borderId="12" xfId="0" applyFont="1" applyBorder="1" applyAlignment="1">
      <alignment vertical="top" wrapText="1"/>
    </xf>
    <xf numFmtId="0" fontId="13" fillId="0" borderId="0" xfId="42" applyAlignment="1"/>
    <xf numFmtId="0" fontId="15" fillId="0" borderId="0" xfId="42" applyFont="1" applyAlignment="1">
      <alignment horizontal="left"/>
    </xf>
    <xf numFmtId="0" fontId="13" fillId="0" borderId="0" xfId="42" applyAlignment="1">
      <alignment horizontal="left"/>
    </xf>
    <xf numFmtId="0" fontId="13" fillId="0" borderId="0" xfId="42" applyFont="1" applyBorder="1"/>
    <xf numFmtId="14" fontId="13" fillId="0" borderId="0" xfId="42" applyNumberFormat="1" applyFont="1"/>
    <xf numFmtId="2" fontId="13" fillId="0" borderId="0" xfId="42" applyNumberFormat="1" applyFont="1"/>
    <xf numFmtId="0" fontId="13" fillId="0" borderId="0" xfId="42" applyFont="1" applyFill="1" applyBorder="1" applyAlignment="1">
      <alignment vertical="top" wrapText="1"/>
    </xf>
    <xf numFmtId="0" fontId="15" fillId="0" borderId="0" xfId="42" applyFont="1" applyFill="1" applyBorder="1"/>
    <xf numFmtId="1" fontId="59" fillId="0" borderId="0" xfId="42" applyNumberFormat="1" applyFont="1" applyFill="1" applyBorder="1" applyAlignment="1">
      <alignment horizontal="right"/>
    </xf>
    <xf numFmtId="170" fontId="59" fillId="0" borderId="0" xfId="42" applyNumberFormat="1" applyFont="1" applyFill="1" applyBorder="1" applyAlignment="1">
      <alignment horizontal="right"/>
    </xf>
    <xf numFmtId="169" fontId="13" fillId="0" borderId="0" xfId="0" applyNumberFormat="1" applyFont="1"/>
    <xf numFmtId="0" fontId="50" fillId="31" borderId="0" xfId="0" applyFont="1" applyFill="1" applyBorder="1" applyAlignment="1">
      <alignment horizontal="left"/>
    </xf>
    <xf numFmtId="0" fontId="50" fillId="31" borderId="0" xfId="42" applyFont="1" applyFill="1" applyBorder="1" applyAlignment="1">
      <alignment horizontal="left" vertical="center"/>
    </xf>
    <xf numFmtId="0" fontId="50" fillId="31" borderId="71" xfId="42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left" vertical="center"/>
    </xf>
    <xf numFmtId="0" fontId="13" fillId="28" borderId="0" xfId="42" applyFont="1" applyFill="1" applyBorder="1"/>
    <xf numFmtId="0" fontId="80" fillId="35" borderId="0" xfId="0" applyFont="1" applyFill="1"/>
    <xf numFmtId="0" fontId="80" fillId="35" borderId="0" xfId="0" applyFont="1" applyFill="1" applyBorder="1"/>
    <xf numFmtId="0" fontId="80" fillId="35" borderId="0" xfId="0" applyFont="1" applyFill="1" applyBorder="1" applyProtection="1"/>
    <xf numFmtId="0" fontId="80" fillId="35" borderId="0" xfId="0" applyFont="1" applyFill="1" applyBorder="1" applyAlignment="1" applyProtection="1">
      <alignment horizontal="left"/>
    </xf>
    <xf numFmtId="0" fontId="80" fillId="35" borderId="0" xfId="0" applyFont="1" applyFill="1" applyBorder="1" applyAlignment="1">
      <alignment horizontal="left"/>
    </xf>
    <xf numFmtId="15" fontId="80" fillId="35" borderId="0" xfId="0" applyNumberFormat="1" applyFont="1" applyFill="1" applyBorder="1" applyAlignment="1">
      <alignment horizontal="left"/>
    </xf>
    <xf numFmtId="0" fontId="80" fillId="35" borderId="0" xfId="0" applyFont="1" applyFill="1" applyBorder="1" applyAlignment="1"/>
    <xf numFmtId="14" fontId="80" fillId="35" borderId="0" xfId="0" applyNumberFormat="1" applyFont="1" applyFill="1" applyBorder="1" applyProtection="1"/>
    <xf numFmtId="15" fontId="80" fillId="35" borderId="0" xfId="0" applyNumberFormat="1" applyFont="1" applyFill="1" applyBorder="1" applyAlignment="1" applyProtection="1">
      <alignment horizontal="left"/>
      <protection locked="0"/>
    </xf>
    <xf numFmtId="0" fontId="80" fillId="35" borderId="0" xfId="0" applyFont="1" applyFill="1" applyBorder="1" applyAlignment="1" applyProtection="1">
      <alignment horizontal="left"/>
      <protection locked="0"/>
    </xf>
    <xf numFmtId="0" fontId="82" fillId="35" borderId="0" xfId="0" applyFont="1" applyFill="1" applyBorder="1" applyAlignment="1">
      <alignment horizontal="left"/>
    </xf>
    <xf numFmtId="49" fontId="80" fillId="35" borderId="0" xfId="0" applyNumberFormat="1" applyFont="1" applyFill="1" applyBorder="1" applyAlignment="1">
      <alignment horizontal="left"/>
    </xf>
    <xf numFmtId="1" fontId="80" fillId="35" borderId="0" xfId="0" applyNumberFormat="1" applyFont="1" applyFill="1" applyBorder="1" applyAlignment="1">
      <alignment horizontal="left"/>
    </xf>
    <xf numFmtId="0" fontId="80" fillId="35" borderId="0" xfId="0" applyFont="1" applyFill="1" applyBorder="1" applyProtection="1">
      <protection locked="0"/>
    </xf>
    <xf numFmtId="14" fontId="80" fillId="35" borderId="0" xfId="0" applyNumberFormat="1" applyFont="1" applyFill="1" applyBorder="1"/>
    <xf numFmtId="14" fontId="80" fillId="35" borderId="0" xfId="0" applyNumberFormat="1" applyFont="1" applyFill="1" applyBorder="1" applyAlignment="1">
      <alignment horizontal="left"/>
    </xf>
    <xf numFmtId="0" fontId="80" fillId="35" borderId="0" xfId="0" applyFont="1" applyFill="1" applyBorder="1" applyAlignment="1">
      <alignment horizontal="right"/>
    </xf>
    <xf numFmtId="0" fontId="80" fillId="35" borderId="0" xfId="0" applyFont="1" applyFill="1" applyBorder="1" applyAlignment="1">
      <alignment horizontal="left" vertical="top"/>
    </xf>
    <xf numFmtId="0" fontId="80" fillId="35" borderId="0" xfId="0" applyFont="1" applyFill="1" applyBorder="1" applyAlignment="1">
      <alignment horizontal="left" vertical="top" wrapText="1"/>
    </xf>
    <xf numFmtId="0" fontId="82" fillId="35" borderId="0" xfId="0" applyFont="1" applyFill="1" applyBorder="1"/>
    <xf numFmtId="165" fontId="80" fillId="35" borderId="0" xfId="0" applyNumberFormat="1" applyFont="1" applyFill="1" applyBorder="1" applyAlignment="1" applyProtection="1">
      <alignment horizontal="left"/>
    </xf>
    <xf numFmtId="166" fontId="80" fillId="35" borderId="0" xfId="0" applyNumberFormat="1" applyFont="1" applyFill="1" applyBorder="1" applyAlignment="1" applyProtection="1">
      <alignment horizontal="left"/>
    </xf>
    <xf numFmtId="0" fontId="80" fillId="35" borderId="0" xfId="0" applyFont="1" applyFill="1" applyBorder="1" applyAlignment="1" applyProtection="1">
      <alignment horizontal="center"/>
    </xf>
    <xf numFmtId="0" fontId="80" fillId="35" borderId="0" xfId="43" applyFont="1" applyFill="1" applyBorder="1" applyProtection="1">
      <protection locked="0"/>
    </xf>
    <xf numFmtId="0" fontId="80" fillId="35" borderId="0" xfId="43" applyFont="1" applyFill="1" applyBorder="1"/>
    <xf numFmtId="0" fontId="80" fillId="35" borderId="0" xfId="43" applyFont="1" applyFill="1" applyBorder="1" applyAlignment="1">
      <alignment horizontal="left"/>
    </xf>
    <xf numFmtId="15" fontId="80" fillId="35" borderId="0" xfId="43" applyNumberFormat="1" applyFont="1" applyFill="1" applyBorder="1" applyAlignment="1">
      <alignment horizontal="left"/>
    </xf>
    <xf numFmtId="15" fontId="80" fillId="35" borderId="0" xfId="43" applyNumberFormat="1" applyFont="1" applyFill="1" applyBorder="1" applyAlignment="1" applyProtection="1">
      <alignment horizontal="left"/>
      <protection locked="0"/>
    </xf>
    <xf numFmtId="0" fontId="80" fillId="35" borderId="0" xfId="43" applyFont="1" applyFill="1" applyBorder="1" applyAlignment="1" applyProtection="1">
      <alignment horizontal="left"/>
      <protection locked="0"/>
    </xf>
    <xf numFmtId="1" fontId="80" fillId="35" borderId="0" xfId="43" applyNumberFormat="1" applyFont="1" applyFill="1" applyBorder="1" applyAlignment="1">
      <alignment horizontal="left"/>
    </xf>
    <xf numFmtId="0" fontId="80" fillId="36" borderId="0" xfId="0" applyFont="1" applyFill="1"/>
    <xf numFmtId="0" fontId="80" fillId="37" borderId="0" xfId="0" applyFont="1" applyFill="1"/>
    <xf numFmtId="0" fontId="80" fillId="36" borderId="0" xfId="0" applyFont="1" applyFill="1" applyBorder="1"/>
    <xf numFmtId="0" fontId="80" fillId="36" borderId="0" xfId="0" applyFont="1" applyFill="1" applyBorder="1" applyProtection="1"/>
    <xf numFmtId="0" fontId="80" fillId="36" borderId="0" xfId="0" applyFont="1" applyFill="1" applyBorder="1" applyAlignment="1">
      <alignment horizontal="center"/>
    </xf>
    <xf numFmtId="0" fontId="80" fillId="36" borderId="0" xfId="0" applyFont="1" applyFill="1" applyBorder="1" applyAlignment="1">
      <alignment horizontal="left"/>
    </xf>
    <xf numFmtId="0" fontId="82" fillId="36" borderId="0" xfId="0" applyFont="1" applyFill="1" applyBorder="1"/>
    <xf numFmtId="0" fontId="80" fillId="36" borderId="0" xfId="0" applyFont="1" applyFill="1" applyBorder="1" applyAlignment="1">
      <alignment horizontal="right"/>
    </xf>
    <xf numFmtId="0" fontId="80" fillId="36" borderId="0" xfId="0" applyFont="1" applyFill="1" applyBorder="1" applyAlignment="1" applyProtection="1">
      <alignment horizontal="right"/>
      <protection locked="0" hidden="1"/>
    </xf>
    <xf numFmtId="0" fontId="80" fillId="36" borderId="0" xfId="42" applyFont="1" applyFill="1" applyBorder="1"/>
    <xf numFmtId="0" fontId="82" fillId="36" borderId="0" xfId="42" applyFont="1" applyFill="1" applyBorder="1"/>
    <xf numFmtId="0" fontId="80" fillId="36" borderId="0" xfId="0" applyFont="1" applyFill="1" applyBorder="1" applyAlignment="1" applyProtection="1">
      <alignment horizontal="right"/>
    </xf>
    <xf numFmtId="0" fontId="80" fillId="36" borderId="0" xfId="0" applyFont="1" applyFill="1" applyBorder="1" applyAlignment="1">
      <alignment horizontal="left" vertical="center"/>
    </xf>
    <xf numFmtId="0" fontId="80" fillId="36" borderId="0" xfId="43" applyFont="1" applyFill="1" applyBorder="1"/>
    <xf numFmtId="0" fontId="80" fillId="37" borderId="0" xfId="0" applyFont="1" applyFill="1" applyBorder="1"/>
    <xf numFmtId="0" fontId="80" fillId="37" borderId="0" xfId="0" applyFont="1" applyFill="1" applyBorder="1" applyAlignment="1" applyProtection="1">
      <alignment horizontal="left"/>
    </xf>
    <xf numFmtId="0" fontId="82" fillId="37" borderId="0" xfId="0" applyFont="1" applyFill="1" applyBorder="1" applyProtection="1"/>
    <xf numFmtId="0" fontId="80" fillId="37" borderId="0" xfId="0" applyFont="1" applyFill="1" applyBorder="1" applyProtection="1"/>
    <xf numFmtId="0" fontId="80" fillId="37" borderId="0" xfId="0" applyFont="1" applyFill="1" applyBorder="1" applyAlignment="1" applyProtection="1">
      <alignment horizontal="center"/>
    </xf>
    <xf numFmtId="0" fontId="80" fillId="37" borderId="0" xfId="0" applyFont="1" applyFill="1" applyBorder="1" applyProtection="1">
      <protection locked="0"/>
    </xf>
    <xf numFmtId="0" fontId="82" fillId="37" borderId="0" xfId="0" applyFont="1" applyFill="1" applyBorder="1"/>
    <xf numFmtId="0" fontId="84" fillId="37" borderId="0" xfId="0" applyFont="1" applyFill="1" applyBorder="1"/>
    <xf numFmtId="49" fontId="80" fillId="37" borderId="0" xfId="0" applyNumberFormat="1" applyFont="1" applyFill="1" applyBorder="1" applyAlignment="1">
      <alignment horizontal="left" vertical="top" wrapText="1"/>
    </xf>
    <xf numFmtId="0" fontId="80" fillId="37" borderId="0" xfId="0" applyFont="1" applyFill="1" applyBorder="1" applyAlignment="1">
      <alignment horizontal="left"/>
    </xf>
    <xf numFmtId="0" fontId="80" fillId="37" borderId="0" xfId="0" applyFont="1" applyFill="1" applyBorder="1" applyAlignment="1"/>
    <xf numFmtId="1" fontId="80" fillId="37" borderId="0" xfId="0" applyNumberFormat="1" applyFont="1" applyFill="1" applyBorder="1" applyAlignment="1">
      <alignment horizontal="left"/>
    </xf>
    <xf numFmtId="0" fontId="80" fillId="37" borderId="0" xfId="0" applyFont="1" applyFill="1" applyBorder="1" applyProtection="1">
      <protection locked="0" hidden="1"/>
    </xf>
    <xf numFmtId="0" fontId="80" fillId="37" borderId="0" xfId="42" applyFont="1" applyFill="1" applyBorder="1"/>
    <xf numFmtId="171" fontId="80" fillId="37" borderId="0" xfId="42" applyNumberFormat="1" applyFont="1" applyFill="1" applyBorder="1" applyAlignment="1">
      <alignment horizontal="left"/>
    </xf>
    <xf numFmtId="0" fontId="80" fillId="37" borderId="0" xfId="42" applyFont="1" applyFill="1" applyBorder="1" applyAlignment="1">
      <alignment horizontal="left"/>
    </xf>
    <xf numFmtId="0" fontId="80" fillId="37" borderId="0" xfId="43" applyFont="1" applyFill="1" applyBorder="1"/>
    <xf numFmtId="0" fontId="80" fillId="37" borderId="0" xfId="43" applyFont="1" applyFill="1" applyBorder="1" applyAlignment="1">
      <alignment vertical="top" wrapText="1"/>
    </xf>
    <xf numFmtId="0" fontId="80" fillId="37" borderId="0" xfId="43" applyFont="1" applyFill="1" applyBorder="1" applyAlignment="1">
      <alignment horizontal="left" vertical="top"/>
    </xf>
    <xf numFmtId="0" fontId="80" fillId="38" borderId="0" xfId="0" applyFont="1" applyFill="1"/>
    <xf numFmtId="0" fontId="80" fillId="38" borderId="0" xfId="0" applyFont="1" applyFill="1" applyBorder="1"/>
    <xf numFmtId="0" fontId="82" fillId="38" borderId="0" xfId="0" applyFont="1" applyFill="1" applyBorder="1" applyProtection="1"/>
    <xf numFmtId="0" fontId="80" fillId="38" borderId="0" xfId="0" applyFont="1" applyFill="1" applyBorder="1" applyProtection="1"/>
    <xf numFmtId="0" fontId="87" fillId="38" borderId="0" xfId="0" applyFont="1" applyFill="1" applyBorder="1" applyProtection="1"/>
    <xf numFmtId="0" fontId="80" fillId="38" borderId="0" xfId="0" applyFont="1" applyFill="1" applyBorder="1" applyAlignment="1">
      <alignment horizontal="left"/>
    </xf>
    <xf numFmtId="0" fontId="80" fillId="38" borderId="0" xfId="0" applyFont="1" applyFill="1" applyBorder="1" applyAlignment="1" applyProtection="1">
      <alignment horizontal="left"/>
      <protection locked="0" hidden="1"/>
    </xf>
    <xf numFmtId="0" fontId="87" fillId="38" borderId="0" xfId="0" applyFont="1" applyFill="1" applyBorder="1"/>
    <xf numFmtId="0" fontId="87" fillId="38" borderId="0" xfId="0" applyFont="1" applyFill="1" applyBorder="1" applyAlignment="1">
      <alignment horizontal="left"/>
    </xf>
    <xf numFmtId="0" fontId="80" fillId="38" borderId="0" xfId="43" applyFont="1" applyFill="1" applyBorder="1"/>
    <xf numFmtId="0" fontId="80" fillId="36" borderId="0" xfId="42" applyFont="1" applyFill="1" applyBorder="1" applyAlignment="1">
      <alignment vertical="center"/>
    </xf>
    <xf numFmtId="0" fontId="80" fillId="36" borderId="0" xfId="42" applyFont="1" applyFill="1" applyBorder="1" applyAlignment="1">
      <alignment horizontal="right" vertical="center"/>
    </xf>
    <xf numFmtId="0" fontId="80" fillId="36" borderId="0" xfId="42" applyFont="1" applyFill="1" applyBorder="1" applyAlignment="1">
      <alignment horizontal="left" vertical="center"/>
    </xf>
    <xf numFmtId="0" fontId="80" fillId="36" borderId="0" xfId="42" applyFont="1" applyFill="1" applyBorder="1" applyAlignment="1">
      <alignment horizontal="center" vertical="center"/>
    </xf>
    <xf numFmtId="0" fontId="90" fillId="36" borderId="0" xfId="0" applyFont="1" applyFill="1" applyBorder="1" applyAlignment="1">
      <alignment vertical="center"/>
    </xf>
    <xf numFmtId="0" fontId="87" fillId="36" borderId="0" xfId="42" applyFont="1" applyFill="1" applyBorder="1" applyAlignment="1">
      <alignment vertical="center"/>
    </xf>
    <xf numFmtId="0" fontId="88" fillId="36" borderId="0" xfId="0" applyFont="1" applyFill="1" applyBorder="1" applyAlignment="1">
      <alignment vertical="center"/>
    </xf>
    <xf numFmtId="0" fontId="88" fillId="36" borderId="0" xfId="0" applyFont="1" applyFill="1" applyBorder="1" applyAlignment="1">
      <alignment horizontal="left" vertical="center"/>
    </xf>
    <xf numFmtId="0" fontId="80" fillId="35" borderId="0" xfId="42" applyFont="1" applyFill="1" applyBorder="1" applyAlignment="1">
      <alignment vertical="center"/>
    </xf>
    <xf numFmtId="0" fontId="80" fillId="35" borderId="0" xfId="42" applyFont="1" applyFill="1" applyBorder="1" applyAlignment="1">
      <alignment horizontal="left" vertical="center"/>
    </xf>
    <xf numFmtId="2" fontId="80" fillId="35" borderId="0" xfId="42" applyNumberFormat="1" applyFont="1" applyFill="1" applyBorder="1" applyAlignment="1">
      <alignment vertical="center"/>
    </xf>
    <xf numFmtId="0" fontId="80" fillId="35" borderId="0" xfId="42" applyFont="1" applyFill="1" applyBorder="1" applyAlignment="1" applyProtection="1">
      <alignment vertical="center"/>
    </xf>
    <xf numFmtId="0" fontId="80" fillId="35" borderId="0" xfId="42" applyFont="1" applyFill="1" applyBorder="1" applyAlignment="1" applyProtection="1">
      <alignment vertical="center"/>
      <protection locked="0"/>
    </xf>
    <xf numFmtId="15" fontId="80" fillId="35" borderId="0" xfId="42" applyNumberFormat="1" applyFont="1" applyFill="1" applyBorder="1" applyAlignment="1">
      <alignment horizontal="left" vertical="center"/>
    </xf>
    <xf numFmtId="0" fontId="80" fillId="35" borderId="0" xfId="42" applyFont="1" applyFill="1" applyBorder="1" applyAlignment="1">
      <alignment horizontal="center" vertical="center"/>
    </xf>
    <xf numFmtId="0" fontId="82" fillId="37" borderId="0" xfId="42" applyFont="1" applyFill="1" applyBorder="1" applyAlignment="1">
      <alignment vertical="center"/>
    </xf>
    <xf numFmtId="0" fontId="80" fillId="37" borderId="0" xfId="42" applyFont="1" applyFill="1" applyBorder="1" applyAlignment="1">
      <alignment vertical="center"/>
    </xf>
    <xf numFmtId="0" fontId="80" fillId="37" borderId="0" xfId="42" applyFont="1" applyFill="1" applyBorder="1" applyAlignment="1">
      <alignment horizontal="left" vertical="center"/>
    </xf>
    <xf numFmtId="0" fontId="80" fillId="37" borderId="0" xfId="42" applyFont="1" applyFill="1" applyBorder="1" applyAlignment="1">
      <alignment horizontal="right" vertical="center"/>
    </xf>
    <xf numFmtId="49" fontId="80" fillId="37" borderId="0" xfId="42" applyNumberFormat="1" applyFont="1" applyFill="1" applyBorder="1" applyAlignment="1">
      <alignment vertical="center"/>
    </xf>
    <xf numFmtId="0" fontId="88" fillId="37" borderId="0" xfId="0" applyFont="1" applyFill="1" applyBorder="1" applyAlignment="1">
      <alignment vertical="center"/>
    </xf>
    <xf numFmtId="0" fontId="87" fillId="38" borderId="0" xfId="42" applyFont="1" applyFill="1" applyBorder="1" applyAlignment="1">
      <alignment vertical="center"/>
    </xf>
    <xf numFmtId="0" fontId="80" fillId="38" borderId="0" xfId="42" applyFont="1" applyFill="1" applyBorder="1" applyAlignment="1">
      <alignment vertical="center"/>
    </xf>
    <xf numFmtId="0" fontId="87" fillId="38" borderId="0" xfId="42" applyFont="1" applyFill="1" applyBorder="1" applyAlignment="1" applyProtection="1">
      <alignment vertical="center"/>
      <protection locked="0"/>
    </xf>
    <xf numFmtId="0" fontId="87" fillId="38" borderId="0" xfId="42" applyFont="1" applyFill="1" applyBorder="1" applyAlignment="1">
      <alignment horizontal="left" vertical="center"/>
    </xf>
    <xf numFmtId="0" fontId="82" fillId="38" borderId="0" xfId="0" applyFont="1" applyFill="1" applyBorder="1" applyAlignment="1">
      <alignment horizontal="left"/>
    </xf>
    <xf numFmtId="0" fontId="82" fillId="38" borderId="0" xfId="0" applyFont="1" applyFill="1" applyBorder="1" applyAlignment="1" applyProtection="1">
      <alignment horizontal="left"/>
      <protection locked="0" hidden="1"/>
    </xf>
    <xf numFmtId="0" fontId="82" fillId="38" borderId="0" xfId="42" applyFont="1" applyFill="1" applyBorder="1" applyAlignment="1">
      <alignment vertical="center"/>
    </xf>
    <xf numFmtId="11" fontId="50" fillId="31" borderId="71" xfId="0" applyNumberFormat="1" applyFont="1" applyFill="1" applyBorder="1"/>
    <xf numFmtId="0" fontId="15" fillId="25" borderId="7" xfId="42" applyFont="1" applyFill="1" applyBorder="1"/>
    <xf numFmtId="0" fontId="13" fillId="25" borderId="46" xfId="42" applyFill="1" applyBorder="1"/>
    <xf numFmtId="1" fontId="59" fillId="25" borderId="56" xfId="42" applyNumberFormat="1" applyFont="1" applyFill="1" applyBorder="1" applyAlignment="1">
      <alignment horizontal="right"/>
    </xf>
    <xf numFmtId="170" fontId="59" fillId="25" borderId="56" xfId="42" applyNumberFormat="1" applyFont="1" applyFill="1" applyBorder="1" applyAlignment="1">
      <alignment horizontal="right"/>
    </xf>
    <xf numFmtId="0" fontId="58" fillId="0" borderId="0" xfId="42" applyFont="1" applyProtection="1">
      <protection locked="0"/>
    </xf>
    <xf numFmtId="0" fontId="13" fillId="25" borderId="55" xfId="42" applyFill="1" applyBorder="1"/>
    <xf numFmtId="0" fontId="13" fillId="25" borderId="0" xfId="42" applyFill="1" applyBorder="1"/>
    <xf numFmtId="0" fontId="13" fillId="25" borderId="0" xfId="42" applyFill="1" applyBorder="1" applyAlignment="1">
      <alignment horizontal="right"/>
    </xf>
    <xf numFmtId="0" fontId="15" fillId="25" borderId="0" xfId="42" applyFont="1" applyFill="1" applyBorder="1"/>
    <xf numFmtId="1" fontId="59" fillId="25" borderId="57" xfId="42" applyNumberFormat="1" applyFont="1" applyFill="1" applyBorder="1" applyAlignment="1">
      <alignment horizontal="right"/>
    </xf>
    <xf numFmtId="170" fontId="59" fillId="25" borderId="57" xfId="42" applyNumberFormat="1" applyFont="1" applyFill="1" applyBorder="1" applyAlignment="1">
      <alignment horizontal="right"/>
    </xf>
    <xf numFmtId="0" fontId="28" fillId="25" borderId="35" xfId="42" applyFont="1" applyFill="1" applyBorder="1"/>
    <xf numFmtId="0" fontId="60" fillId="25" borderId="35" xfId="42" applyFont="1" applyFill="1" applyBorder="1"/>
    <xf numFmtId="0" fontId="13" fillId="25" borderId="35" xfId="42" applyFill="1" applyBorder="1"/>
    <xf numFmtId="1" fontId="59" fillId="25" borderId="7" xfId="42" applyNumberFormat="1" applyFont="1" applyFill="1" applyBorder="1" applyAlignment="1">
      <alignment horizontal="right"/>
    </xf>
    <xf numFmtId="170" fontId="59" fillId="25" borderId="7" xfId="42" applyNumberFormat="1" applyFont="1" applyFill="1" applyBorder="1" applyAlignment="1">
      <alignment horizontal="right"/>
    </xf>
    <xf numFmtId="0" fontId="60" fillId="0" borderId="46" xfId="42" applyFont="1" applyFill="1" applyBorder="1"/>
    <xf numFmtId="1" fontId="59" fillId="0" borderId="46" xfId="42" applyNumberFormat="1" applyFont="1" applyFill="1" applyBorder="1" applyAlignment="1">
      <alignment horizontal="right"/>
    </xf>
    <xf numFmtId="170" fontId="59" fillId="0" borderId="46" xfId="42" applyNumberFormat="1" applyFont="1" applyFill="1" applyBorder="1" applyAlignment="1">
      <alignment horizontal="right"/>
    </xf>
    <xf numFmtId="0" fontId="58" fillId="0" borderId="0" xfId="42" applyFont="1" applyFill="1" applyBorder="1"/>
    <xf numFmtId="0" fontId="15" fillId="0" borderId="0" xfId="42" quotePrefix="1" applyFont="1" applyFill="1" applyBorder="1"/>
    <xf numFmtId="173" fontId="13" fillId="0" borderId="0" xfId="42" applyNumberFormat="1" applyFont="1" applyAlignment="1"/>
    <xf numFmtId="0" fontId="96" fillId="0" borderId="0" xfId="42" applyFont="1"/>
    <xf numFmtId="0" fontId="67" fillId="0" borderId="0" xfId="42" applyFont="1"/>
    <xf numFmtId="0" fontId="15" fillId="0" borderId="0" xfId="42" applyFont="1" applyFill="1" applyBorder="1" applyAlignment="1">
      <alignment vertical="top"/>
    </xf>
    <xf numFmtId="0" fontId="96" fillId="0" borderId="0" xfId="42" applyFont="1" applyFill="1" applyBorder="1"/>
    <xf numFmtId="0" fontId="15" fillId="25" borderId="35" xfId="42" applyFont="1" applyFill="1" applyBorder="1"/>
    <xf numFmtId="0" fontId="13" fillId="39" borderId="0" xfId="42" applyFill="1" applyBorder="1" applyAlignment="1">
      <alignment horizontal="right"/>
    </xf>
    <xf numFmtId="0" fontId="13" fillId="0" borderId="0" xfId="42" applyNumberFormat="1" applyFont="1" applyFill="1" applyBorder="1"/>
    <xf numFmtId="0" fontId="84" fillId="36" borderId="0" xfId="42" applyFont="1" applyFill="1" applyBorder="1" applyAlignment="1">
      <alignment vertical="center"/>
    </xf>
    <xf numFmtId="0" fontId="80" fillId="35" borderId="0" xfId="0" applyFont="1" applyFill="1" applyBorder="1" applyProtection="1"/>
    <xf numFmtId="0" fontId="50" fillId="31" borderId="0" xfId="0" applyFont="1" applyFill="1" applyBorder="1" applyAlignment="1">
      <alignment horizontal="left"/>
    </xf>
    <xf numFmtId="0" fontId="23" fillId="28" borderId="0" xfId="0" applyFont="1" applyFill="1" applyBorder="1" applyAlignment="1">
      <alignment horizontal="left"/>
    </xf>
    <xf numFmtId="0" fontId="13" fillId="28" borderId="0" xfId="42" applyFont="1" applyFill="1" applyBorder="1"/>
    <xf numFmtId="0" fontId="0" fillId="0" borderId="0" xfId="0" applyBorder="1" applyAlignment="1">
      <alignment horizontal="center" wrapText="1"/>
    </xf>
    <xf numFmtId="14" fontId="0" fillId="0" borderId="0" xfId="0" applyNumberFormat="1" applyAlignment="1">
      <alignment horizontal="left"/>
    </xf>
    <xf numFmtId="0" fontId="13" fillId="0" borderId="0" xfId="42"/>
    <xf numFmtId="0" fontId="0" fillId="0" borderId="0" xfId="0" applyNumberFormat="1" applyAlignment="1">
      <alignment horizontal="left"/>
    </xf>
    <xf numFmtId="0" fontId="13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0" fontId="13" fillId="0" borderId="0" xfId="42"/>
    <xf numFmtId="0" fontId="0" fillId="0" borderId="0" xfId="0" applyBorder="1" applyAlignment="1">
      <alignment horizontal="left" wrapText="1"/>
    </xf>
    <xf numFmtId="0" fontId="0" fillId="0" borderId="0" xfId="0" applyFont="1" applyAlignment="1">
      <alignment horizontal="center"/>
    </xf>
    <xf numFmtId="0" fontId="98" fillId="38" borderId="0" xfId="0" applyFont="1" applyFill="1" applyBorder="1"/>
    <xf numFmtId="175" fontId="0" fillId="0" borderId="0" xfId="0" applyNumberFormat="1" applyAlignment="1">
      <alignment horizontal="left"/>
    </xf>
    <xf numFmtId="0" fontId="50" fillId="31" borderId="0" xfId="42" applyFont="1" applyFill="1" applyBorder="1" applyAlignment="1">
      <alignment horizontal="left" vertical="center"/>
    </xf>
    <xf numFmtId="0" fontId="13" fillId="0" borderId="0" xfId="42"/>
    <xf numFmtId="0" fontId="2" fillId="0" borderId="0" xfId="517"/>
    <xf numFmtId="0" fontId="13" fillId="0" borderId="0" xfId="42"/>
    <xf numFmtId="0" fontId="13" fillId="0" borderId="0" xfId="42"/>
    <xf numFmtId="0" fontId="13" fillId="0" borderId="0" xfId="42" applyFont="1" applyFill="1" applyProtection="1">
      <protection locked="0"/>
    </xf>
    <xf numFmtId="0" fontId="0" fillId="0" borderId="0" xfId="0" applyFill="1" applyProtection="1">
      <protection locked="0"/>
    </xf>
    <xf numFmtId="0" fontId="99" fillId="25" borderId="52" xfId="42" applyFont="1" applyFill="1" applyBorder="1"/>
    <xf numFmtId="0" fontId="100" fillId="0" borderId="52" xfId="42" applyFont="1" applyFill="1" applyBorder="1"/>
    <xf numFmtId="0" fontId="0" fillId="26" borderId="0" xfId="0" applyFill="1" applyProtection="1">
      <protection locked="0"/>
    </xf>
    <xf numFmtId="0" fontId="13" fillId="26" borderId="0" xfId="0" applyFont="1" applyFill="1" applyProtection="1">
      <protection locked="0"/>
    </xf>
    <xf numFmtId="0" fontId="13" fillId="26" borderId="0" xfId="42" applyFont="1" applyFill="1" applyProtection="1">
      <protection locked="0"/>
    </xf>
    <xf numFmtId="0" fontId="0" fillId="26" borderId="0" xfId="0" applyFill="1" applyAlignment="1" applyProtection="1">
      <alignment horizontal="center"/>
      <protection locked="0"/>
    </xf>
    <xf numFmtId="0" fontId="15" fillId="26" borderId="0" xfId="0" applyFont="1" applyFill="1" applyProtection="1">
      <protection locked="0"/>
    </xf>
    <xf numFmtId="0" fontId="13" fillId="26" borderId="65" xfId="0" applyFont="1" applyFill="1" applyBorder="1" applyProtection="1">
      <protection locked="0"/>
    </xf>
    <xf numFmtId="0" fontId="13" fillId="26" borderId="66" xfId="0" applyFont="1" applyFill="1" applyBorder="1" applyProtection="1">
      <protection locked="0"/>
    </xf>
    <xf numFmtId="0" fontId="13" fillId="26" borderId="67" xfId="0" applyFont="1" applyFill="1" applyBorder="1" applyProtection="1">
      <protection locked="0"/>
    </xf>
    <xf numFmtId="0" fontId="13" fillId="26" borderId="68" xfId="0" applyFont="1" applyFill="1" applyBorder="1" applyProtection="1">
      <protection locked="0"/>
    </xf>
    <xf numFmtId="0" fontId="13" fillId="26" borderId="67" xfId="0" applyFont="1" applyFill="1" applyBorder="1" applyAlignment="1" applyProtection="1">
      <alignment wrapText="1"/>
      <protection locked="0"/>
    </xf>
    <xf numFmtId="0" fontId="13" fillId="26" borderId="68" xfId="0" applyFont="1" applyFill="1" applyBorder="1" applyAlignment="1" applyProtection="1">
      <alignment wrapText="1"/>
      <protection locked="0"/>
    </xf>
    <xf numFmtId="0" fontId="13" fillId="26" borderId="0" xfId="0" applyFont="1" applyFill="1" applyAlignment="1" applyProtection="1">
      <alignment wrapText="1"/>
      <protection locked="0"/>
    </xf>
    <xf numFmtId="0" fontId="13" fillId="26" borderId="69" xfId="0" applyFont="1" applyFill="1" applyBorder="1" applyProtection="1">
      <protection locked="0"/>
    </xf>
    <xf numFmtId="0" fontId="13" fillId="26" borderId="70" xfId="0" applyFont="1" applyFill="1" applyBorder="1" applyProtection="1">
      <protection locked="0"/>
    </xf>
    <xf numFmtId="0" fontId="68" fillId="26" borderId="0" xfId="42" applyFont="1" applyFill="1" applyBorder="1" applyAlignment="1" applyProtection="1">
      <alignment horizontal="center"/>
      <protection locked="0"/>
    </xf>
    <xf numFmtId="0" fontId="13" fillId="26" borderId="0" xfId="0" applyFont="1" applyFill="1" applyAlignment="1" applyProtection="1">
      <alignment horizontal="center"/>
      <protection locked="0"/>
    </xf>
    <xf numFmtId="0" fontId="68" fillId="26" borderId="0" xfId="131" applyFont="1" applyFill="1" applyBorder="1" applyAlignment="1" applyProtection="1">
      <alignment horizontal="center"/>
      <protection locked="0"/>
    </xf>
    <xf numFmtId="0" fontId="0" fillId="26" borderId="0" xfId="0" applyFont="1" applyFill="1" applyProtection="1">
      <protection locked="0"/>
    </xf>
    <xf numFmtId="0" fontId="13" fillId="28" borderId="0" xfId="0" applyFont="1" applyFill="1" applyBorder="1" applyAlignment="1">
      <alignment horizontal="left" vertical="top" wrapText="1"/>
    </xf>
    <xf numFmtId="0" fontId="13" fillId="0" borderId="0" xfId="42"/>
    <xf numFmtId="0" fontId="13" fillId="0" borderId="0" xfId="42"/>
    <xf numFmtId="0" fontId="0" fillId="0" borderId="0" xfId="0" applyFill="1" applyAlignment="1" applyProtection="1">
      <alignment vertical="top" wrapText="1"/>
      <protection locked="0"/>
    </xf>
    <xf numFmtId="0" fontId="13" fillId="0" borderId="0" xfId="0" applyFont="1" applyFill="1" applyAlignment="1" applyProtection="1">
      <alignment vertical="top" wrapText="1"/>
      <protection locked="0"/>
    </xf>
    <xf numFmtId="0" fontId="13" fillId="0" borderId="0" xfId="42" applyFont="1" applyFill="1" applyAlignment="1" applyProtection="1">
      <alignment vertical="top" wrapText="1"/>
      <protection locked="0"/>
    </xf>
    <xf numFmtId="0" fontId="0" fillId="26" borderId="0" xfId="0" applyFill="1" applyAlignment="1" applyProtection="1">
      <alignment vertical="top" wrapText="1"/>
      <protection locked="0"/>
    </xf>
    <xf numFmtId="0" fontId="13" fillId="26" borderId="0" xfId="0" applyFont="1" applyFill="1" applyAlignment="1" applyProtection="1">
      <alignment vertical="top" wrapText="1"/>
      <protection locked="0"/>
    </xf>
    <xf numFmtId="0" fontId="13" fillId="26" borderId="0" xfId="42" applyFont="1" applyFill="1" applyAlignment="1" applyProtection="1">
      <alignment vertical="top" wrapText="1"/>
      <protection locked="0"/>
    </xf>
    <xf numFmtId="0" fontId="15" fillId="26" borderId="0" xfId="42" applyFont="1" applyFill="1" applyAlignment="1" applyProtection="1">
      <alignment vertical="top" wrapText="1"/>
      <protection locked="0"/>
    </xf>
    <xf numFmtId="0" fontId="13" fillId="0" borderId="0" xfId="100" applyFont="1" applyFill="1" applyAlignment="1" applyProtection="1">
      <alignment vertical="top" wrapText="1"/>
      <protection locked="0"/>
    </xf>
    <xf numFmtId="0" fontId="13" fillId="0" borderId="0" xfId="100" applyFont="1" applyFill="1" applyBorder="1" applyAlignment="1" applyProtection="1">
      <alignment vertical="top" wrapText="1"/>
      <protection locked="0"/>
    </xf>
    <xf numFmtId="0" fontId="0" fillId="0" borderId="0" xfId="0" applyFont="1" applyFill="1" applyAlignment="1" applyProtection="1">
      <alignment vertical="top" wrapText="1"/>
      <protection locked="0"/>
    </xf>
    <xf numFmtId="0" fontId="13" fillId="0" borderId="0" xfId="0" applyFont="1" applyFill="1" applyBorder="1" applyAlignment="1" applyProtection="1">
      <alignment vertical="top" wrapText="1"/>
      <protection locked="0"/>
    </xf>
    <xf numFmtId="0" fontId="13" fillId="26" borderId="0" xfId="42" applyFont="1" applyFill="1" applyAlignment="1" applyProtection="1">
      <alignment horizontal="center" vertical="top" wrapText="1"/>
      <protection locked="0"/>
    </xf>
    <xf numFmtId="0" fontId="0" fillId="26" borderId="0" xfId="0" applyFill="1" applyAlignment="1" applyProtection="1">
      <alignment horizontal="center" vertical="top" wrapText="1"/>
      <protection locked="0"/>
    </xf>
    <xf numFmtId="0" fontId="15" fillId="26" borderId="0" xfId="0" applyFont="1" applyFill="1" applyAlignment="1" applyProtection="1">
      <alignment vertical="top" wrapText="1"/>
      <protection locked="0"/>
    </xf>
    <xf numFmtId="0" fontId="64" fillId="0" borderId="0" xfId="42" applyFont="1" applyFill="1" applyBorder="1"/>
    <xf numFmtId="0" fontId="0" fillId="40" borderId="0" xfId="0" applyFill="1"/>
    <xf numFmtId="0" fontId="67" fillId="40" borderId="0" xfId="0" applyFont="1" applyFill="1"/>
    <xf numFmtId="0" fontId="92" fillId="40" borderId="0" xfId="0" quotePrefix="1" applyFont="1" applyFill="1"/>
    <xf numFmtId="0" fontId="0" fillId="40" borderId="0" xfId="0" applyFill="1" applyAlignment="1">
      <alignment horizontal="left"/>
    </xf>
    <xf numFmtId="0" fontId="67" fillId="40" borderId="0" xfId="0" applyFont="1" applyFill="1" applyAlignment="1">
      <alignment horizontal="left"/>
    </xf>
    <xf numFmtId="0" fontId="91" fillId="40" borderId="0" xfId="0" applyFont="1" applyFill="1" applyAlignment="1">
      <alignment horizontal="left"/>
    </xf>
    <xf numFmtId="0" fontId="92" fillId="40" borderId="0" xfId="0" applyFont="1" applyFill="1" applyAlignment="1">
      <alignment horizontal="left"/>
    </xf>
    <xf numFmtId="0" fontId="15" fillId="26" borderId="0" xfId="0" applyFont="1" applyFill="1" applyAlignment="1">
      <alignment horizontal="left"/>
    </xf>
    <xf numFmtId="0" fontId="0" fillId="26" borderId="0" xfId="0" applyFill="1" applyAlignment="1">
      <alignment horizontal="left"/>
    </xf>
    <xf numFmtId="0" fontId="13" fillId="39" borderId="0" xfId="42" applyFont="1" applyFill="1" applyBorder="1"/>
    <xf numFmtId="0" fontId="13" fillId="39" borderId="0" xfId="42" applyFont="1" applyFill="1"/>
    <xf numFmtId="0" fontId="13" fillId="39" borderId="0" xfId="42" applyFont="1" applyFill="1" applyBorder="1" applyProtection="1"/>
    <xf numFmtId="0" fontId="22" fillId="39" borderId="0" xfId="0" applyFont="1" applyFill="1" applyBorder="1" applyAlignment="1">
      <alignment horizontal="right"/>
    </xf>
    <xf numFmtId="0" fontId="13" fillId="0" borderId="57" xfId="0" applyNumberFormat="1" applyFont="1" applyFill="1" applyBorder="1" applyAlignment="1">
      <alignment horizontal="left"/>
    </xf>
    <xf numFmtId="0" fontId="13" fillId="0" borderId="0" xfId="42"/>
    <xf numFmtId="0" fontId="64" fillId="28" borderId="0" xfId="42" applyFont="1" applyFill="1" applyBorder="1" applyAlignment="1">
      <alignment horizontal="left" vertical="center"/>
    </xf>
    <xf numFmtId="0" fontId="13" fillId="25" borderId="46" xfId="42" applyFill="1" applyBorder="1" applyAlignment="1">
      <alignment horizontal="center"/>
    </xf>
    <xf numFmtId="0" fontId="13" fillId="0" borderId="33" xfId="0" applyFont="1" applyFill="1" applyBorder="1" applyProtection="1"/>
    <xf numFmtId="0" fontId="13" fillId="0" borderId="0" xfId="0" applyFont="1" applyFill="1" applyBorder="1" applyProtection="1"/>
    <xf numFmtId="0" fontId="13" fillId="0" borderId="0" xfId="42"/>
    <xf numFmtId="0" fontId="67" fillId="0" borderId="0" xfId="42" applyFont="1" applyFill="1"/>
    <xf numFmtId="0" fontId="67" fillId="0" borderId="0" xfId="42" applyFont="1" applyFill="1" applyBorder="1"/>
    <xf numFmtId="0" fontId="77" fillId="28" borderId="0" xfId="0" applyFont="1" applyFill="1" applyBorder="1" applyAlignment="1">
      <alignment horizontal="center" vertical="center"/>
    </xf>
    <xf numFmtId="0" fontId="85" fillId="28" borderId="0" xfId="42" applyFont="1" applyFill="1" applyBorder="1" applyAlignment="1">
      <alignment horizontal="right" vertical="center"/>
    </xf>
    <xf numFmtId="0" fontId="73" fillId="28" borderId="0" xfId="42" applyFont="1" applyFill="1" applyBorder="1" applyAlignment="1">
      <alignment horizontal="right" vertical="center"/>
    </xf>
    <xf numFmtId="0" fontId="13" fillId="0" borderId="16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11" xfId="0" applyFont="1" applyBorder="1" applyAlignment="1">
      <alignment vertical="center" wrapText="1"/>
    </xf>
    <xf numFmtId="0" fontId="13" fillId="0" borderId="12" xfId="0" applyFont="1" applyBorder="1" applyAlignment="1">
      <alignment vertical="center" wrapText="1"/>
    </xf>
    <xf numFmtId="0" fontId="13" fillId="0" borderId="24" xfId="0" applyFont="1" applyBorder="1" applyAlignment="1">
      <alignment horizontal="center" vertical="center" wrapText="1"/>
    </xf>
    <xf numFmtId="0" fontId="13" fillId="0" borderId="22" xfId="0" applyFont="1" applyBorder="1" applyAlignment="1">
      <alignment vertical="center" wrapText="1"/>
    </xf>
    <xf numFmtId="0" fontId="13" fillId="0" borderId="22" xfId="0" applyFont="1" applyBorder="1" applyAlignment="1">
      <alignment horizontal="center" vertical="center" wrapText="1"/>
    </xf>
    <xf numFmtId="0" fontId="13" fillId="0" borderId="23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top" wrapText="1"/>
    </xf>
    <xf numFmtId="0" fontId="13" fillId="0" borderId="0" xfId="0" applyFont="1" applyAlignment="1">
      <alignment horizontal="center" vertical="top" wrapText="1"/>
    </xf>
    <xf numFmtId="0" fontId="13" fillId="0" borderId="26" xfId="0" applyFont="1" applyBorder="1" applyAlignment="1">
      <alignment vertical="top" wrapText="1"/>
    </xf>
    <xf numFmtId="0" fontId="13" fillId="0" borderId="0" xfId="0" applyFont="1" applyAlignment="1">
      <alignment horizontal="center" vertical="top"/>
    </xf>
    <xf numFmtId="0" fontId="13" fillId="0" borderId="15" xfId="0" applyFont="1" applyBorder="1" applyAlignment="1">
      <alignment horizontal="center" vertical="top" wrapText="1"/>
    </xf>
    <xf numFmtId="0" fontId="13" fillId="0" borderId="12" xfId="0" applyFont="1" applyBorder="1" applyAlignment="1">
      <alignment vertical="center"/>
    </xf>
    <xf numFmtId="0" fontId="13" fillId="0" borderId="17" xfId="0" applyFont="1" applyBorder="1" applyAlignment="1">
      <alignment vertical="center"/>
    </xf>
    <xf numFmtId="0" fontId="13" fillId="0" borderId="14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0" borderId="15" xfId="0" applyFont="1" applyBorder="1" applyAlignment="1">
      <alignment vertical="center" wrapText="1"/>
    </xf>
    <xf numFmtId="0" fontId="13" fillId="0" borderId="58" xfId="0" applyFont="1" applyBorder="1" applyAlignment="1">
      <alignment horizontal="center" vertical="top" wrapText="1"/>
    </xf>
    <xf numFmtId="0" fontId="13" fillId="0" borderId="58" xfId="0" applyFont="1" applyBorder="1" applyAlignment="1">
      <alignment vertical="top" wrapText="1"/>
    </xf>
    <xf numFmtId="0" fontId="13" fillId="0" borderId="0" xfId="0" applyFont="1" applyBorder="1" applyAlignment="1">
      <alignment vertical="top" wrapText="1"/>
    </xf>
    <xf numFmtId="0" fontId="13" fillId="0" borderId="0" xfId="0" applyFont="1" applyBorder="1" applyAlignment="1">
      <alignment horizontal="right" vertical="top" wrapText="1"/>
    </xf>
    <xf numFmtId="0" fontId="67" fillId="0" borderId="0" xfId="0" applyFont="1"/>
    <xf numFmtId="0" fontId="13" fillId="0" borderId="0" xfId="42"/>
    <xf numFmtId="0" fontId="13" fillId="0" borderId="0" xfId="42"/>
    <xf numFmtId="0" fontId="13" fillId="0" borderId="0" xfId="42"/>
    <xf numFmtId="14" fontId="13" fillId="26" borderId="0" xfId="0" applyNumberFormat="1" applyFont="1" applyFill="1" applyAlignment="1">
      <alignment horizontal="right"/>
    </xf>
    <xf numFmtId="14" fontId="0" fillId="26" borderId="0" xfId="0" applyNumberFormat="1" applyFill="1" applyAlignment="1">
      <alignment horizontal="right"/>
    </xf>
    <xf numFmtId="175" fontId="13" fillId="0" borderId="0" xfId="0" applyNumberFormat="1" applyFont="1" applyAlignment="1">
      <alignment horizontal="left"/>
    </xf>
    <xf numFmtId="0" fontId="0" fillId="26" borderId="0" xfId="0" applyFill="1" applyAlignment="1" applyProtection="1">
      <alignment horizontal="left" vertical="top" wrapText="1"/>
      <protection locked="0"/>
    </xf>
    <xf numFmtId="0" fontId="13" fillId="0" borderId="0" xfId="42" applyFont="1" applyFill="1" applyAlignment="1" applyProtection="1">
      <alignment vertical="top"/>
      <protection locked="0"/>
    </xf>
    <xf numFmtId="0" fontId="13" fillId="0" borderId="0" xfId="42" applyFont="1" applyFill="1" applyAlignment="1" applyProtection="1">
      <alignment vertical="top"/>
      <protection locked="0"/>
    </xf>
    <xf numFmtId="0" fontId="13" fillId="0" borderId="68" xfId="519" applyFont="1" applyFill="1" applyBorder="1" applyProtection="1">
      <protection locked="0"/>
    </xf>
    <xf numFmtId="0" fontId="50" fillId="0" borderId="68" xfId="519" applyFont="1" applyFill="1" applyBorder="1" applyProtection="1">
      <protection locked="0"/>
    </xf>
    <xf numFmtId="0" fontId="50" fillId="31" borderId="71" xfId="0" applyFont="1" applyFill="1" applyBorder="1" applyAlignment="1"/>
    <xf numFmtId="0" fontId="50" fillId="31" borderId="0" xfId="0" applyFont="1" applyFill="1" applyBorder="1" applyAlignment="1"/>
    <xf numFmtId="0" fontId="50" fillId="31" borderId="64" xfId="0" applyFont="1" applyFill="1" applyBorder="1" applyAlignment="1"/>
    <xf numFmtId="0" fontId="80" fillId="35" borderId="0" xfId="0" applyFont="1" applyFill="1" applyBorder="1" applyProtection="1"/>
    <xf numFmtId="0" fontId="50" fillId="31" borderId="0" xfId="0" applyFont="1" applyFill="1" applyBorder="1" applyAlignment="1">
      <alignment horizontal="left" vertical="top" wrapText="1"/>
    </xf>
    <xf numFmtId="0" fontId="50" fillId="31" borderId="0" xfId="0" applyFont="1" applyFill="1" applyBorder="1" applyAlignment="1" applyProtection="1">
      <alignment horizontal="left"/>
      <protection locked="0"/>
    </xf>
    <xf numFmtId="0" fontId="23" fillId="28" borderId="0" xfId="0" applyFont="1" applyFill="1" applyBorder="1" applyAlignment="1" applyProtection="1">
      <alignment horizontal="left"/>
      <protection locked="0"/>
    </xf>
    <xf numFmtId="0" fontId="50" fillId="31" borderId="0" xfId="0" applyFont="1" applyFill="1" applyBorder="1" applyAlignment="1">
      <alignment horizontal="left"/>
    </xf>
    <xf numFmtId="0" fontId="23" fillId="28" borderId="0" xfId="0" applyFont="1" applyFill="1" applyBorder="1" applyAlignment="1">
      <alignment horizontal="left"/>
    </xf>
    <xf numFmtId="0" fontId="50" fillId="31" borderId="0" xfId="42" applyFont="1" applyFill="1" applyBorder="1" applyAlignment="1">
      <alignment horizontal="left" vertical="top"/>
    </xf>
    <xf numFmtId="0" fontId="13" fillId="28" borderId="0" xfId="42" applyFont="1" applyFill="1" applyBorder="1" applyAlignment="1">
      <alignment horizontal="left" vertical="top"/>
    </xf>
    <xf numFmtId="0" fontId="50" fillId="31" borderId="0" xfId="43" applyFont="1" applyFill="1" applyBorder="1" applyAlignment="1">
      <alignment horizontal="left" vertical="top"/>
    </xf>
    <xf numFmtId="0" fontId="13" fillId="28" borderId="0" xfId="43" applyFill="1" applyBorder="1" applyAlignment="1">
      <alignment horizontal="left" vertical="top"/>
    </xf>
    <xf numFmtId="0" fontId="80" fillId="37" borderId="0" xfId="0" applyFont="1" applyFill="1" applyBorder="1" applyAlignment="1">
      <alignment vertical="top" wrapText="1"/>
    </xf>
    <xf numFmtId="0" fontId="80" fillId="37" borderId="0" xfId="0" applyFont="1" applyFill="1" applyBorder="1" applyAlignment="1">
      <alignment horizontal="left" vertical="top" wrapText="1"/>
    </xf>
    <xf numFmtId="0" fontId="23" fillId="28" borderId="0" xfId="0" applyFont="1" applyFill="1" applyBorder="1" applyAlignment="1">
      <alignment wrapText="1"/>
    </xf>
    <xf numFmtId="0" fontId="50" fillId="31" borderId="71" xfId="0" applyFont="1" applyFill="1" applyBorder="1" applyAlignment="1" applyProtection="1">
      <alignment horizontal="left" vertical="center" wrapText="1"/>
    </xf>
    <xf numFmtId="0" fontId="50" fillId="31" borderId="64" xfId="0" applyFont="1" applyFill="1" applyBorder="1" applyAlignment="1" applyProtection="1">
      <alignment horizontal="left" vertical="center" wrapText="1"/>
    </xf>
    <xf numFmtId="0" fontId="22" fillId="0" borderId="0" xfId="0" applyFont="1" applyFill="1" applyBorder="1" applyAlignment="1">
      <alignment horizontal="left"/>
    </xf>
    <xf numFmtId="0" fontId="22" fillId="0" borderId="23" xfId="0" applyFont="1" applyFill="1" applyBorder="1" applyAlignment="1" applyProtection="1">
      <alignment horizontal="left" shrinkToFit="1"/>
      <protection locked="0"/>
    </xf>
    <xf numFmtId="0" fontId="22" fillId="0" borderId="23" xfId="0" applyFont="1" applyBorder="1" applyAlignment="1">
      <alignment shrinkToFit="1"/>
    </xf>
    <xf numFmtId="0" fontId="22" fillId="0" borderId="0" xfId="0" applyFont="1" applyFill="1" applyBorder="1" applyAlignment="1">
      <alignment horizontal="left" vertical="top" wrapText="1"/>
    </xf>
    <xf numFmtId="0" fontId="22" fillId="0" borderId="0" xfId="0" applyFont="1" applyBorder="1" applyAlignment="1">
      <alignment horizontal="left" vertical="top" wrapText="1"/>
    </xf>
    <xf numFmtId="0" fontId="22" fillId="0" borderId="23" xfId="0" applyFont="1" applyBorder="1" applyAlignment="1">
      <alignment horizontal="left" vertical="top" wrapText="1"/>
    </xf>
    <xf numFmtId="0" fontId="22" fillId="0" borderId="0" xfId="0" applyFont="1" applyAlignment="1">
      <alignment horizontal="left" vertical="top" wrapText="1"/>
    </xf>
    <xf numFmtId="0" fontId="22" fillId="0" borderId="0" xfId="0" applyFont="1" applyFill="1" applyBorder="1" applyAlignment="1">
      <alignment horizontal="left" vertical="top" shrinkToFit="1"/>
    </xf>
    <xf numFmtId="0" fontId="22" fillId="0" borderId="0" xfId="0" applyFont="1" applyBorder="1" applyAlignment="1">
      <alignment shrinkToFit="1"/>
    </xf>
    <xf numFmtId="0" fontId="22" fillId="0" borderId="22" xfId="0" applyFont="1" applyFill="1" applyBorder="1" applyAlignment="1">
      <alignment horizontal="left" vertical="top" shrinkToFit="1"/>
    </xf>
    <xf numFmtId="0" fontId="22" fillId="0" borderId="22" xfId="0" applyFont="1" applyBorder="1" applyAlignment="1">
      <alignment shrinkToFit="1"/>
    </xf>
    <xf numFmtId="0" fontId="22" fillId="0" borderId="0" xfId="0" applyFont="1" applyAlignment="1">
      <alignment shrinkToFit="1"/>
    </xf>
    <xf numFmtId="0" fontId="22" fillId="0" borderId="0" xfId="0" applyFont="1" applyBorder="1" applyAlignment="1">
      <alignment horizontal="left" vertical="top" shrinkToFit="1"/>
    </xf>
    <xf numFmtId="0" fontId="23" fillId="0" borderId="23" xfId="0" applyFont="1" applyBorder="1" applyAlignment="1">
      <alignment horizontal="left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13" fillId="0" borderId="10" xfId="0" applyFont="1" applyBorder="1" applyAlignment="1">
      <alignment vertical="top" wrapText="1"/>
    </xf>
    <xf numFmtId="0" fontId="13" fillId="0" borderId="11" xfId="0" applyFont="1" applyBorder="1" applyAlignment="1">
      <alignment vertical="top" wrapText="1"/>
    </xf>
    <xf numFmtId="0" fontId="13" fillId="0" borderId="12" xfId="0" applyFont="1" applyBorder="1" applyAlignment="1">
      <alignment vertical="top" wrapText="1"/>
    </xf>
    <xf numFmtId="0" fontId="13" fillId="0" borderId="27" xfId="0" applyFont="1" applyBorder="1" applyAlignment="1">
      <alignment horizontal="center" vertical="top" wrapText="1"/>
    </xf>
    <xf numFmtId="0" fontId="13" fillId="0" borderId="28" xfId="0" applyFont="1" applyBorder="1" applyAlignment="1">
      <alignment horizontal="center" vertical="top" wrapText="1"/>
    </xf>
    <xf numFmtId="0" fontId="13" fillId="0" borderId="36" xfId="0" applyFont="1" applyBorder="1" applyAlignment="1">
      <alignment horizontal="center" vertical="top" wrapText="1"/>
    </xf>
    <xf numFmtId="0" fontId="13" fillId="0" borderId="26" xfId="0" applyFont="1" applyBorder="1" applyAlignment="1">
      <alignment horizontal="center" vertical="top" wrapText="1"/>
    </xf>
    <xf numFmtId="0" fontId="13" fillId="0" borderId="22" xfId="0" applyFont="1" applyBorder="1" applyAlignment="1">
      <alignment horizontal="right" vertical="top" wrapText="1"/>
    </xf>
    <xf numFmtId="0" fontId="13" fillId="0" borderId="11" xfId="0" applyFont="1" applyBorder="1" applyAlignment="1">
      <alignment horizontal="left" vertical="center" wrapText="1"/>
    </xf>
    <xf numFmtId="0" fontId="13" fillId="0" borderId="12" xfId="0" applyFont="1" applyBorder="1" applyAlignment="1">
      <alignment horizontal="left" vertical="center" wrapText="1"/>
    </xf>
    <xf numFmtId="0" fontId="13" fillId="0" borderId="37" xfId="0" applyFont="1" applyBorder="1" applyAlignment="1">
      <alignment vertical="top" wrapText="1"/>
    </xf>
    <xf numFmtId="0" fontId="13" fillId="0" borderId="38" xfId="0" applyFont="1" applyBorder="1" applyAlignment="1">
      <alignment vertical="top" wrapText="1"/>
    </xf>
    <xf numFmtId="0" fontId="13" fillId="0" borderId="20" xfId="0" applyFont="1" applyBorder="1" applyAlignment="1">
      <alignment vertical="top" wrapText="1"/>
    </xf>
    <xf numFmtId="0" fontId="13" fillId="0" borderId="37" xfId="0" applyFont="1" applyBorder="1" applyAlignment="1">
      <alignment horizontal="center" vertical="top" wrapText="1"/>
    </xf>
    <xf numFmtId="0" fontId="13" fillId="0" borderId="38" xfId="0" applyFont="1" applyBorder="1" applyAlignment="1">
      <alignment horizontal="center" vertical="top" wrapText="1"/>
    </xf>
    <xf numFmtId="0" fontId="13" fillId="0" borderId="20" xfId="0" applyFont="1" applyBorder="1" applyAlignment="1">
      <alignment horizontal="center" vertical="top" wrapText="1"/>
    </xf>
    <xf numFmtId="0" fontId="13" fillId="0" borderId="2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15" fillId="0" borderId="22" xfId="0" applyFont="1" applyBorder="1" applyAlignment="1">
      <alignment vertical="top" wrapText="1"/>
    </xf>
    <xf numFmtId="0" fontId="15" fillId="0" borderId="23" xfId="0" applyFont="1" applyBorder="1" applyAlignment="1">
      <alignment vertical="top" wrapText="1"/>
    </xf>
    <xf numFmtId="0" fontId="13" fillId="0" borderId="27" xfId="0" applyFont="1" applyBorder="1" applyAlignment="1">
      <alignment vertical="top" wrapText="1"/>
    </xf>
    <xf numFmtId="0" fontId="13" fillId="0" borderId="28" xfId="0" applyFont="1" applyBorder="1" applyAlignment="1">
      <alignment vertical="top" wrapText="1"/>
    </xf>
    <xf numFmtId="0" fontId="13" fillId="0" borderId="11" xfId="0" applyFont="1" applyBorder="1" applyAlignment="1">
      <alignment vertical="center" wrapText="1"/>
    </xf>
    <xf numFmtId="0" fontId="13" fillId="0" borderId="12" xfId="0" applyFont="1" applyBorder="1" applyAlignment="1">
      <alignment vertical="center" wrapText="1"/>
    </xf>
    <xf numFmtId="0" fontId="24" fillId="0" borderId="37" xfId="0" applyFont="1" applyBorder="1" applyAlignment="1">
      <alignment vertical="top" wrapText="1"/>
    </xf>
    <xf numFmtId="0" fontId="24" fillId="0" borderId="38" xfId="0" applyFont="1" applyBorder="1" applyAlignment="1">
      <alignment vertical="top" wrapText="1"/>
    </xf>
    <xf numFmtId="0" fontId="24" fillId="0" borderId="20" xfId="0" applyFont="1" applyBorder="1" applyAlignment="1">
      <alignment vertical="top" wrapText="1"/>
    </xf>
    <xf numFmtId="0" fontId="24" fillId="0" borderId="10" xfId="0" applyFont="1" applyBorder="1" applyAlignment="1">
      <alignment vertical="top" wrapText="1"/>
    </xf>
    <xf numFmtId="0" fontId="24" fillId="0" borderId="11" xfId="0" applyFont="1" applyBorder="1" applyAlignment="1">
      <alignment vertical="top" wrapText="1"/>
    </xf>
    <xf numFmtId="0" fontId="24" fillId="0" borderId="12" xfId="0" applyFont="1" applyBorder="1" applyAlignment="1">
      <alignment vertical="top" wrapText="1"/>
    </xf>
    <xf numFmtId="0" fontId="86" fillId="31" borderId="0" xfId="0" applyFont="1" applyFill="1" applyBorder="1" applyAlignment="1">
      <alignment horizontal="left" vertical="center" wrapText="1"/>
    </xf>
    <xf numFmtId="0" fontId="31" fillId="28" borderId="0" xfId="0" applyFont="1" applyFill="1" applyBorder="1" applyAlignment="1">
      <alignment horizontal="left" vertical="center" wrapText="1"/>
    </xf>
    <xf numFmtId="0" fontId="89" fillId="35" borderId="0" xfId="42" applyFont="1" applyFill="1" applyBorder="1" applyAlignment="1">
      <alignment horizontal="center" vertical="center"/>
    </xf>
    <xf numFmtId="0" fontId="50" fillId="31" borderId="0" xfId="42" applyFont="1" applyFill="1" applyBorder="1" applyAlignment="1">
      <alignment horizontal="left" vertical="center"/>
    </xf>
    <xf numFmtId="0" fontId="50" fillId="31" borderId="71" xfId="42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left" vertical="center"/>
    </xf>
    <xf numFmtId="0" fontId="13" fillId="0" borderId="45" xfId="42" applyFill="1" applyBorder="1" applyAlignment="1">
      <alignment shrinkToFit="1"/>
    </xf>
    <xf numFmtId="0" fontId="0" fillId="0" borderId="46" xfId="0" applyBorder="1" applyAlignment="1">
      <alignment shrinkToFit="1"/>
    </xf>
    <xf numFmtId="15" fontId="15" fillId="0" borderId="0" xfId="42" applyNumberFormat="1" applyFont="1" applyFill="1" applyAlignment="1">
      <alignment horizontal="left"/>
    </xf>
    <xf numFmtId="21" fontId="13" fillId="0" borderId="0" xfId="42" applyNumberFormat="1" applyFill="1" applyAlignment="1">
      <alignment horizontal="left"/>
    </xf>
    <xf numFmtId="0" fontId="13" fillId="0" borderId="52" xfId="42" applyFill="1" applyBorder="1" applyAlignment="1">
      <alignment horizontal="left" wrapText="1"/>
    </xf>
    <xf numFmtId="0" fontId="13" fillId="0" borderId="53" xfId="42" applyFill="1" applyBorder="1" applyAlignment="1">
      <alignment horizontal="left" wrapText="1"/>
    </xf>
    <xf numFmtId="0" fontId="13" fillId="0" borderId="72" xfId="42" applyFill="1" applyBorder="1" applyAlignment="1">
      <alignment wrapText="1"/>
    </xf>
    <xf numFmtId="0" fontId="13" fillId="0" borderId="73" xfId="42" applyFill="1" applyBorder="1" applyAlignment="1">
      <alignment wrapText="1"/>
    </xf>
    <xf numFmtId="0" fontId="0" fillId="0" borderId="0" xfId="0" applyFill="1" applyAlignment="1" applyProtection="1">
      <alignment horizontal="left" vertical="top" wrapText="1"/>
      <protection locked="0"/>
    </xf>
    <xf numFmtId="0" fontId="0" fillId="0" borderId="0" xfId="0" applyFill="1" applyBorder="1" applyAlignment="1">
      <alignment vertical="top"/>
    </xf>
    <xf numFmtId="0" fontId="50" fillId="31" borderId="0" xfId="42" applyFont="1" applyFill="1" applyBorder="1"/>
    <xf numFmtId="0" fontId="13" fillId="28" borderId="0" xfId="42" applyFont="1" applyFill="1" applyBorder="1"/>
    <xf numFmtId="0" fontId="23" fillId="0" borderId="0" xfId="0" applyFont="1" applyFill="1" applyBorder="1" applyAlignment="1" applyProtection="1">
      <alignment horizontal="left" vertical="center" wrapText="1"/>
    </xf>
    <xf numFmtId="0" fontId="23" fillId="0" borderId="34" xfId="0" applyFont="1" applyFill="1" applyBorder="1" applyAlignment="1" applyProtection="1">
      <alignment horizontal="left" vertical="center" wrapText="1"/>
    </xf>
    <xf numFmtId="0" fontId="15" fillId="0" borderId="23" xfId="42" applyFont="1" applyBorder="1" applyAlignment="1">
      <alignment horizontal="left"/>
    </xf>
    <xf numFmtId="14" fontId="13" fillId="0" borderId="0" xfId="42" applyNumberFormat="1" applyAlignment="1"/>
    <xf numFmtId="0" fontId="13" fillId="0" borderId="0" xfId="42" applyAlignment="1"/>
    <xf numFmtId="0" fontId="15" fillId="0" borderId="0" xfId="42" applyFont="1" applyAlignment="1">
      <alignment horizontal="left"/>
    </xf>
    <xf numFmtId="166" fontId="15" fillId="0" borderId="0" xfId="42" applyNumberFormat="1" applyFont="1" applyAlignment="1">
      <alignment horizontal="left"/>
    </xf>
    <xf numFmtId="166" fontId="13" fillId="0" borderId="0" xfId="42" applyNumberFormat="1" applyAlignment="1">
      <alignment horizontal="left"/>
    </xf>
    <xf numFmtId="2" fontId="13" fillId="0" borderId="0" xfId="42" applyNumberFormat="1" applyAlignment="1"/>
    <xf numFmtId="0" fontId="13" fillId="0" borderId="15" xfId="42" applyBorder="1" applyAlignment="1"/>
    <xf numFmtId="0" fontId="13" fillId="0" borderId="0" xfId="42" applyFont="1" applyAlignment="1">
      <alignment shrinkToFit="1"/>
    </xf>
    <xf numFmtId="0" fontId="0" fillId="0" borderId="0" xfId="0" applyAlignment="1">
      <alignment shrinkToFit="1"/>
    </xf>
    <xf numFmtId="0" fontId="13" fillId="0" borderId="0" xfId="42" applyFont="1" applyAlignment="1">
      <alignment horizontal="left" shrinkToFit="1"/>
    </xf>
    <xf numFmtId="0" fontId="13" fillId="0" borderId="0" xfId="42" applyFont="1" applyAlignment="1">
      <alignment horizontal="right"/>
    </xf>
    <xf numFmtId="0" fontId="13" fillId="0" borderId="0" xfId="42" applyFont="1" applyAlignment="1">
      <alignment horizontal="left"/>
    </xf>
    <xf numFmtId="0" fontId="15" fillId="0" borderId="0" xfId="42" applyFont="1" applyAlignment="1">
      <alignment horizontal="left" shrinkToFit="1"/>
    </xf>
    <xf numFmtId="14" fontId="13" fillId="0" borderId="0" xfId="42" applyNumberFormat="1" applyFont="1" applyAlignment="1">
      <alignment horizontal="left"/>
    </xf>
    <xf numFmtId="0" fontId="97" fillId="0" borderId="0" xfId="42" applyFont="1" applyFill="1" applyBorder="1" applyAlignment="1">
      <alignment horizontal="left" vertical="top" wrapText="1"/>
    </xf>
    <xf numFmtId="0" fontId="13" fillId="0" borderId="24" xfId="42" applyFont="1" applyFill="1" applyBorder="1" applyAlignment="1">
      <alignment horizontal="left" vertical="top" wrapText="1"/>
    </xf>
    <xf numFmtId="0" fontId="13" fillId="0" borderId="0" xfId="42"/>
    <xf numFmtId="0" fontId="13" fillId="0" borderId="0" xfId="42" applyAlignment="1">
      <alignment horizontal="left"/>
    </xf>
    <xf numFmtId="0" fontId="15" fillId="0" borderId="24" xfId="42" applyFont="1" applyFill="1" applyBorder="1" applyAlignment="1">
      <alignment horizontal="left"/>
    </xf>
    <xf numFmtId="0" fontId="22" fillId="0" borderId="24" xfId="42" applyFont="1" applyFill="1" applyBorder="1" applyAlignment="1">
      <alignment horizontal="left"/>
    </xf>
    <xf numFmtId="0" fontId="15" fillId="25" borderId="45" xfId="42" applyFont="1" applyFill="1" applyBorder="1" applyAlignment="1">
      <alignment shrinkToFit="1"/>
    </xf>
    <xf numFmtId="172" fontId="15" fillId="0" borderId="0" xfId="42" applyNumberFormat="1" applyFont="1" applyAlignment="1">
      <alignment horizontal="left"/>
    </xf>
    <xf numFmtId="0" fontId="15" fillId="0" borderId="0" xfId="42" applyFont="1"/>
    <xf numFmtId="174" fontId="13" fillId="0" borderId="0" xfId="42" applyNumberFormat="1" applyAlignment="1">
      <alignment horizontal="left"/>
    </xf>
    <xf numFmtId="0" fontId="23" fillId="0" borderId="13" xfId="0" applyFont="1" applyBorder="1" applyAlignment="1">
      <alignment horizontal="center"/>
    </xf>
  </cellXfs>
  <cellStyles count="898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1 6" xfId="520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2 6" xfId="521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3 6" xfId="522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4 6" xfId="523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5 6" xfId="524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20% - Accent6 6" xfId="525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1 6" xfId="526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2 6" xfId="527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3 6" xfId="528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4 6" xfId="529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5 6" xfId="530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40% - Accent6 6" xfId="531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1 6" xfId="532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2 6" xfId="533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3 6" xfId="534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4 6" xfId="535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5 6" xfId="536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60% - Accent6 6" xfId="537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1 6" xfId="538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2 6" xfId="539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3 6" xfId="540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4 6" xfId="541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5 6" xfId="542"/>
    <cellStyle name="Accent6" xfId="24" builtinId="49" customBuiltin="1"/>
    <cellStyle name="Accent6 2" xfId="68"/>
    <cellStyle name="Accent6 3" xfId="95"/>
    <cellStyle name="Accent6 4" xfId="124"/>
    <cellStyle name="Accent6 5" xfId="231"/>
    <cellStyle name="Accent6 6" xfId="543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2 2 2" xfId="633"/>
    <cellStyle name="Standaard 10 2 2 2 3" xfId="632"/>
    <cellStyle name="Standaard 10 2 2 3" xfId="249"/>
    <cellStyle name="Standaard 10 2 2 3 2" xfId="634"/>
    <cellStyle name="Standaard 10 2 2 4" xfId="620"/>
    <cellStyle name="Standaard 10 2 3" xfId="250"/>
    <cellStyle name="Standaard 10 2 3 2" xfId="251"/>
    <cellStyle name="Standaard 10 2 3 2 2" xfId="636"/>
    <cellStyle name="Standaard 10 2 3 3" xfId="635"/>
    <cellStyle name="Standaard 10 2 4" xfId="252"/>
    <cellStyle name="Standaard 10 2 4 2" xfId="637"/>
    <cellStyle name="Standaard 10 2 5" xfId="576"/>
    <cellStyle name="Standaard 10 3" xfId="177"/>
    <cellStyle name="Standaard 10 3 2" xfId="253"/>
    <cellStyle name="Standaard 10 3 2 2" xfId="254"/>
    <cellStyle name="Standaard 10 3 2 2 2" xfId="639"/>
    <cellStyle name="Standaard 10 3 2 3" xfId="638"/>
    <cellStyle name="Standaard 10 3 3" xfId="255"/>
    <cellStyle name="Standaard 10 3 3 2" xfId="640"/>
    <cellStyle name="Standaard 10 3 4" xfId="601"/>
    <cellStyle name="Standaard 10 4" xfId="256"/>
    <cellStyle name="Standaard 10 4 2" xfId="257"/>
    <cellStyle name="Standaard 10 4 2 2" xfId="642"/>
    <cellStyle name="Standaard 10 4 3" xfId="641"/>
    <cellStyle name="Standaard 10 5" xfId="258"/>
    <cellStyle name="Standaard 10 5 2" xfId="643"/>
    <cellStyle name="Standaard 10 6" xfId="557"/>
    <cellStyle name="Standaard 11" xfId="158"/>
    <cellStyle name="Standaard 11 2" xfId="202"/>
    <cellStyle name="Standaard 11 2 2" xfId="259"/>
    <cellStyle name="Standaard 11 2 2 2" xfId="260"/>
    <cellStyle name="Standaard 11 2 2 2 2" xfId="645"/>
    <cellStyle name="Standaard 11 2 2 3" xfId="644"/>
    <cellStyle name="Standaard 11 2 3" xfId="261"/>
    <cellStyle name="Standaard 11 2 3 2" xfId="646"/>
    <cellStyle name="Standaard 11 2 4" xfId="626"/>
    <cellStyle name="Standaard 11 3" xfId="262"/>
    <cellStyle name="Standaard 11 3 2" xfId="263"/>
    <cellStyle name="Standaard 11 3 2 2" xfId="648"/>
    <cellStyle name="Standaard 11 3 3" xfId="647"/>
    <cellStyle name="Standaard 11 4" xfId="264"/>
    <cellStyle name="Standaard 11 4 2" xfId="649"/>
    <cellStyle name="Standaard 11 5" xfId="582"/>
    <cellStyle name="Standaard 12" xfId="265"/>
    <cellStyle name="Standaard 13" xfId="266"/>
    <cellStyle name="Standaard 13 2" xfId="650"/>
    <cellStyle name="Standaard 14" xfId="267"/>
    <cellStyle name="Standaard 15" xfId="519"/>
    <cellStyle name="Standaard 15 2" xfId="897"/>
    <cellStyle name="Standaard 16" xfId="518"/>
    <cellStyle name="Standaard 2" xfId="42"/>
    <cellStyle name="Standaard 3" xfId="44"/>
    <cellStyle name="Standaard 3 10" xfId="268"/>
    <cellStyle name="Standaard 3 10 2" xfId="651"/>
    <cellStyle name="Standaard 3 11" xfId="544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2 2 2" xfId="653"/>
    <cellStyle name="Standaard 3 2 2 2 2 2 3" xfId="652"/>
    <cellStyle name="Standaard 3 2 2 2 2 3" xfId="271"/>
    <cellStyle name="Standaard 3 2 2 2 2 3 2" xfId="654"/>
    <cellStyle name="Standaard 3 2 2 2 2 4" xfId="616"/>
    <cellStyle name="Standaard 3 2 2 2 3" xfId="272"/>
    <cellStyle name="Standaard 3 2 2 2 3 2" xfId="273"/>
    <cellStyle name="Standaard 3 2 2 2 3 2 2" xfId="656"/>
    <cellStyle name="Standaard 3 2 2 2 3 3" xfId="655"/>
    <cellStyle name="Standaard 3 2 2 2 4" xfId="274"/>
    <cellStyle name="Standaard 3 2 2 2 4 2" xfId="657"/>
    <cellStyle name="Standaard 3 2 2 2 5" xfId="572"/>
    <cellStyle name="Standaard 3 2 2 3" xfId="173"/>
    <cellStyle name="Standaard 3 2 2 3 2" xfId="275"/>
    <cellStyle name="Standaard 3 2 2 3 2 2" xfId="276"/>
    <cellStyle name="Standaard 3 2 2 3 2 2 2" xfId="659"/>
    <cellStyle name="Standaard 3 2 2 3 2 3" xfId="658"/>
    <cellStyle name="Standaard 3 2 2 3 3" xfId="277"/>
    <cellStyle name="Standaard 3 2 2 3 3 2" xfId="660"/>
    <cellStyle name="Standaard 3 2 2 3 4" xfId="597"/>
    <cellStyle name="Standaard 3 2 2 4" xfId="278"/>
    <cellStyle name="Standaard 3 2 2 4 2" xfId="279"/>
    <cellStyle name="Standaard 3 2 2 4 2 2" xfId="662"/>
    <cellStyle name="Standaard 3 2 2 4 3" xfId="661"/>
    <cellStyle name="Standaard 3 2 2 5" xfId="280"/>
    <cellStyle name="Standaard 3 2 2 5 2" xfId="663"/>
    <cellStyle name="Standaard 3 2 2 6" xfId="553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2 2 2" xfId="665"/>
    <cellStyle name="Standaard 3 2 3 2 2 2 3" xfId="664"/>
    <cellStyle name="Standaard 3 2 3 2 2 3" xfId="283"/>
    <cellStyle name="Standaard 3 2 3 2 2 3 2" xfId="666"/>
    <cellStyle name="Standaard 3 2 3 2 2 4" xfId="624"/>
    <cellStyle name="Standaard 3 2 3 2 3" xfId="284"/>
    <cellStyle name="Standaard 3 2 3 2 3 2" xfId="285"/>
    <cellStyle name="Standaard 3 2 3 2 3 2 2" xfId="668"/>
    <cellStyle name="Standaard 3 2 3 2 3 3" xfId="667"/>
    <cellStyle name="Standaard 3 2 3 2 4" xfId="286"/>
    <cellStyle name="Standaard 3 2 3 2 4 2" xfId="669"/>
    <cellStyle name="Standaard 3 2 3 2 5" xfId="580"/>
    <cellStyle name="Standaard 3 2 3 3" xfId="181"/>
    <cellStyle name="Standaard 3 2 3 3 2" xfId="287"/>
    <cellStyle name="Standaard 3 2 3 3 2 2" xfId="288"/>
    <cellStyle name="Standaard 3 2 3 3 2 2 2" xfId="671"/>
    <cellStyle name="Standaard 3 2 3 3 2 3" xfId="670"/>
    <cellStyle name="Standaard 3 2 3 3 3" xfId="289"/>
    <cellStyle name="Standaard 3 2 3 3 3 2" xfId="672"/>
    <cellStyle name="Standaard 3 2 3 3 4" xfId="605"/>
    <cellStyle name="Standaard 3 2 3 4" xfId="290"/>
    <cellStyle name="Standaard 3 2 3 4 2" xfId="291"/>
    <cellStyle name="Standaard 3 2 3 4 2 2" xfId="674"/>
    <cellStyle name="Standaard 3 2 3 4 3" xfId="673"/>
    <cellStyle name="Standaard 3 2 3 5" xfId="292"/>
    <cellStyle name="Standaard 3 2 3 5 2" xfId="675"/>
    <cellStyle name="Standaard 3 2 3 6" xfId="561"/>
    <cellStyle name="Standaard 3 2 4" xfId="142"/>
    <cellStyle name="Standaard 3 2 4 2" xfId="186"/>
    <cellStyle name="Standaard 3 2 4 2 2" xfId="293"/>
    <cellStyle name="Standaard 3 2 4 2 2 2" xfId="294"/>
    <cellStyle name="Standaard 3 2 4 2 2 2 2" xfId="677"/>
    <cellStyle name="Standaard 3 2 4 2 2 3" xfId="676"/>
    <cellStyle name="Standaard 3 2 4 2 3" xfId="295"/>
    <cellStyle name="Standaard 3 2 4 2 3 2" xfId="678"/>
    <cellStyle name="Standaard 3 2 4 2 4" xfId="610"/>
    <cellStyle name="Standaard 3 2 4 3" xfId="296"/>
    <cellStyle name="Standaard 3 2 4 3 2" xfId="297"/>
    <cellStyle name="Standaard 3 2 4 3 2 2" xfId="680"/>
    <cellStyle name="Standaard 3 2 4 3 3" xfId="679"/>
    <cellStyle name="Standaard 3 2 4 4" xfId="298"/>
    <cellStyle name="Standaard 3 2 4 4 2" xfId="681"/>
    <cellStyle name="Standaard 3 2 4 5" xfId="566"/>
    <cellStyle name="Standaard 3 2 5" xfId="162"/>
    <cellStyle name="Standaard 3 2 5 2" xfId="206"/>
    <cellStyle name="Standaard 3 2 5 2 2" xfId="299"/>
    <cellStyle name="Standaard 3 2 5 2 2 2" xfId="300"/>
    <cellStyle name="Standaard 3 2 5 2 2 2 2" xfId="683"/>
    <cellStyle name="Standaard 3 2 5 2 2 3" xfId="682"/>
    <cellStyle name="Standaard 3 2 5 2 3" xfId="301"/>
    <cellStyle name="Standaard 3 2 5 2 3 2" xfId="684"/>
    <cellStyle name="Standaard 3 2 5 2 4" xfId="630"/>
    <cellStyle name="Standaard 3 2 5 3" xfId="302"/>
    <cellStyle name="Standaard 3 2 5 3 2" xfId="303"/>
    <cellStyle name="Standaard 3 2 5 3 2 2" xfId="686"/>
    <cellStyle name="Standaard 3 2 5 3 3" xfId="685"/>
    <cellStyle name="Standaard 3 2 5 4" xfId="304"/>
    <cellStyle name="Standaard 3 2 5 4 2" xfId="687"/>
    <cellStyle name="Standaard 3 2 5 5" xfId="586"/>
    <cellStyle name="Standaard 3 2 6" xfId="167"/>
    <cellStyle name="Standaard 3 2 6 2" xfId="305"/>
    <cellStyle name="Standaard 3 2 6 2 2" xfId="306"/>
    <cellStyle name="Standaard 3 2 6 2 2 2" xfId="689"/>
    <cellStyle name="Standaard 3 2 6 2 3" xfId="688"/>
    <cellStyle name="Standaard 3 2 6 3" xfId="307"/>
    <cellStyle name="Standaard 3 2 6 3 2" xfId="690"/>
    <cellStyle name="Standaard 3 2 6 4" xfId="591"/>
    <cellStyle name="Standaard 3 2 7" xfId="308"/>
    <cellStyle name="Standaard 3 2 7 2" xfId="309"/>
    <cellStyle name="Standaard 3 2 7 2 2" xfId="692"/>
    <cellStyle name="Standaard 3 2 7 3" xfId="691"/>
    <cellStyle name="Standaard 3 2 8" xfId="310"/>
    <cellStyle name="Standaard 3 2 8 2" xfId="693"/>
    <cellStyle name="Standaard 3 2 9" xfId="547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2 2 2" xfId="695"/>
    <cellStyle name="Standaard 3 3 2 2 2 3" xfId="694"/>
    <cellStyle name="Standaard 3 3 2 2 3" xfId="313"/>
    <cellStyle name="Standaard 3 3 2 2 3 2" xfId="696"/>
    <cellStyle name="Standaard 3 3 2 2 4" xfId="613"/>
    <cellStyle name="Standaard 3 3 2 3" xfId="314"/>
    <cellStyle name="Standaard 3 3 2 3 2" xfId="315"/>
    <cellStyle name="Standaard 3 3 2 3 2 2" xfId="698"/>
    <cellStyle name="Standaard 3 3 2 3 3" xfId="697"/>
    <cellStyle name="Standaard 3 3 2 4" xfId="316"/>
    <cellStyle name="Standaard 3 3 2 4 2" xfId="699"/>
    <cellStyle name="Standaard 3 3 2 5" xfId="569"/>
    <cellStyle name="Standaard 3 3 3" xfId="170"/>
    <cellStyle name="Standaard 3 3 3 2" xfId="317"/>
    <cellStyle name="Standaard 3 3 3 2 2" xfId="318"/>
    <cellStyle name="Standaard 3 3 3 2 2 2" xfId="701"/>
    <cellStyle name="Standaard 3 3 3 2 3" xfId="700"/>
    <cellStyle name="Standaard 3 3 3 3" xfId="319"/>
    <cellStyle name="Standaard 3 3 3 3 2" xfId="702"/>
    <cellStyle name="Standaard 3 3 3 4" xfId="594"/>
    <cellStyle name="Standaard 3 3 4" xfId="320"/>
    <cellStyle name="Standaard 3 3 4 2" xfId="321"/>
    <cellStyle name="Standaard 3 3 4 2 2" xfId="704"/>
    <cellStyle name="Standaard 3 3 4 3" xfId="703"/>
    <cellStyle name="Standaard 3 3 5" xfId="322"/>
    <cellStyle name="Standaard 3 3 5 2" xfId="705"/>
    <cellStyle name="Standaard 3 3 6" xfId="550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2 2 2" xfId="707"/>
    <cellStyle name="Standaard 3 4 2 2 2 3" xfId="706"/>
    <cellStyle name="Standaard 3 4 2 2 3" xfId="325"/>
    <cellStyle name="Standaard 3 4 2 2 3 2" xfId="708"/>
    <cellStyle name="Standaard 3 4 2 2 4" xfId="619"/>
    <cellStyle name="Standaard 3 4 2 3" xfId="326"/>
    <cellStyle name="Standaard 3 4 2 3 2" xfId="327"/>
    <cellStyle name="Standaard 3 4 2 3 2 2" xfId="710"/>
    <cellStyle name="Standaard 3 4 2 3 3" xfId="709"/>
    <cellStyle name="Standaard 3 4 2 4" xfId="328"/>
    <cellStyle name="Standaard 3 4 2 4 2" xfId="711"/>
    <cellStyle name="Standaard 3 4 2 5" xfId="575"/>
    <cellStyle name="Standaard 3 4 3" xfId="176"/>
    <cellStyle name="Standaard 3 4 3 2" xfId="329"/>
    <cellStyle name="Standaard 3 4 3 2 2" xfId="330"/>
    <cellStyle name="Standaard 3 4 3 2 2 2" xfId="713"/>
    <cellStyle name="Standaard 3 4 3 2 3" xfId="712"/>
    <cellStyle name="Standaard 3 4 3 3" xfId="331"/>
    <cellStyle name="Standaard 3 4 3 3 2" xfId="714"/>
    <cellStyle name="Standaard 3 4 3 4" xfId="600"/>
    <cellStyle name="Standaard 3 4 4" xfId="332"/>
    <cellStyle name="Standaard 3 4 4 2" xfId="333"/>
    <cellStyle name="Standaard 3 4 4 2 2" xfId="716"/>
    <cellStyle name="Standaard 3 4 4 3" xfId="715"/>
    <cellStyle name="Standaard 3 4 5" xfId="334"/>
    <cellStyle name="Standaard 3 4 5 2" xfId="717"/>
    <cellStyle name="Standaard 3 4 6" xfId="556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2 2 2" xfId="719"/>
    <cellStyle name="Standaard 3 5 2 2 2 3" xfId="718"/>
    <cellStyle name="Standaard 3 5 2 2 3" xfId="337"/>
    <cellStyle name="Standaard 3 5 2 2 3 2" xfId="720"/>
    <cellStyle name="Standaard 3 5 2 2 4" xfId="621"/>
    <cellStyle name="Standaard 3 5 2 3" xfId="338"/>
    <cellStyle name="Standaard 3 5 2 3 2" xfId="339"/>
    <cellStyle name="Standaard 3 5 2 3 2 2" xfId="722"/>
    <cellStyle name="Standaard 3 5 2 3 3" xfId="721"/>
    <cellStyle name="Standaard 3 5 2 4" xfId="340"/>
    <cellStyle name="Standaard 3 5 2 4 2" xfId="723"/>
    <cellStyle name="Standaard 3 5 2 5" xfId="577"/>
    <cellStyle name="Standaard 3 5 3" xfId="178"/>
    <cellStyle name="Standaard 3 5 3 2" xfId="341"/>
    <cellStyle name="Standaard 3 5 3 2 2" xfId="342"/>
    <cellStyle name="Standaard 3 5 3 2 2 2" xfId="725"/>
    <cellStyle name="Standaard 3 5 3 2 3" xfId="724"/>
    <cellStyle name="Standaard 3 5 3 3" xfId="343"/>
    <cellStyle name="Standaard 3 5 3 3 2" xfId="726"/>
    <cellStyle name="Standaard 3 5 3 4" xfId="602"/>
    <cellStyle name="Standaard 3 5 4" xfId="344"/>
    <cellStyle name="Standaard 3 5 4 2" xfId="345"/>
    <cellStyle name="Standaard 3 5 4 2 2" xfId="728"/>
    <cellStyle name="Standaard 3 5 4 3" xfId="727"/>
    <cellStyle name="Standaard 3 5 5" xfId="346"/>
    <cellStyle name="Standaard 3 5 5 2" xfId="729"/>
    <cellStyle name="Standaard 3 5 6" xfId="558"/>
    <cellStyle name="Standaard 3 6" xfId="139"/>
    <cellStyle name="Standaard 3 6 2" xfId="183"/>
    <cellStyle name="Standaard 3 6 2 2" xfId="347"/>
    <cellStyle name="Standaard 3 6 2 2 2" xfId="348"/>
    <cellStyle name="Standaard 3 6 2 2 2 2" xfId="731"/>
    <cellStyle name="Standaard 3 6 2 2 3" xfId="730"/>
    <cellStyle name="Standaard 3 6 2 3" xfId="349"/>
    <cellStyle name="Standaard 3 6 2 3 2" xfId="732"/>
    <cellStyle name="Standaard 3 6 2 4" xfId="607"/>
    <cellStyle name="Standaard 3 6 3" xfId="350"/>
    <cellStyle name="Standaard 3 6 3 2" xfId="351"/>
    <cellStyle name="Standaard 3 6 3 2 2" xfId="734"/>
    <cellStyle name="Standaard 3 6 3 3" xfId="733"/>
    <cellStyle name="Standaard 3 6 4" xfId="352"/>
    <cellStyle name="Standaard 3 6 4 2" xfId="735"/>
    <cellStyle name="Standaard 3 6 5" xfId="563"/>
    <cellStyle name="Standaard 3 7" xfId="159"/>
    <cellStyle name="Standaard 3 7 2" xfId="203"/>
    <cellStyle name="Standaard 3 7 2 2" xfId="353"/>
    <cellStyle name="Standaard 3 7 2 2 2" xfId="354"/>
    <cellStyle name="Standaard 3 7 2 2 2 2" xfId="737"/>
    <cellStyle name="Standaard 3 7 2 2 3" xfId="736"/>
    <cellStyle name="Standaard 3 7 2 3" xfId="355"/>
    <cellStyle name="Standaard 3 7 2 3 2" xfId="738"/>
    <cellStyle name="Standaard 3 7 2 4" xfId="627"/>
    <cellStyle name="Standaard 3 7 3" xfId="356"/>
    <cellStyle name="Standaard 3 7 3 2" xfId="357"/>
    <cellStyle name="Standaard 3 7 3 2 2" xfId="740"/>
    <cellStyle name="Standaard 3 7 3 3" xfId="739"/>
    <cellStyle name="Standaard 3 7 4" xfId="358"/>
    <cellStyle name="Standaard 3 7 4 2" xfId="741"/>
    <cellStyle name="Standaard 3 7 5" xfId="583"/>
    <cellStyle name="Standaard 3 8" xfId="164"/>
    <cellStyle name="Standaard 3 8 2" xfId="359"/>
    <cellStyle name="Standaard 3 8 2 2" xfId="360"/>
    <cellStyle name="Standaard 3 8 2 2 2" xfId="743"/>
    <cellStyle name="Standaard 3 8 2 3" xfId="742"/>
    <cellStyle name="Standaard 3 8 3" xfId="361"/>
    <cellStyle name="Standaard 3 8 3 2" xfId="744"/>
    <cellStyle name="Standaard 3 8 4" xfId="588"/>
    <cellStyle name="Standaard 3 9" xfId="362"/>
    <cellStyle name="Standaard 3 9 2" xfId="363"/>
    <cellStyle name="Standaard 3 9 2 2" xfId="746"/>
    <cellStyle name="Standaard 3 9 3" xfId="745"/>
    <cellStyle name="Standaard 4" xfId="69"/>
    <cellStyle name="Standaard 4 10" xfId="545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2 2 2" xfId="748"/>
    <cellStyle name="Standaard 4 2 2 2 2 2 3" xfId="747"/>
    <cellStyle name="Standaard 4 2 2 2 2 3" xfId="366"/>
    <cellStyle name="Standaard 4 2 2 2 2 3 2" xfId="749"/>
    <cellStyle name="Standaard 4 2 2 2 2 4" xfId="617"/>
    <cellStyle name="Standaard 4 2 2 2 3" xfId="367"/>
    <cellStyle name="Standaard 4 2 2 2 3 2" xfId="368"/>
    <cellStyle name="Standaard 4 2 2 2 3 2 2" xfId="751"/>
    <cellStyle name="Standaard 4 2 2 2 3 3" xfId="750"/>
    <cellStyle name="Standaard 4 2 2 2 4" xfId="369"/>
    <cellStyle name="Standaard 4 2 2 2 4 2" xfId="752"/>
    <cellStyle name="Standaard 4 2 2 2 5" xfId="573"/>
    <cellStyle name="Standaard 4 2 2 3" xfId="174"/>
    <cellStyle name="Standaard 4 2 2 3 2" xfId="370"/>
    <cellStyle name="Standaard 4 2 2 3 2 2" xfId="371"/>
    <cellStyle name="Standaard 4 2 2 3 2 2 2" xfId="754"/>
    <cellStyle name="Standaard 4 2 2 3 2 3" xfId="753"/>
    <cellStyle name="Standaard 4 2 2 3 3" xfId="372"/>
    <cellStyle name="Standaard 4 2 2 3 3 2" xfId="755"/>
    <cellStyle name="Standaard 4 2 2 3 4" xfId="598"/>
    <cellStyle name="Standaard 4 2 2 4" xfId="373"/>
    <cellStyle name="Standaard 4 2 2 4 2" xfId="374"/>
    <cellStyle name="Standaard 4 2 2 4 2 2" xfId="757"/>
    <cellStyle name="Standaard 4 2 2 4 3" xfId="756"/>
    <cellStyle name="Standaard 4 2 2 5" xfId="375"/>
    <cellStyle name="Standaard 4 2 2 5 2" xfId="758"/>
    <cellStyle name="Standaard 4 2 2 6" xfId="554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2 2 2" xfId="760"/>
    <cellStyle name="Standaard 4 2 3 2 2 2 3" xfId="759"/>
    <cellStyle name="Standaard 4 2 3 2 2 3" xfId="378"/>
    <cellStyle name="Standaard 4 2 3 2 2 3 2" xfId="761"/>
    <cellStyle name="Standaard 4 2 3 2 2 4" xfId="625"/>
    <cellStyle name="Standaard 4 2 3 2 3" xfId="379"/>
    <cellStyle name="Standaard 4 2 3 2 3 2" xfId="380"/>
    <cellStyle name="Standaard 4 2 3 2 3 2 2" xfId="763"/>
    <cellStyle name="Standaard 4 2 3 2 3 3" xfId="762"/>
    <cellStyle name="Standaard 4 2 3 2 4" xfId="381"/>
    <cellStyle name="Standaard 4 2 3 2 4 2" xfId="764"/>
    <cellStyle name="Standaard 4 2 3 2 5" xfId="581"/>
    <cellStyle name="Standaard 4 2 3 3" xfId="182"/>
    <cellStyle name="Standaard 4 2 3 3 2" xfId="382"/>
    <cellStyle name="Standaard 4 2 3 3 2 2" xfId="383"/>
    <cellStyle name="Standaard 4 2 3 3 2 2 2" xfId="766"/>
    <cellStyle name="Standaard 4 2 3 3 2 3" xfId="765"/>
    <cellStyle name="Standaard 4 2 3 3 3" xfId="384"/>
    <cellStyle name="Standaard 4 2 3 3 3 2" xfId="767"/>
    <cellStyle name="Standaard 4 2 3 3 4" xfId="606"/>
    <cellStyle name="Standaard 4 2 3 4" xfId="385"/>
    <cellStyle name="Standaard 4 2 3 4 2" xfId="386"/>
    <cellStyle name="Standaard 4 2 3 4 2 2" xfId="769"/>
    <cellStyle name="Standaard 4 2 3 4 3" xfId="768"/>
    <cellStyle name="Standaard 4 2 3 5" xfId="387"/>
    <cellStyle name="Standaard 4 2 3 5 2" xfId="770"/>
    <cellStyle name="Standaard 4 2 3 6" xfId="562"/>
    <cellStyle name="Standaard 4 2 4" xfId="143"/>
    <cellStyle name="Standaard 4 2 4 2" xfId="187"/>
    <cellStyle name="Standaard 4 2 4 2 2" xfId="388"/>
    <cellStyle name="Standaard 4 2 4 2 2 2" xfId="389"/>
    <cellStyle name="Standaard 4 2 4 2 2 2 2" xfId="772"/>
    <cellStyle name="Standaard 4 2 4 2 2 3" xfId="771"/>
    <cellStyle name="Standaard 4 2 4 2 3" xfId="390"/>
    <cellStyle name="Standaard 4 2 4 2 3 2" xfId="773"/>
    <cellStyle name="Standaard 4 2 4 2 4" xfId="611"/>
    <cellStyle name="Standaard 4 2 4 3" xfId="391"/>
    <cellStyle name="Standaard 4 2 4 3 2" xfId="392"/>
    <cellStyle name="Standaard 4 2 4 3 2 2" xfId="775"/>
    <cellStyle name="Standaard 4 2 4 3 3" xfId="774"/>
    <cellStyle name="Standaard 4 2 4 4" xfId="393"/>
    <cellStyle name="Standaard 4 2 4 4 2" xfId="776"/>
    <cellStyle name="Standaard 4 2 4 5" xfId="567"/>
    <cellStyle name="Standaard 4 2 5" xfId="163"/>
    <cellStyle name="Standaard 4 2 5 2" xfId="207"/>
    <cellStyle name="Standaard 4 2 5 2 2" xfId="394"/>
    <cellStyle name="Standaard 4 2 5 2 2 2" xfId="395"/>
    <cellStyle name="Standaard 4 2 5 2 2 2 2" xfId="778"/>
    <cellStyle name="Standaard 4 2 5 2 2 3" xfId="777"/>
    <cellStyle name="Standaard 4 2 5 2 3" xfId="396"/>
    <cellStyle name="Standaard 4 2 5 2 3 2" xfId="779"/>
    <cellStyle name="Standaard 4 2 5 2 4" xfId="631"/>
    <cellStyle name="Standaard 4 2 5 3" xfId="397"/>
    <cellStyle name="Standaard 4 2 5 3 2" xfId="398"/>
    <cellStyle name="Standaard 4 2 5 3 2 2" xfId="781"/>
    <cellStyle name="Standaard 4 2 5 3 3" xfId="780"/>
    <cellStyle name="Standaard 4 2 5 4" xfId="399"/>
    <cellStyle name="Standaard 4 2 5 4 2" xfId="782"/>
    <cellStyle name="Standaard 4 2 5 5" xfId="587"/>
    <cellStyle name="Standaard 4 2 6" xfId="168"/>
    <cellStyle name="Standaard 4 2 6 2" xfId="400"/>
    <cellStyle name="Standaard 4 2 6 2 2" xfId="401"/>
    <cellStyle name="Standaard 4 2 6 2 2 2" xfId="784"/>
    <cellStyle name="Standaard 4 2 6 2 3" xfId="783"/>
    <cellStyle name="Standaard 4 2 6 3" xfId="402"/>
    <cellStyle name="Standaard 4 2 6 3 2" xfId="785"/>
    <cellStyle name="Standaard 4 2 6 4" xfId="592"/>
    <cellStyle name="Standaard 4 2 7" xfId="403"/>
    <cellStyle name="Standaard 4 2 7 2" xfId="404"/>
    <cellStyle name="Standaard 4 2 7 2 2" xfId="787"/>
    <cellStyle name="Standaard 4 2 7 3" xfId="786"/>
    <cellStyle name="Standaard 4 2 8" xfId="405"/>
    <cellStyle name="Standaard 4 2 8 2" xfId="788"/>
    <cellStyle name="Standaard 4 2 9" xfId="548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2 2 2" xfId="790"/>
    <cellStyle name="Standaard 4 3 2 2 2 3" xfId="789"/>
    <cellStyle name="Standaard 4 3 2 2 3" xfId="408"/>
    <cellStyle name="Standaard 4 3 2 2 3 2" xfId="791"/>
    <cellStyle name="Standaard 4 3 2 2 4" xfId="614"/>
    <cellStyle name="Standaard 4 3 2 3" xfId="409"/>
    <cellStyle name="Standaard 4 3 2 3 2" xfId="410"/>
    <cellStyle name="Standaard 4 3 2 3 2 2" xfId="793"/>
    <cellStyle name="Standaard 4 3 2 3 3" xfId="792"/>
    <cellStyle name="Standaard 4 3 2 4" xfId="411"/>
    <cellStyle name="Standaard 4 3 2 4 2" xfId="794"/>
    <cellStyle name="Standaard 4 3 2 5" xfId="570"/>
    <cellStyle name="Standaard 4 3 3" xfId="171"/>
    <cellStyle name="Standaard 4 3 3 2" xfId="412"/>
    <cellStyle name="Standaard 4 3 3 2 2" xfId="413"/>
    <cellStyle name="Standaard 4 3 3 2 2 2" xfId="796"/>
    <cellStyle name="Standaard 4 3 3 2 3" xfId="795"/>
    <cellStyle name="Standaard 4 3 3 3" xfId="414"/>
    <cellStyle name="Standaard 4 3 3 3 2" xfId="797"/>
    <cellStyle name="Standaard 4 3 3 4" xfId="595"/>
    <cellStyle name="Standaard 4 3 4" xfId="415"/>
    <cellStyle name="Standaard 4 3 4 2" xfId="416"/>
    <cellStyle name="Standaard 4 3 4 2 2" xfId="799"/>
    <cellStyle name="Standaard 4 3 4 3" xfId="798"/>
    <cellStyle name="Standaard 4 3 5" xfId="417"/>
    <cellStyle name="Standaard 4 3 5 2" xfId="800"/>
    <cellStyle name="Standaard 4 3 6" xfId="551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2 2 2" xfId="802"/>
    <cellStyle name="Standaard 4 4 2 2 2 3" xfId="801"/>
    <cellStyle name="Standaard 4 4 2 2 3" xfId="420"/>
    <cellStyle name="Standaard 4 4 2 2 3 2" xfId="803"/>
    <cellStyle name="Standaard 4 4 2 2 4" xfId="622"/>
    <cellStyle name="Standaard 4 4 2 3" xfId="421"/>
    <cellStyle name="Standaard 4 4 2 3 2" xfId="422"/>
    <cellStyle name="Standaard 4 4 2 3 2 2" xfId="805"/>
    <cellStyle name="Standaard 4 4 2 3 3" xfId="804"/>
    <cellStyle name="Standaard 4 4 2 4" xfId="423"/>
    <cellStyle name="Standaard 4 4 2 4 2" xfId="806"/>
    <cellStyle name="Standaard 4 4 2 5" xfId="578"/>
    <cellStyle name="Standaard 4 4 3" xfId="179"/>
    <cellStyle name="Standaard 4 4 3 2" xfId="424"/>
    <cellStyle name="Standaard 4 4 3 2 2" xfId="425"/>
    <cellStyle name="Standaard 4 4 3 2 2 2" xfId="808"/>
    <cellStyle name="Standaard 4 4 3 2 3" xfId="807"/>
    <cellStyle name="Standaard 4 4 3 3" xfId="426"/>
    <cellStyle name="Standaard 4 4 3 3 2" xfId="809"/>
    <cellStyle name="Standaard 4 4 3 4" xfId="603"/>
    <cellStyle name="Standaard 4 4 4" xfId="427"/>
    <cellStyle name="Standaard 4 4 4 2" xfId="428"/>
    <cellStyle name="Standaard 4 4 4 2 2" xfId="811"/>
    <cellStyle name="Standaard 4 4 4 3" xfId="810"/>
    <cellStyle name="Standaard 4 4 5" xfId="429"/>
    <cellStyle name="Standaard 4 4 5 2" xfId="812"/>
    <cellStyle name="Standaard 4 4 6" xfId="559"/>
    <cellStyle name="Standaard 4 5" xfId="140"/>
    <cellStyle name="Standaard 4 5 2" xfId="184"/>
    <cellStyle name="Standaard 4 5 2 2" xfId="430"/>
    <cellStyle name="Standaard 4 5 2 2 2" xfId="431"/>
    <cellStyle name="Standaard 4 5 2 2 2 2" xfId="814"/>
    <cellStyle name="Standaard 4 5 2 2 3" xfId="813"/>
    <cellStyle name="Standaard 4 5 2 3" xfId="432"/>
    <cellStyle name="Standaard 4 5 2 3 2" xfId="815"/>
    <cellStyle name="Standaard 4 5 2 4" xfId="608"/>
    <cellStyle name="Standaard 4 5 3" xfId="433"/>
    <cellStyle name="Standaard 4 5 3 2" xfId="434"/>
    <cellStyle name="Standaard 4 5 3 2 2" xfId="817"/>
    <cellStyle name="Standaard 4 5 3 3" xfId="816"/>
    <cellStyle name="Standaard 4 5 4" xfId="435"/>
    <cellStyle name="Standaard 4 5 4 2" xfId="818"/>
    <cellStyle name="Standaard 4 5 5" xfId="564"/>
    <cellStyle name="Standaard 4 6" xfId="160"/>
    <cellStyle name="Standaard 4 6 2" xfId="204"/>
    <cellStyle name="Standaard 4 6 2 2" xfId="436"/>
    <cellStyle name="Standaard 4 6 2 2 2" xfId="437"/>
    <cellStyle name="Standaard 4 6 2 2 2 2" xfId="820"/>
    <cellStyle name="Standaard 4 6 2 2 3" xfId="819"/>
    <cellStyle name="Standaard 4 6 2 3" xfId="438"/>
    <cellStyle name="Standaard 4 6 2 3 2" xfId="821"/>
    <cellStyle name="Standaard 4 6 2 4" xfId="628"/>
    <cellStyle name="Standaard 4 6 3" xfId="439"/>
    <cellStyle name="Standaard 4 6 3 2" xfId="440"/>
    <cellStyle name="Standaard 4 6 3 2 2" xfId="823"/>
    <cellStyle name="Standaard 4 6 3 3" xfId="822"/>
    <cellStyle name="Standaard 4 6 4" xfId="441"/>
    <cellStyle name="Standaard 4 6 4 2" xfId="824"/>
    <cellStyle name="Standaard 4 6 5" xfId="584"/>
    <cellStyle name="Standaard 4 7" xfId="165"/>
    <cellStyle name="Standaard 4 7 2" xfId="442"/>
    <cellStyle name="Standaard 4 7 2 2" xfId="443"/>
    <cellStyle name="Standaard 4 7 2 2 2" xfId="826"/>
    <cellStyle name="Standaard 4 7 2 3" xfId="825"/>
    <cellStyle name="Standaard 4 7 3" xfId="444"/>
    <cellStyle name="Standaard 4 7 3 2" xfId="827"/>
    <cellStyle name="Standaard 4 7 4" xfId="589"/>
    <cellStyle name="Standaard 4 8" xfId="445"/>
    <cellStyle name="Standaard 4 8 2" xfId="446"/>
    <cellStyle name="Standaard 4 8 2 2" xfId="829"/>
    <cellStyle name="Standaard 4 8 3" xfId="828"/>
    <cellStyle name="Standaard 4 9" xfId="447"/>
    <cellStyle name="Standaard 4 9 2" xfId="830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2 2 2" xfId="832"/>
    <cellStyle name="Standaard 6 2 2 2 2 3" xfId="831"/>
    <cellStyle name="Standaard 6 2 2 2 3" xfId="450"/>
    <cellStyle name="Standaard 6 2 2 2 3 2" xfId="833"/>
    <cellStyle name="Standaard 6 2 2 2 4" xfId="615"/>
    <cellStyle name="Standaard 6 2 2 3" xfId="451"/>
    <cellStyle name="Standaard 6 2 2 3 2" xfId="452"/>
    <cellStyle name="Standaard 6 2 2 3 2 2" xfId="835"/>
    <cellStyle name="Standaard 6 2 2 3 3" xfId="834"/>
    <cellStyle name="Standaard 6 2 2 4" xfId="453"/>
    <cellStyle name="Standaard 6 2 2 4 2" xfId="836"/>
    <cellStyle name="Standaard 6 2 2 5" xfId="571"/>
    <cellStyle name="Standaard 6 2 3" xfId="172"/>
    <cellStyle name="Standaard 6 2 3 2" xfId="454"/>
    <cellStyle name="Standaard 6 2 3 2 2" xfId="455"/>
    <cellStyle name="Standaard 6 2 3 2 2 2" xfId="838"/>
    <cellStyle name="Standaard 6 2 3 2 3" xfId="837"/>
    <cellStyle name="Standaard 6 2 3 3" xfId="456"/>
    <cellStyle name="Standaard 6 2 3 3 2" xfId="839"/>
    <cellStyle name="Standaard 6 2 3 4" xfId="596"/>
    <cellStyle name="Standaard 6 2 4" xfId="457"/>
    <cellStyle name="Standaard 6 2 4 2" xfId="458"/>
    <cellStyle name="Standaard 6 2 4 2 2" xfId="841"/>
    <cellStyle name="Standaard 6 2 4 3" xfId="840"/>
    <cellStyle name="Standaard 6 2 5" xfId="459"/>
    <cellStyle name="Standaard 6 2 5 2" xfId="842"/>
    <cellStyle name="Standaard 6 2 6" xfId="552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2 2 2" xfId="844"/>
    <cellStyle name="Standaard 6 3 2 2 2 3" xfId="843"/>
    <cellStyle name="Standaard 6 3 2 2 3" xfId="462"/>
    <cellStyle name="Standaard 6 3 2 2 3 2" xfId="845"/>
    <cellStyle name="Standaard 6 3 2 2 4" xfId="623"/>
    <cellStyle name="Standaard 6 3 2 3" xfId="463"/>
    <cellStyle name="Standaard 6 3 2 3 2" xfId="464"/>
    <cellStyle name="Standaard 6 3 2 3 2 2" xfId="847"/>
    <cellStyle name="Standaard 6 3 2 3 3" xfId="846"/>
    <cellStyle name="Standaard 6 3 2 4" xfId="465"/>
    <cellStyle name="Standaard 6 3 2 4 2" xfId="848"/>
    <cellStyle name="Standaard 6 3 2 5" xfId="579"/>
    <cellStyle name="Standaard 6 3 3" xfId="180"/>
    <cellStyle name="Standaard 6 3 3 2" xfId="466"/>
    <cellStyle name="Standaard 6 3 3 2 2" xfId="467"/>
    <cellStyle name="Standaard 6 3 3 2 2 2" xfId="850"/>
    <cellStyle name="Standaard 6 3 3 2 3" xfId="849"/>
    <cellStyle name="Standaard 6 3 3 3" xfId="468"/>
    <cellStyle name="Standaard 6 3 3 3 2" xfId="851"/>
    <cellStyle name="Standaard 6 3 3 4" xfId="604"/>
    <cellStyle name="Standaard 6 3 4" xfId="469"/>
    <cellStyle name="Standaard 6 3 4 2" xfId="470"/>
    <cellStyle name="Standaard 6 3 4 2 2" xfId="853"/>
    <cellStyle name="Standaard 6 3 4 3" xfId="852"/>
    <cellStyle name="Standaard 6 3 5" xfId="471"/>
    <cellStyle name="Standaard 6 3 5 2" xfId="854"/>
    <cellStyle name="Standaard 6 3 6" xfId="560"/>
    <cellStyle name="Standaard 6 4" xfId="141"/>
    <cellStyle name="Standaard 6 4 2" xfId="185"/>
    <cellStyle name="Standaard 6 4 2 2" xfId="472"/>
    <cellStyle name="Standaard 6 4 2 2 2" xfId="473"/>
    <cellStyle name="Standaard 6 4 2 2 2 2" xfId="856"/>
    <cellStyle name="Standaard 6 4 2 2 3" xfId="855"/>
    <cellStyle name="Standaard 6 4 2 3" xfId="474"/>
    <cellStyle name="Standaard 6 4 2 3 2" xfId="857"/>
    <cellStyle name="Standaard 6 4 2 4" xfId="609"/>
    <cellStyle name="Standaard 6 4 3" xfId="475"/>
    <cellStyle name="Standaard 6 4 3 2" xfId="476"/>
    <cellStyle name="Standaard 6 4 3 2 2" xfId="859"/>
    <cellStyle name="Standaard 6 4 3 3" xfId="858"/>
    <cellStyle name="Standaard 6 4 4" xfId="477"/>
    <cellStyle name="Standaard 6 4 4 2" xfId="860"/>
    <cellStyle name="Standaard 6 4 5" xfId="565"/>
    <cellStyle name="Standaard 6 5" xfId="161"/>
    <cellStyle name="Standaard 6 5 2" xfId="205"/>
    <cellStyle name="Standaard 6 5 2 2" xfId="478"/>
    <cellStyle name="Standaard 6 5 2 2 2" xfId="479"/>
    <cellStyle name="Standaard 6 5 2 2 2 2" xfId="862"/>
    <cellStyle name="Standaard 6 5 2 2 3" xfId="861"/>
    <cellStyle name="Standaard 6 5 2 3" xfId="480"/>
    <cellStyle name="Standaard 6 5 2 3 2" xfId="863"/>
    <cellStyle name="Standaard 6 5 2 4" xfId="629"/>
    <cellStyle name="Standaard 6 5 3" xfId="481"/>
    <cellStyle name="Standaard 6 5 3 2" xfId="482"/>
    <cellStyle name="Standaard 6 5 3 2 2" xfId="865"/>
    <cellStyle name="Standaard 6 5 3 3" xfId="864"/>
    <cellStyle name="Standaard 6 5 4" xfId="483"/>
    <cellStyle name="Standaard 6 5 4 2" xfId="866"/>
    <cellStyle name="Standaard 6 5 5" xfId="585"/>
    <cellStyle name="Standaard 6 6" xfId="166"/>
    <cellStyle name="Standaard 6 6 2" xfId="484"/>
    <cellStyle name="Standaard 6 6 2 2" xfId="485"/>
    <cellStyle name="Standaard 6 6 2 2 2" xfId="868"/>
    <cellStyle name="Standaard 6 6 2 3" xfId="867"/>
    <cellStyle name="Standaard 6 6 3" xfId="486"/>
    <cellStyle name="Standaard 6 6 3 2" xfId="869"/>
    <cellStyle name="Standaard 6 6 4" xfId="590"/>
    <cellStyle name="Standaard 6 7" xfId="487"/>
    <cellStyle name="Standaard 6 7 2" xfId="488"/>
    <cellStyle name="Standaard 6 7 2 2" xfId="871"/>
    <cellStyle name="Standaard 6 7 3" xfId="870"/>
    <cellStyle name="Standaard 6 8" xfId="489"/>
    <cellStyle name="Standaard 6 8 2" xfId="872"/>
    <cellStyle name="Standaard 6 9" xfId="546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2 2 2" xfId="874"/>
    <cellStyle name="Standaard 8 2 2 2 3" xfId="873"/>
    <cellStyle name="Standaard 8 2 2 3" xfId="492"/>
    <cellStyle name="Standaard 8 2 2 3 2" xfId="875"/>
    <cellStyle name="Standaard 8 2 2 4" xfId="612"/>
    <cellStyle name="Standaard 8 2 3" xfId="493"/>
    <cellStyle name="Standaard 8 2 3 2" xfId="494"/>
    <cellStyle name="Standaard 8 2 3 2 2" xfId="877"/>
    <cellStyle name="Standaard 8 2 3 3" xfId="876"/>
    <cellStyle name="Standaard 8 2 4" xfId="495"/>
    <cellStyle name="Standaard 8 2 4 2" xfId="878"/>
    <cellStyle name="Standaard 8 2 5" xfId="568"/>
    <cellStyle name="Standaard 8 3" xfId="169"/>
    <cellStyle name="Standaard 8 3 2" xfId="496"/>
    <cellStyle name="Standaard 8 3 2 2" xfId="497"/>
    <cellStyle name="Standaard 8 3 2 2 2" xfId="880"/>
    <cellStyle name="Standaard 8 3 2 3" xfId="879"/>
    <cellStyle name="Standaard 8 3 3" xfId="498"/>
    <cellStyle name="Standaard 8 3 3 2" xfId="881"/>
    <cellStyle name="Standaard 8 3 4" xfId="593"/>
    <cellStyle name="Standaard 8 4" xfId="499"/>
    <cellStyle name="Standaard 8 4 2" xfId="500"/>
    <cellStyle name="Standaard 8 4 2 2" xfId="883"/>
    <cellStyle name="Standaard 8 4 3" xfId="882"/>
    <cellStyle name="Standaard 8 5" xfId="501"/>
    <cellStyle name="Standaard 8 5 2" xfId="884"/>
    <cellStyle name="Standaard 8 6" xfId="549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2 2 2" xfId="886"/>
    <cellStyle name="Standaard 9 2 2 2 3" xfId="885"/>
    <cellStyle name="Standaard 9 2 2 3" xfId="504"/>
    <cellStyle name="Standaard 9 2 2 3 2" xfId="887"/>
    <cellStyle name="Standaard 9 2 2 4" xfId="618"/>
    <cellStyle name="Standaard 9 2 3" xfId="505"/>
    <cellStyle name="Standaard 9 2 3 2" xfId="506"/>
    <cellStyle name="Standaard 9 2 3 2 2" xfId="889"/>
    <cellStyle name="Standaard 9 2 3 3" xfId="888"/>
    <cellStyle name="Standaard 9 2 4" xfId="507"/>
    <cellStyle name="Standaard 9 2 4 2" xfId="890"/>
    <cellStyle name="Standaard 9 2 5" xfId="574"/>
    <cellStyle name="Standaard 9 3" xfId="175"/>
    <cellStyle name="Standaard 9 3 2" xfId="508"/>
    <cellStyle name="Standaard 9 3 2 2" xfId="509"/>
    <cellStyle name="Standaard 9 3 2 2 2" xfId="892"/>
    <cellStyle name="Standaard 9 3 2 3" xfId="891"/>
    <cellStyle name="Standaard 9 3 3" xfId="510"/>
    <cellStyle name="Standaard 9 3 3 2" xfId="893"/>
    <cellStyle name="Standaard 9 3 4" xfId="599"/>
    <cellStyle name="Standaard 9 4" xfId="511"/>
    <cellStyle name="Standaard 9 4 2" xfId="512"/>
    <cellStyle name="Standaard 9 4 2 2" xfId="895"/>
    <cellStyle name="Standaard 9 4 3" xfId="894"/>
    <cellStyle name="Standaard 9 5" xfId="513"/>
    <cellStyle name="Standaard 9 5 2" xfId="896"/>
    <cellStyle name="Standaard 9 6" xfId="555"/>
    <cellStyle name="Standaard_GlobBerSql" xfId="517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22"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attachedToolbars" Target="attachedToolbars.bin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0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0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0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4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0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0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0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sel="0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val="7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Drop" dropStyle="combo" dx="16" fmlaLink="PedBerTPN!$B$17" fmlaRange="Tbl_Ped_Lipid" val="0"/>
</file>

<file path=xl/ctrlProps/ctrlProp391.xml><?xml version="1.0" encoding="utf-8"?>
<formControlPr xmlns="http://schemas.microsoft.com/office/spreadsheetml/2009/9/main" objectType="CheckBox" fmlaLink="PedBerLab!$C$4" lockText="1"/>
</file>

<file path=xl/ctrlProps/ctrlProp392.xml><?xml version="1.0" encoding="utf-8"?>
<formControlPr xmlns="http://schemas.microsoft.com/office/spreadsheetml/2009/9/main" objectType="CheckBox" fmlaLink="PedBerLab!C5" lockText="1"/>
</file>

<file path=xl/ctrlProps/ctrlProp393.xml><?xml version="1.0" encoding="utf-8"?>
<formControlPr xmlns="http://schemas.microsoft.com/office/spreadsheetml/2009/9/main" objectType="CheckBox" fmlaLink="PedBerLab!C7" lockText="1"/>
</file>

<file path=xl/ctrlProps/ctrlProp394.xml><?xml version="1.0" encoding="utf-8"?>
<formControlPr xmlns="http://schemas.microsoft.com/office/spreadsheetml/2009/9/main" objectType="CheckBox" fmlaLink="PedBerLab!C8" lockText="1"/>
</file>

<file path=xl/ctrlProps/ctrlProp395.xml><?xml version="1.0" encoding="utf-8"?>
<formControlPr xmlns="http://schemas.microsoft.com/office/spreadsheetml/2009/9/main" objectType="CheckBox" fmlaLink="PedBerLab!C13" lockText="1"/>
</file>

<file path=xl/ctrlProps/ctrlProp396.xml><?xml version="1.0" encoding="utf-8"?>
<formControlPr xmlns="http://schemas.microsoft.com/office/spreadsheetml/2009/9/main" objectType="CheckBox" fmlaLink="PedBerLab!C12" lockText="1"/>
</file>

<file path=xl/ctrlProps/ctrlProp397.xml><?xml version="1.0" encoding="utf-8"?>
<formControlPr xmlns="http://schemas.microsoft.com/office/spreadsheetml/2009/9/main" objectType="CheckBox" fmlaLink="PedBerLab!C30" lockText="1"/>
</file>

<file path=xl/ctrlProps/ctrlProp398.xml><?xml version="1.0" encoding="utf-8"?>
<formControlPr xmlns="http://schemas.microsoft.com/office/spreadsheetml/2009/9/main" objectType="CheckBox" fmlaLink="PedBerLab!C15" lockText="1"/>
</file>

<file path=xl/ctrlProps/ctrlProp399.xml><?xml version="1.0" encoding="utf-8"?>
<formControlPr xmlns="http://schemas.microsoft.com/office/spreadsheetml/2009/9/main" objectType="CheckBox" fmlaLink="PedBerLab!C18" lockText="1"/>
</file>

<file path=xl/ctrlProps/ctrlProp400.xml><?xml version="1.0" encoding="utf-8"?>
<formControlPr xmlns="http://schemas.microsoft.com/office/spreadsheetml/2009/9/main" objectType="CheckBox" fmlaLink="PedBerLab!C19" lockText="1"/>
</file>

<file path=xl/ctrlProps/ctrlProp401.xml><?xml version="1.0" encoding="utf-8"?>
<formControlPr xmlns="http://schemas.microsoft.com/office/spreadsheetml/2009/9/main" objectType="CheckBox" fmlaLink="PedBerLab!C20" lockText="1"/>
</file>

<file path=xl/ctrlProps/ctrlProp402.xml><?xml version="1.0" encoding="utf-8"?>
<formControlPr xmlns="http://schemas.microsoft.com/office/spreadsheetml/2009/9/main" objectType="CheckBox" fmlaLink="PedBerLab!C11" lockText="1"/>
</file>

<file path=xl/ctrlProps/ctrlProp403.xml><?xml version="1.0" encoding="utf-8"?>
<formControlPr xmlns="http://schemas.microsoft.com/office/spreadsheetml/2009/9/main" objectType="CheckBox" fmlaLink="PedBerLab!$C$28" lockText="1"/>
</file>

<file path=xl/ctrlProps/ctrlProp404.xml><?xml version="1.0" encoding="utf-8"?>
<formControlPr xmlns="http://schemas.microsoft.com/office/spreadsheetml/2009/9/main" objectType="CheckBox" fmlaLink="PedBerLab!$G$4" lockText="1"/>
</file>

<file path=xl/ctrlProps/ctrlProp405.xml><?xml version="1.0" encoding="utf-8"?>
<formControlPr xmlns="http://schemas.microsoft.com/office/spreadsheetml/2009/9/main" objectType="CheckBox" fmlaLink="PedBerLab!$G$5" lockText="1"/>
</file>

<file path=xl/ctrlProps/ctrlProp406.xml><?xml version="1.0" encoding="utf-8"?>
<formControlPr xmlns="http://schemas.microsoft.com/office/spreadsheetml/2009/9/main" objectType="CheckBox" fmlaLink="PedBerLab!$G$7" lockText="1"/>
</file>

<file path=xl/ctrlProps/ctrlProp407.xml><?xml version="1.0" encoding="utf-8"?>
<formControlPr xmlns="http://schemas.microsoft.com/office/spreadsheetml/2009/9/main" objectType="CheckBox" fmlaLink="PedBerLab!$G$8" lockText="1"/>
</file>

<file path=xl/ctrlProps/ctrlProp408.xml><?xml version="1.0" encoding="utf-8"?>
<formControlPr xmlns="http://schemas.microsoft.com/office/spreadsheetml/2009/9/main" objectType="CheckBox" fmlaLink="PedBerLab!$G$13" lockText="1"/>
</file>

<file path=xl/ctrlProps/ctrlProp409.xml><?xml version="1.0" encoding="utf-8"?>
<formControlPr xmlns="http://schemas.microsoft.com/office/spreadsheetml/2009/9/main" objectType="CheckBox" fmlaLink="PedBerLab!$G$12" lockText="1"/>
</file>

<file path=xl/ctrlProps/ctrlProp410.xml><?xml version="1.0" encoding="utf-8"?>
<formControlPr xmlns="http://schemas.microsoft.com/office/spreadsheetml/2009/9/main" objectType="CheckBox" fmlaLink="PedBerLab!$G$30" lockText="1"/>
</file>

<file path=xl/ctrlProps/ctrlProp411.xml><?xml version="1.0" encoding="utf-8"?>
<formControlPr xmlns="http://schemas.microsoft.com/office/spreadsheetml/2009/9/main" objectType="CheckBox" fmlaLink="PedBerLab!$G$15" lockText="1"/>
</file>

<file path=xl/ctrlProps/ctrlProp412.xml><?xml version="1.0" encoding="utf-8"?>
<formControlPr xmlns="http://schemas.microsoft.com/office/spreadsheetml/2009/9/main" objectType="CheckBox" fmlaLink="PedBerLab!$G$18" lockText="1"/>
</file>

<file path=xl/ctrlProps/ctrlProp413.xml><?xml version="1.0" encoding="utf-8"?>
<formControlPr xmlns="http://schemas.microsoft.com/office/spreadsheetml/2009/9/main" objectType="CheckBox" fmlaLink="PedBerLab!$G$19" lockText="1"/>
</file>

<file path=xl/ctrlProps/ctrlProp414.xml><?xml version="1.0" encoding="utf-8"?>
<formControlPr xmlns="http://schemas.microsoft.com/office/spreadsheetml/2009/9/main" objectType="CheckBox" fmlaLink="PedBerLab!$G$20" lockText="1"/>
</file>

<file path=xl/ctrlProps/ctrlProp415.xml><?xml version="1.0" encoding="utf-8"?>
<formControlPr xmlns="http://schemas.microsoft.com/office/spreadsheetml/2009/9/main" objectType="CheckBox" fmlaLink="PedBerLab!$G$11" lockText="1"/>
</file>

<file path=xl/ctrlProps/ctrlProp416.xml><?xml version="1.0" encoding="utf-8"?>
<formControlPr xmlns="http://schemas.microsoft.com/office/spreadsheetml/2009/9/main" objectType="CheckBox" fmlaLink="PedBerLab!$G$28" lockText="1"/>
</file>

<file path=xl/ctrlProps/ctrlProp417.xml><?xml version="1.0" encoding="utf-8"?>
<formControlPr xmlns="http://schemas.microsoft.com/office/spreadsheetml/2009/9/main" objectType="CheckBox" fmlaLink="PedBerLab!$I$4" lockText="1"/>
</file>

<file path=xl/ctrlProps/ctrlProp418.xml><?xml version="1.0" encoding="utf-8"?>
<formControlPr xmlns="http://schemas.microsoft.com/office/spreadsheetml/2009/9/main" objectType="CheckBox" fmlaLink="PedBerLab!$I$5" lockText="1"/>
</file>

<file path=xl/ctrlProps/ctrlProp419.xml><?xml version="1.0" encoding="utf-8"?>
<formControlPr xmlns="http://schemas.microsoft.com/office/spreadsheetml/2009/9/main" objectType="CheckBox" fmlaLink="PedBerLab!$I$7" lockText="1"/>
</file>

<file path=xl/ctrlProps/ctrlProp420.xml><?xml version="1.0" encoding="utf-8"?>
<formControlPr xmlns="http://schemas.microsoft.com/office/spreadsheetml/2009/9/main" objectType="CheckBox" fmlaLink="PedBerLab!$I$8" lockText="1"/>
</file>

<file path=xl/ctrlProps/ctrlProp421.xml><?xml version="1.0" encoding="utf-8"?>
<formControlPr xmlns="http://schemas.microsoft.com/office/spreadsheetml/2009/9/main" objectType="CheckBox" fmlaLink="PedBerLab!$I$13" lockText="1"/>
</file>

<file path=xl/ctrlProps/ctrlProp422.xml><?xml version="1.0" encoding="utf-8"?>
<formControlPr xmlns="http://schemas.microsoft.com/office/spreadsheetml/2009/9/main" objectType="CheckBox" fmlaLink="PedBerLab!$I$12" lockText="1"/>
</file>

<file path=xl/ctrlProps/ctrlProp423.xml><?xml version="1.0" encoding="utf-8"?>
<formControlPr xmlns="http://schemas.microsoft.com/office/spreadsheetml/2009/9/main" objectType="CheckBox" fmlaLink="PedBerLab!$I$30" lockText="1"/>
</file>

<file path=xl/ctrlProps/ctrlProp424.xml><?xml version="1.0" encoding="utf-8"?>
<formControlPr xmlns="http://schemas.microsoft.com/office/spreadsheetml/2009/9/main" objectType="CheckBox" fmlaLink="PedBerLab!$I$15" lockText="1"/>
</file>

<file path=xl/ctrlProps/ctrlProp425.xml><?xml version="1.0" encoding="utf-8"?>
<formControlPr xmlns="http://schemas.microsoft.com/office/spreadsheetml/2009/9/main" objectType="CheckBox" fmlaLink="PedBerLab!$I$18" lockText="1"/>
</file>

<file path=xl/ctrlProps/ctrlProp426.xml><?xml version="1.0" encoding="utf-8"?>
<formControlPr xmlns="http://schemas.microsoft.com/office/spreadsheetml/2009/9/main" objectType="CheckBox" fmlaLink="PedBerLab!$I$19" lockText="1"/>
</file>

<file path=xl/ctrlProps/ctrlProp427.xml><?xml version="1.0" encoding="utf-8"?>
<formControlPr xmlns="http://schemas.microsoft.com/office/spreadsheetml/2009/9/main" objectType="CheckBox" fmlaLink="PedBerLab!$I$20" lockText="1"/>
</file>

<file path=xl/ctrlProps/ctrlProp428.xml><?xml version="1.0" encoding="utf-8"?>
<formControlPr xmlns="http://schemas.microsoft.com/office/spreadsheetml/2009/9/main" objectType="CheckBox" fmlaLink="PedBerLab!$I$11" lockText="1"/>
</file>

<file path=xl/ctrlProps/ctrlProp429.xml><?xml version="1.0" encoding="utf-8"?>
<formControlPr xmlns="http://schemas.microsoft.com/office/spreadsheetml/2009/9/main" objectType="CheckBox" fmlaLink="PedBerLab!$I$28" lockText="1"/>
</file>

<file path=xl/ctrlProps/ctrlProp430.xml><?xml version="1.0" encoding="utf-8"?>
<formControlPr xmlns="http://schemas.microsoft.com/office/spreadsheetml/2009/9/main" objectType="CheckBox" fmlaLink="PedBerLab!$L$4" lockText="1"/>
</file>

<file path=xl/ctrlProps/ctrlProp431.xml><?xml version="1.0" encoding="utf-8"?>
<formControlPr xmlns="http://schemas.microsoft.com/office/spreadsheetml/2009/9/main" objectType="CheckBox" fmlaLink="PedBerLab!$L$5" lockText="1"/>
</file>

<file path=xl/ctrlProps/ctrlProp432.xml><?xml version="1.0" encoding="utf-8"?>
<formControlPr xmlns="http://schemas.microsoft.com/office/spreadsheetml/2009/9/main" objectType="CheckBox" fmlaLink="PedBerLab!$L$7" lockText="1"/>
</file>

<file path=xl/ctrlProps/ctrlProp433.xml><?xml version="1.0" encoding="utf-8"?>
<formControlPr xmlns="http://schemas.microsoft.com/office/spreadsheetml/2009/9/main" objectType="CheckBox" fmlaLink="PedBerLab!$L$8" lockText="1"/>
</file>

<file path=xl/ctrlProps/ctrlProp434.xml><?xml version="1.0" encoding="utf-8"?>
<formControlPr xmlns="http://schemas.microsoft.com/office/spreadsheetml/2009/9/main" objectType="CheckBox" fmlaLink="PedBerLab!$L$13" lockText="1"/>
</file>

<file path=xl/ctrlProps/ctrlProp435.xml><?xml version="1.0" encoding="utf-8"?>
<formControlPr xmlns="http://schemas.microsoft.com/office/spreadsheetml/2009/9/main" objectType="CheckBox" fmlaLink="PedBerLab!$L$12" lockText="1"/>
</file>

<file path=xl/ctrlProps/ctrlProp436.xml><?xml version="1.0" encoding="utf-8"?>
<formControlPr xmlns="http://schemas.microsoft.com/office/spreadsheetml/2009/9/main" objectType="CheckBox" fmlaLink="PedBerLab!$L$30" lockText="1"/>
</file>

<file path=xl/ctrlProps/ctrlProp437.xml><?xml version="1.0" encoding="utf-8"?>
<formControlPr xmlns="http://schemas.microsoft.com/office/spreadsheetml/2009/9/main" objectType="CheckBox" fmlaLink="PedBerLab!$L$15" lockText="1"/>
</file>

<file path=xl/ctrlProps/ctrlProp438.xml><?xml version="1.0" encoding="utf-8"?>
<formControlPr xmlns="http://schemas.microsoft.com/office/spreadsheetml/2009/9/main" objectType="CheckBox" fmlaLink="PedBerLab!$L$18" lockText="1"/>
</file>

<file path=xl/ctrlProps/ctrlProp439.xml><?xml version="1.0" encoding="utf-8"?>
<formControlPr xmlns="http://schemas.microsoft.com/office/spreadsheetml/2009/9/main" objectType="CheckBox" fmlaLink="PedBerLab!$L$19" lockText="1"/>
</file>

<file path=xl/ctrlProps/ctrlProp440.xml><?xml version="1.0" encoding="utf-8"?>
<formControlPr xmlns="http://schemas.microsoft.com/office/spreadsheetml/2009/9/main" objectType="CheckBox" fmlaLink="PedBerLab!$L$20" lockText="1"/>
</file>

<file path=xl/ctrlProps/ctrlProp441.xml><?xml version="1.0" encoding="utf-8"?>
<formControlPr xmlns="http://schemas.microsoft.com/office/spreadsheetml/2009/9/main" objectType="CheckBox" fmlaLink="PedBerLab!$L$11" lockText="1"/>
</file>

<file path=xl/ctrlProps/ctrlProp442.xml><?xml version="1.0" encoding="utf-8"?>
<formControlPr xmlns="http://schemas.microsoft.com/office/spreadsheetml/2009/9/main" objectType="CheckBox" fmlaLink="PedBerLab!$L$28" lockText="1"/>
</file>

<file path=xl/ctrlProps/ctrlProp443.xml><?xml version="1.0" encoding="utf-8"?>
<formControlPr xmlns="http://schemas.microsoft.com/office/spreadsheetml/2009/9/main" objectType="CheckBox" fmlaLink="PedBerLab!$C$27" lockText="1"/>
</file>

<file path=xl/ctrlProps/ctrlProp444.xml><?xml version="1.0" encoding="utf-8"?>
<formControlPr xmlns="http://schemas.microsoft.com/office/spreadsheetml/2009/9/main" objectType="CheckBox" fmlaLink="PedBerLab!$G$27" lockText="1"/>
</file>

<file path=xl/ctrlProps/ctrlProp445.xml><?xml version="1.0" encoding="utf-8"?>
<formControlPr xmlns="http://schemas.microsoft.com/office/spreadsheetml/2009/9/main" objectType="CheckBox" fmlaLink="PedBerLab!$I$27" lockText="1"/>
</file>

<file path=xl/ctrlProps/ctrlProp446.xml><?xml version="1.0" encoding="utf-8"?>
<formControlPr xmlns="http://schemas.microsoft.com/office/spreadsheetml/2009/9/main" objectType="CheckBox" fmlaLink="PedBerLab!$L$27" lockText="1"/>
</file>

<file path=xl/ctrlProps/ctrlProp447.xml><?xml version="1.0" encoding="utf-8"?>
<formControlPr xmlns="http://schemas.microsoft.com/office/spreadsheetml/2009/9/main" objectType="CheckBox" fmlaLink="PedBerLab!C6" lockText="1"/>
</file>

<file path=xl/ctrlProps/ctrlProp448.xml><?xml version="1.0" encoding="utf-8"?>
<formControlPr xmlns="http://schemas.microsoft.com/office/spreadsheetml/2009/9/main" objectType="CheckBox" fmlaLink="PedBerLab!$G$6" lockText="1"/>
</file>

<file path=xl/ctrlProps/ctrlProp449.xml><?xml version="1.0" encoding="utf-8"?>
<formControlPr xmlns="http://schemas.microsoft.com/office/spreadsheetml/2009/9/main" objectType="CheckBox" fmlaLink="PedBerLab!$I$6" lockText="1"/>
</file>

<file path=xl/ctrlProps/ctrlProp450.xml><?xml version="1.0" encoding="utf-8"?>
<formControlPr xmlns="http://schemas.microsoft.com/office/spreadsheetml/2009/9/main" objectType="CheckBox" fmlaLink="PedBerLab!$L$6" lockText="1"/>
</file>

<file path=xl/ctrlProps/ctrlProp451.xml><?xml version="1.0" encoding="utf-8"?>
<formControlPr xmlns="http://schemas.microsoft.com/office/spreadsheetml/2009/9/main" objectType="CheckBox" fmlaLink="PedBerLab!$C$16" lockText="1"/>
</file>

<file path=xl/ctrlProps/ctrlProp452.xml><?xml version="1.0" encoding="utf-8"?>
<formControlPr xmlns="http://schemas.microsoft.com/office/spreadsheetml/2009/9/main" objectType="CheckBox" fmlaLink="PedBerLab!$G$16" lockText="1"/>
</file>

<file path=xl/ctrlProps/ctrlProp453.xml><?xml version="1.0" encoding="utf-8"?>
<formControlPr xmlns="http://schemas.microsoft.com/office/spreadsheetml/2009/9/main" objectType="CheckBox" fmlaLink="PedBerLab!$I$16" lockText="1"/>
</file>

<file path=xl/ctrlProps/ctrlProp454.xml><?xml version="1.0" encoding="utf-8"?>
<formControlPr xmlns="http://schemas.microsoft.com/office/spreadsheetml/2009/9/main" objectType="CheckBox" fmlaLink="PedBerLab!$L$16" lockText="1"/>
</file>

<file path=xl/ctrlProps/ctrlProp455.xml><?xml version="1.0" encoding="utf-8"?>
<formControlPr xmlns="http://schemas.microsoft.com/office/spreadsheetml/2009/9/main" objectType="CheckBox" fmlaLink="PedBerLab!$E$4" lockText="1"/>
</file>

<file path=xl/ctrlProps/ctrlProp456.xml><?xml version="1.0" encoding="utf-8"?>
<formControlPr xmlns="http://schemas.microsoft.com/office/spreadsheetml/2009/9/main" objectType="CheckBox" fmlaLink="PedBerLab!$E$5" lockText="1"/>
</file>

<file path=xl/ctrlProps/ctrlProp457.xml><?xml version="1.0" encoding="utf-8"?>
<formControlPr xmlns="http://schemas.microsoft.com/office/spreadsheetml/2009/9/main" objectType="CheckBox" fmlaLink="PedBerLab!$E$7" lockText="1"/>
</file>

<file path=xl/ctrlProps/ctrlProp458.xml><?xml version="1.0" encoding="utf-8"?>
<formControlPr xmlns="http://schemas.microsoft.com/office/spreadsheetml/2009/9/main" objectType="CheckBox" fmlaLink="PedBerLab!$E$8" lockText="1"/>
</file>

<file path=xl/ctrlProps/ctrlProp459.xml><?xml version="1.0" encoding="utf-8"?>
<formControlPr xmlns="http://schemas.microsoft.com/office/spreadsheetml/2009/9/main" objectType="CheckBox" fmlaLink="PedBerLab!$E$13" lockText="1"/>
</file>

<file path=xl/ctrlProps/ctrlProp460.xml><?xml version="1.0" encoding="utf-8"?>
<formControlPr xmlns="http://schemas.microsoft.com/office/spreadsheetml/2009/9/main" objectType="CheckBox" fmlaLink="PedBerLab!$E$12" lockText="1"/>
</file>

<file path=xl/ctrlProps/ctrlProp461.xml><?xml version="1.0" encoding="utf-8"?>
<formControlPr xmlns="http://schemas.microsoft.com/office/spreadsheetml/2009/9/main" objectType="CheckBox" fmlaLink="PedBerLab!$E$30" lockText="1"/>
</file>

<file path=xl/ctrlProps/ctrlProp462.xml><?xml version="1.0" encoding="utf-8"?>
<formControlPr xmlns="http://schemas.microsoft.com/office/spreadsheetml/2009/9/main" objectType="CheckBox" fmlaLink="PedBerLab!$E$15" lockText="1"/>
</file>

<file path=xl/ctrlProps/ctrlProp463.xml><?xml version="1.0" encoding="utf-8"?>
<formControlPr xmlns="http://schemas.microsoft.com/office/spreadsheetml/2009/9/main" objectType="CheckBox" fmlaLink="PedBerLab!$E$18" lockText="1"/>
</file>

<file path=xl/ctrlProps/ctrlProp464.xml><?xml version="1.0" encoding="utf-8"?>
<formControlPr xmlns="http://schemas.microsoft.com/office/spreadsheetml/2009/9/main" objectType="CheckBox" fmlaLink="PedBerLab!$E$19" lockText="1"/>
</file>

<file path=xl/ctrlProps/ctrlProp465.xml><?xml version="1.0" encoding="utf-8"?>
<formControlPr xmlns="http://schemas.microsoft.com/office/spreadsheetml/2009/9/main" objectType="CheckBox" fmlaLink="PedBerLab!$E$20" lockText="1"/>
</file>

<file path=xl/ctrlProps/ctrlProp466.xml><?xml version="1.0" encoding="utf-8"?>
<formControlPr xmlns="http://schemas.microsoft.com/office/spreadsheetml/2009/9/main" objectType="CheckBox" fmlaLink="PedBerLab!$E$11" lockText="1"/>
</file>

<file path=xl/ctrlProps/ctrlProp467.xml><?xml version="1.0" encoding="utf-8"?>
<formControlPr xmlns="http://schemas.microsoft.com/office/spreadsheetml/2009/9/main" objectType="CheckBox" fmlaLink="PedBerLab!$E$28" lockText="1"/>
</file>

<file path=xl/ctrlProps/ctrlProp468.xml><?xml version="1.0" encoding="utf-8"?>
<formControlPr xmlns="http://schemas.microsoft.com/office/spreadsheetml/2009/9/main" objectType="CheckBox" fmlaLink="PedBerLab!$E$27" lockText="1"/>
</file>

<file path=xl/ctrlProps/ctrlProp469.xml><?xml version="1.0" encoding="utf-8"?>
<formControlPr xmlns="http://schemas.microsoft.com/office/spreadsheetml/2009/9/main" objectType="CheckBox" fmlaLink="PedBerLab!$E$6" lockText="1"/>
</file>

<file path=xl/ctrlProps/ctrlProp470.xml><?xml version="1.0" encoding="utf-8"?>
<formControlPr xmlns="http://schemas.microsoft.com/office/spreadsheetml/2009/9/main" objectType="CheckBox" fmlaLink="PedBerLab!$E$16" lockText="1"/>
</file>

<file path=xl/ctrlProps/ctrlProp471.xml><?xml version="1.0" encoding="utf-8"?>
<formControlPr xmlns="http://schemas.microsoft.com/office/spreadsheetml/2009/9/main" objectType="CheckBox" fmlaLink="PedBerLab!$C$26" lockText="1"/>
</file>

<file path=xl/ctrlProps/ctrlProp472.xml><?xml version="1.0" encoding="utf-8"?>
<formControlPr xmlns="http://schemas.microsoft.com/office/spreadsheetml/2009/9/main" objectType="CheckBox" fmlaLink="PedBerLab!$G$26" lockText="1"/>
</file>

<file path=xl/ctrlProps/ctrlProp473.xml><?xml version="1.0" encoding="utf-8"?>
<formControlPr xmlns="http://schemas.microsoft.com/office/spreadsheetml/2009/9/main" objectType="CheckBox" fmlaLink="PedBerLab!$I$26" lockText="1"/>
</file>

<file path=xl/ctrlProps/ctrlProp474.xml><?xml version="1.0" encoding="utf-8"?>
<formControlPr xmlns="http://schemas.microsoft.com/office/spreadsheetml/2009/9/main" objectType="CheckBox" fmlaLink="PedBerLab!$L$26" lockText="1"/>
</file>

<file path=xl/ctrlProps/ctrlProp475.xml><?xml version="1.0" encoding="utf-8"?>
<formControlPr xmlns="http://schemas.microsoft.com/office/spreadsheetml/2009/9/main" objectType="CheckBox" fmlaLink="PedBerLab!$E$26" lockText="1"/>
</file>

<file path=xl/ctrlProps/ctrlProp476.xml><?xml version="1.0" encoding="utf-8"?>
<formControlPr xmlns="http://schemas.microsoft.com/office/spreadsheetml/2009/9/main" objectType="CheckBox" fmlaLink="PedBerLab!$C$32" lockText="1"/>
</file>

<file path=xl/ctrlProps/ctrlProp477.xml><?xml version="1.0" encoding="utf-8"?>
<formControlPr xmlns="http://schemas.microsoft.com/office/spreadsheetml/2009/9/main" objectType="CheckBox" fmlaLink="PedBerLab!$G$32" lockText="1"/>
</file>

<file path=xl/ctrlProps/ctrlProp478.xml><?xml version="1.0" encoding="utf-8"?>
<formControlPr xmlns="http://schemas.microsoft.com/office/spreadsheetml/2009/9/main" objectType="CheckBox" fmlaLink="PedBerLab!$I$32" lockText="1"/>
</file>

<file path=xl/ctrlProps/ctrlProp479.xml><?xml version="1.0" encoding="utf-8"?>
<formControlPr xmlns="http://schemas.microsoft.com/office/spreadsheetml/2009/9/main" objectType="CheckBox" fmlaLink="PedBerLab!$L$32" lockText="1"/>
</file>

<file path=xl/ctrlProps/ctrlProp480.xml><?xml version="1.0" encoding="utf-8"?>
<formControlPr xmlns="http://schemas.microsoft.com/office/spreadsheetml/2009/9/main" objectType="CheckBox" fmlaLink="PedBerLab!$E$32" lockText="1"/>
</file>

<file path=xl/ctrlProps/ctrlProp481.xml><?xml version="1.0" encoding="utf-8"?>
<formControlPr xmlns="http://schemas.microsoft.com/office/spreadsheetml/2009/9/main" objectType="CheckBox" fmlaLink="PedBerLab!$C$9" lockText="1"/>
</file>

<file path=xl/ctrlProps/ctrlProp482.xml><?xml version="1.0" encoding="utf-8"?>
<formControlPr xmlns="http://schemas.microsoft.com/office/spreadsheetml/2009/9/main" objectType="CheckBox" fmlaLink="PedBerLab!$G$9" lockText="1"/>
</file>

<file path=xl/ctrlProps/ctrlProp483.xml><?xml version="1.0" encoding="utf-8"?>
<formControlPr xmlns="http://schemas.microsoft.com/office/spreadsheetml/2009/9/main" objectType="CheckBox" fmlaLink="PedBerLab!$I$9" lockText="1"/>
</file>

<file path=xl/ctrlProps/ctrlProp484.xml><?xml version="1.0" encoding="utf-8"?>
<formControlPr xmlns="http://schemas.microsoft.com/office/spreadsheetml/2009/9/main" objectType="CheckBox" fmlaLink="PedBerLab!$L$9" lockText="1"/>
</file>

<file path=xl/ctrlProps/ctrlProp485.xml><?xml version="1.0" encoding="utf-8"?>
<formControlPr xmlns="http://schemas.microsoft.com/office/spreadsheetml/2009/9/main" objectType="CheckBox" fmlaLink="PedBerLab!$E$9" lockText="1"/>
</file>

<file path=xl/ctrlProps/ctrlProp486.xml><?xml version="1.0" encoding="utf-8"?>
<formControlPr xmlns="http://schemas.microsoft.com/office/spreadsheetml/2009/9/main" objectType="CheckBox" fmlaLink="PedBerLab!$C$10" lockText="1"/>
</file>

<file path=xl/ctrlProps/ctrlProp487.xml><?xml version="1.0" encoding="utf-8"?>
<formControlPr xmlns="http://schemas.microsoft.com/office/spreadsheetml/2009/9/main" objectType="CheckBox" fmlaLink="PedBerLab!$G$10" lockText="1"/>
</file>

<file path=xl/ctrlProps/ctrlProp488.xml><?xml version="1.0" encoding="utf-8"?>
<formControlPr xmlns="http://schemas.microsoft.com/office/spreadsheetml/2009/9/main" objectType="CheckBox" fmlaLink="PedBerLab!$I$10" lockText="1"/>
</file>

<file path=xl/ctrlProps/ctrlProp489.xml><?xml version="1.0" encoding="utf-8"?>
<formControlPr xmlns="http://schemas.microsoft.com/office/spreadsheetml/2009/9/main" objectType="CheckBox" fmlaLink="PedBerLab!$L$10" lockText="1"/>
</file>

<file path=xl/ctrlProps/ctrlProp490.xml><?xml version="1.0" encoding="utf-8"?>
<formControlPr xmlns="http://schemas.microsoft.com/office/spreadsheetml/2009/9/main" objectType="CheckBox" fmlaLink="PedBerLab!$E$10" lockText="1"/>
</file>

<file path=xl/ctrlProps/ctrlProp491.xml><?xml version="1.0" encoding="utf-8"?>
<formControlPr xmlns="http://schemas.microsoft.com/office/spreadsheetml/2009/9/main" objectType="CheckBox" fmlaLink="PedBerLab!$C$14" lockText="1"/>
</file>

<file path=xl/ctrlProps/ctrlProp492.xml><?xml version="1.0" encoding="utf-8"?>
<formControlPr xmlns="http://schemas.microsoft.com/office/spreadsheetml/2009/9/main" objectType="CheckBox" fmlaLink="PedBerLab!$G$14" lockText="1"/>
</file>

<file path=xl/ctrlProps/ctrlProp493.xml><?xml version="1.0" encoding="utf-8"?>
<formControlPr xmlns="http://schemas.microsoft.com/office/spreadsheetml/2009/9/main" objectType="CheckBox" fmlaLink="PedBerLab!$I$14" lockText="1"/>
</file>

<file path=xl/ctrlProps/ctrlProp494.xml><?xml version="1.0" encoding="utf-8"?>
<formControlPr xmlns="http://schemas.microsoft.com/office/spreadsheetml/2009/9/main" objectType="CheckBox" fmlaLink="PedBerLab!$L$14" lockText="1"/>
</file>

<file path=xl/ctrlProps/ctrlProp495.xml><?xml version="1.0" encoding="utf-8"?>
<formControlPr xmlns="http://schemas.microsoft.com/office/spreadsheetml/2009/9/main" objectType="CheckBox" fmlaLink="PedBerLab!$E$14" lockText="1"/>
</file>

<file path=xl/ctrlProps/ctrlProp496.xml><?xml version="1.0" encoding="utf-8"?>
<formControlPr xmlns="http://schemas.microsoft.com/office/spreadsheetml/2009/9/main" objectType="CheckBox" fmlaLink="PedBerLab!$C$21" lockText="1"/>
</file>

<file path=xl/ctrlProps/ctrlProp497.xml><?xml version="1.0" encoding="utf-8"?>
<formControlPr xmlns="http://schemas.microsoft.com/office/spreadsheetml/2009/9/main" objectType="CheckBox" fmlaLink="PedBerLab!$G$21" lockText="1"/>
</file>

<file path=xl/ctrlProps/ctrlProp498.xml><?xml version="1.0" encoding="utf-8"?>
<formControlPr xmlns="http://schemas.microsoft.com/office/spreadsheetml/2009/9/main" objectType="CheckBox" fmlaLink="PedBerLab!$I$21" lockText="1"/>
</file>

<file path=xl/ctrlProps/ctrlProp499.xml><?xml version="1.0" encoding="utf-8"?>
<formControlPr xmlns="http://schemas.microsoft.com/office/spreadsheetml/2009/9/main" objectType="CheckBox" fmlaLink="PedBerLab!$L$21" lockText="1"/>
</file>

<file path=xl/ctrlProps/ctrlProp500.xml><?xml version="1.0" encoding="utf-8"?>
<formControlPr xmlns="http://schemas.microsoft.com/office/spreadsheetml/2009/9/main" objectType="CheckBox" fmlaLink="PedBerLab!$E$21" lockText="1"/>
</file>

<file path=xl/ctrlProps/ctrlProp501.xml><?xml version="1.0" encoding="utf-8"?>
<formControlPr xmlns="http://schemas.microsoft.com/office/spreadsheetml/2009/9/main" objectType="CheckBox" fmlaLink="PedBerLab!$C$22" lockText="1"/>
</file>

<file path=xl/ctrlProps/ctrlProp502.xml><?xml version="1.0" encoding="utf-8"?>
<formControlPr xmlns="http://schemas.microsoft.com/office/spreadsheetml/2009/9/main" objectType="CheckBox" fmlaLink="PedBerLab!$G$22" lockText="1"/>
</file>

<file path=xl/ctrlProps/ctrlProp503.xml><?xml version="1.0" encoding="utf-8"?>
<formControlPr xmlns="http://schemas.microsoft.com/office/spreadsheetml/2009/9/main" objectType="CheckBox" fmlaLink="PedBerLab!$I$22" lockText="1"/>
</file>

<file path=xl/ctrlProps/ctrlProp504.xml><?xml version="1.0" encoding="utf-8"?>
<formControlPr xmlns="http://schemas.microsoft.com/office/spreadsheetml/2009/9/main" objectType="CheckBox" fmlaLink="PedBerLab!$L$22" lockText="1"/>
</file>

<file path=xl/ctrlProps/ctrlProp505.xml><?xml version="1.0" encoding="utf-8"?>
<formControlPr xmlns="http://schemas.microsoft.com/office/spreadsheetml/2009/9/main" objectType="CheckBox" fmlaLink="PedBerLab!$E$22" lockText="1"/>
</file>

<file path=xl/ctrlProps/ctrlProp506.xml><?xml version="1.0" encoding="utf-8"?>
<formControlPr xmlns="http://schemas.microsoft.com/office/spreadsheetml/2009/9/main" objectType="CheckBox" fmlaLink="PedBerLab!$C$23" lockText="1"/>
</file>

<file path=xl/ctrlProps/ctrlProp507.xml><?xml version="1.0" encoding="utf-8"?>
<formControlPr xmlns="http://schemas.microsoft.com/office/spreadsheetml/2009/9/main" objectType="CheckBox" fmlaLink="PedBerLab!$G$23" lockText="1"/>
</file>

<file path=xl/ctrlProps/ctrlProp508.xml><?xml version="1.0" encoding="utf-8"?>
<formControlPr xmlns="http://schemas.microsoft.com/office/spreadsheetml/2009/9/main" objectType="CheckBox" fmlaLink="PedBerLab!$I$23" lockText="1"/>
</file>

<file path=xl/ctrlProps/ctrlProp509.xml><?xml version="1.0" encoding="utf-8"?>
<formControlPr xmlns="http://schemas.microsoft.com/office/spreadsheetml/2009/9/main" objectType="CheckBox" fmlaLink="PedBerLab!$L$23" lockText="1"/>
</file>

<file path=xl/ctrlProps/ctrlProp510.xml><?xml version="1.0" encoding="utf-8"?>
<formControlPr xmlns="http://schemas.microsoft.com/office/spreadsheetml/2009/9/main" objectType="CheckBox" fmlaLink="PedBerLab!$E$23" lockText="1"/>
</file>

<file path=xl/ctrlProps/ctrlProp511.xml><?xml version="1.0" encoding="utf-8"?>
<formControlPr xmlns="http://schemas.microsoft.com/office/spreadsheetml/2009/9/main" objectType="CheckBox" fmlaLink="PedBerLab!$C$24" lockText="1"/>
</file>

<file path=xl/ctrlProps/ctrlProp512.xml><?xml version="1.0" encoding="utf-8"?>
<formControlPr xmlns="http://schemas.microsoft.com/office/spreadsheetml/2009/9/main" objectType="CheckBox" fmlaLink="PedBerLab!$G$24" lockText="1"/>
</file>

<file path=xl/ctrlProps/ctrlProp513.xml><?xml version="1.0" encoding="utf-8"?>
<formControlPr xmlns="http://schemas.microsoft.com/office/spreadsheetml/2009/9/main" objectType="CheckBox" fmlaLink="PedBerLab!$I$24" lockText="1"/>
</file>

<file path=xl/ctrlProps/ctrlProp514.xml><?xml version="1.0" encoding="utf-8"?>
<formControlPr xmlns="http://schemas.microsoft.com/office/spreadsheetml/2009/9/main" objectType="CheckBox" fmlaLink="PedBerLab!$L$24" lockText="1"/>
</file>

<file path=xl/ctrlProps/ctrlProp515.xml><?xml version="1.0" encoding="utf-8"?>
<formControlPr xmlns="http://schemas.microsoft.com/office/spreadsheetml/2009/9/main" objectType="CheckBox" fmlaLink="PedBerLab!$E$24" lockText="1"/>
</file>

<file path=xl/ctrlProps/ctrlProp516.xml><?xml version="1.0" encoding="utf-8"?>
<formControlPr xmlns="http://schemas.microsoft.com/office/spreadsheetml/2009/9/main" objectType="CheckBox" fmlaLink="PedBerLab!$C$25" lockText="1"/>
</file>

<file path=xl/ctrlProps/ctrlProp517.xml><?xml version="1.0" encoding="utf-8"?>
<formControlPr xmlns="http://schemas.microsoft.com/office/spreadsheetml/2009/9/main" objectType="CheckBox" fmlaLink="PedBerLab!$G$25" lockText="1"/>
</file>

<file path=xl/ctrlProps/ctrlProp518.xml><?xml version="1.0" encoding="utf-8"?>
<formControlPr xmlns="http://schemas.microsoft.com/office/spreadsheetml/2009/9/main" objectType="CheckBox" fmlaLink="PedBerLab!$I$25" lockText="1"/>
</file>

<file path=xl/ctrlProps/ctrlProp519.xml><?xml version="1.0" encoding="utf-8"?>
<formControlPr xmlns="http://schemas.microsoft.com/office/spreadsheetml/2009/9/main" objectType="CheckBox" fmlaLink="PedBerLab!$L$25" lockText="1"/>
</file>

<file path=xl/ctrlProps/ctrlProp520.xml><?xml version="1.0" encoding="utf-8"?>
<formControlPr xmlns="http://schemas.microsoft.com/office/spreadsheetml/2009/9/main" objectType="CheckBox" fmlaLink="PedBerLab!$E$25" lockText="1"/>
</file>

<file path=xl/ctrlProps/ctrlProp521.xml><?xml version="1.0" encoding="utf-8"?>
<formControlPr xmlns="http://schemas.microsoft.com/office/spreadsheetml/2009/9/main" objectType="CheckBox" fmlaLink="PedBerLab!$C$29" lockText="1"/>
</file>

<file path=xl/ctrlProps/ctrlProp522.xml><?xml version="1.0" encoding="utf-8"?>
<formControlPr xmlns="http://schemas.microsoft.com/office/spreadsheetml/2009/9/main" objectType="CheckBox" fmlaLink="PedBerLab!$G$29" lockText="1"/>
</file>

<file path=xl/ctrlProps/ctrlProp523.xml><?xml version="1.0" encoding="utf-8"?>
<formControlPr xmlns="http://schemas.microsoft.com/office/spreadsheetml/2009/9/main" objectType="CheckBox" fmlaLink="PedBerLab!$I$29" lockText="1"/>
</file>

<file path=xl/ctrlProps/ctrlProp524.xml><?xml version="1.0" encoding="utf-8"?>
<formControlPr xmlns="http://schemas.microsoft.com/office/spreadsheetml/2009/9/main" objectType="CheckBox" fmlaLink="PedBerLab!$L$29" lockText="1"/>
</file>

<file path=xl/ctrlProps/ctrlProp525.xml><?xml version="1.0" encoding="utf-8"?>
<formControlPr xmlns="http://schemas.microsoft.com/office/spreadsheetml/2009/9/main" objectType="CheckBox" fmlaLink="PedBerLab!$E$29" lockText="1"/>
</file>

<file path=xl/ctrlProps/ctrlProp526.xml><?xml version="1.0" encoding="utf-8"?>
<formControlPr xmlns="http://schemas.microsoft.com/office/spreadsheetml/2009/9/main" objectType="CheckBox" fmlaLink="PedBerLab!$C$17" lockText="1"/>
</file>

<file path=xl/ctrlProps/ctrlProp527.xml><?xml version="1.0" encoding="utf-8"?>
<formControlPr xmlns="http://schemas.microsoft.com/office/spreadsheetml/2009/9/main" objectType="CheckBox" fmlaLink="PedBerLab!$G$17" lockText="1"/>
</file>

<file path=xl/ctrlProps/ctrlProp528.xml><?xml version="1.0" encoding="utf-8"?>
<formControlPr xmlns="http://schemas.microsoft.com/office/spreadsheetml/2009/9/main" objectType="CheckBox" fmlaLink="PedBerLab!$I$17" lockText="1"/>
</file>

<file path=xl/ctrlProps/ctrlProp529.xml><?xml version="1.0" encoding="utf-8"?>
<formControlPr xmlns="http://schemas.microsoft.com/office/spreadsheetml/2009/9/main" objectType="CheckBox" fmlaLink="PedBerLab!$L$17" lockText="1"/>
</file>

<file path=xl/ctrlProps/ctrlProp530.xml><?xml version="1.0" encoding="utf-8"?>
<formControlPr xmlns="http://schemas.microsoft.com/office/spreadsheetml/2009/9/main" objectType="CheckBox" fmlaLink="PedBerLab!$E$17" lockText="1"/>
</file>

<file path=xl/ctrlProps/ctrlProp531.xml><?xml version="1.0" encoding="utf-8"?>
<formControlPr xmlns="http://schemas.microsoft.com/office/spreadsheetml/2009/9/main" objectType="CheckBox" fmlaLink="PedBerLab!$C$31" lockText="1"/>
</file>

<file path=xl/ctrlProps/ctrlProp532.xml><?xml version="1.0" encoding="utf-8"?>
<formControlPr xmlns="http://schemas.microsoft.com/office/spreadsheetml/2009/9/main" objectType="CheckBox" fmlaLink="PedBerLab!$G$31" lockText="1"/>
</file>

<file path=xl/ctrlProps/ctrlProp533.xml><?xml version="1.0" encoding="utf-8"?>
<formControlPr xmlns="http://schemas.microsoft.com/office/spreadsheetml/2009/9/main" objectType="CheckBox" fmlaLink="PedBerLab!$I$31" lockText="1"/>
</file>

<file path=xl/ctrlProps/ctrlProp534.xml><?xml version="1.0" encoding="utf-8"?>
<formControlPr xmlns="http://schemas.microsoft.com/office/spreadsheetml/2009/9/main" objectType="CheckBox" fmlaLink="PedBerLab!$L$31" lockText="1"/>
</file>

<file path=xl/ctrlProps/ctrlProp535.xml><?xml version="1.0" encoding="utf-8"?>
<formControlPr xmlns="http://schemas.microsoft.com/office/spreadsheetml/2009/9/main" objectType="CheckBox" fmlaLink="PedBerLab!$E$31" lockText="1"/>
</file>

<file path=xl/ctrlProps/ctrlProp536.xml><?xml version="1.0" encoding="utf-8"?>
<formControlPr xmlns="http://schemas.microsoft.com/office/spreadsheetml/2009/9/main" objectType="CheckBox" fmlaLink="PedBerLab!C35" lockText="1"/>
</file>

<file path=xl/ctrlProps/ctrlProp537.xml><?xml version="1.0" encoding="utf-8"?>
<formControlPr xmlns="http://schemas.microsoft.com/office/spreadsheetml/2009/9/main" objectType="CheckBox" fmlaLink="PedBerLab!$C$33" lockText="1"/>
</file>

<file path=xl/ctrlProps/ctrlProp538.xml><?xml version="1.0" encoding="utf-8"?>
<formControlPr xmlns="http://schemas.microsoft.com/office/spreadsheetml/2009/9/main" objectType="CheckBox" fmlaLink="PedBerLab!$G$33" lockText="1"/>
</file>

<file path=xl/ctrlProps/ctrlProp539.xml><?xml version="1.0" encoding="utf-8"?>
<formControlPr xmlns="http://schemas.microsoft.com/office/spreadsheetml/2009/9/main" objectType="CheckBox" fmlaLink="PedBerLab!$I$33" lockText="1"/>
</file>

<file path=xl/ctrlProps/ctrlProp540.xml><?xml version="1.0" encoding="utf-8"?>
<formControlPr xmlns="http://schemas.microsoft.com/office/spreadsheetml/2009/9/main" objectType="CheckBox" fmlaLink="PedBerLab!$L$33" lockText="1"/>
</file>

<file path=xl/ctrlProps/ctrlProp541.xml><?xml version="1.0" encoding="utf-8"?>
<formControlPr xmlns="http://schemas.microsoft.com/office/spreadsheetml/2009/9/main" objectType="CheckBox" fmlaLink="PedBerLab!$E$33" lockText="1"/>
</file>

<file path=xl/ctrlProps/ctrlProp542.xml><?xml version="1.0" encoding="utf-8"?>
<formControlPr xmlns="http://schemas.microsoft.com/office/spreadsheetml/2009/9/main" objectType="CheckBox" fmlaLink="PedBerLab!$C$34" lockText="1"/>
</file>

<file path=xl/ctrlProps/ctrlProp543.xml><?xml version="1.0" encoding="utf-8"?>
<formControlPr xmlns="http://schemas.microsoft.com/office/spreadsheetml/2009/9/main" objectType="CheckBox" fmlaLink="PedBerLab!$G$34" lockText="1"/>
</file>

<file path=xl/ctrlProps/ctrlProp544.xml><?xml version="1.0" encoding="utf-8"?>
<formControlPr xmlns="http://schemas.microsoft.com/office/spreadsheetml/2009/9/main" objectType="CheckBox" fmlaLink="PedBerLab!$I$34" lockText="1"/>
</file>

<file path=xl/ctrlProps/ctrlProp545.xml><?xml version="1.0" encoding="utf-8"?>
<formControlPr xmlns="http://schemas.microsoft.com/office/spreadsheetml/2009/9/main" objectType="CheckBox" fmlaLink="PedBerLab!L34" lockText="1"/>
</file>

<file path=xl/ctrlProps/ctrlProp546.xml><?xml version="1.0" encoding="utf-8"?>
<formControlPr xmlns="http://schemas.microsoft.com/office/spreadsheetml/2009/9/main" objectType="CheckBox" fmlaLink="PedBerLab!$E$34" lockText="1"/>
</file>

<file path=xl/ctrlProps/ctrlProp547.xml><?xml version="1.0" encoding="utf-8"?>
<formControlPr xmlns="http://schemas.microsoft.com/office/spreadsheetml/2009/9/main" objectType="CheckBox" fmlaLink="PedBerAfspr!$F$7" lockText="1"/>
</file>

<file path=xl/ctrlProps/ctrlProp548.xml><?xml version="1.0" encoding="utf-8"?>
<formControlPr xmlns="http://schemas.microsoft.com/office/spreadsheetml/2009/9/main" objectType="CheckBox" fmlaLink="PedBerAfspr!$F$8" lockText="1"/>
</file>

<file path=xl/ctrlProps/ctrlProp549.xml><?xml version="1.0" encoding="utf-8"?>
<formControlPr xmlns="http://schemas.microsoft.com/office/spreadsheetml/2009/9/main" objectType="Spin" dx="15" fmlaLink="PedBerAfspr!$B$12" max="24" page="10" val="0"/>
</file>

<file path=xl/ctrlProps/ctrlProp550.xml><?xml version="1.0" encoding="utf-8"?>
<formControlPr xmlns="http://schemas.microsoft.com/office/spreadsheetml/2009/9/main" objectType="CheckBox" fmlaLink="PedBerAfspr!$B$22" lockText="1"/>
</file>

<file path=xl/ctrlProps/ctrlProp551.xml><?xml version="1.0" encoding="utf-8"?>
<formControlPr xmlns="http://schemas.microsoft.com/office/spreadsheetml/2009/9/main" objectType="CheckBox" fmlaLink="PedBerAfspr!$B$23" lockText="1"/>
</file>

<file path=xl/ctrlProps/ctrlProp552.xml><?xml version="1.0" encoding="utf-8"?>
<formControlPr xmlns="http://schemas.microsoft.com/office/spreadsheetml/2009/9/main" objectType="CheckBox" fmlaLink="PedBerAfspr!$B$27" lockText="1"/>
</file>

<file path=xl/ctrlProps/ctrlProp553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4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5.xml><?xml version="1.0" encoding="utf-8"?>
<formControlPr xmlns="http://schemas.microsoft.com/office/spreadsheetml/2009/9/main" objectType="CheckBox" fmlaLink="PedBerAfspr!$B$30" lockText="1"/>
</file>

<file path=xl/ctrlProps/ctrlProp556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7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8.xml><?xml version="1.0" encoding="utf-8"?>
<formControlPr xmlns="http://schemas.microsoft.com/office/spreadsheetml/2009/9/main" objectType="CheckBox" fmlaLink="PedBerAfspr!$B$7" lockText="1"/>
</file>

<file path=xl/ctrlProps/ctrlProp559.xml><?xml version="1.0" encoding="utf-8"?>
<formControlPr xmlns="http://schemas.microsoft.com/office/spreadsheetml/2009/9/main" objectType="CheckBox" fmlaLink="PedBerAfspr!$B$8" lockText="1"/>
</file>

<file path=xl/ctrlProps/ctrlProp560.xml><?xml version="1.0" encoding="utf-8"?>
<formControlPr xmlns="http://schemas.microsoft.com/office/spreadsheetml/2009/9/main" objectType="CheckBox" fmlaLink="PedBerAfspr!$B$21" lockText="1"/>
</file>

<file path=xl/ctrlProps/ctrlProp561.xml><?xml version="1.0" encoding="utf-8"?>
<formControlPr xmlns="http://schemas.microsoft.com/office/spreadsheetml/2009/9/main" objectType="CheckBox" fmlaLink="PedBerAfspr!$B$11" lockText="1"/>
</file>

<file path=xl/ctrlProps/ctrlProp562.xml><?xml version="1.0" encoding="utf-8"?>
<formControlPr xmlns="http://schemas.microsoft.com/office/spreadsheetml/2009/9/main" objectType="CheckBox" fmlaLink="PedBerAfspr!$B$15" lockText="1"/>
</file>

<file path=xl/ctrlProps/ctrlProp563.xml><?xml version="1.0" encoding="utf-8"?>
<formControlPr xmlns="http://schemas.microsoft.com/office/spreadsheetml/2009/9/main" objectType="CheckBox" fmlaLink="PedBerAfspr!$B$16" lockText="1"/>
</file>

<file path=xl/ctrlProps/ctrlProp564.xml><?xml version="1.0" encoding="utf-8"?>
<formControlPr xmlns="http://schemas.microsoft.com/office/spreadsheetml/2009/9/main" objectType="CheckBox" fmlaLink="PedBerAfspr!$B$17" lockText="1"/>
</file>

<file path=xl/ctrlProps/ctrlProp565.xml><?xml version="1.0" encoding="utf-8"?>
<formControlPr xmlns="http://schemas.microsoft.com/office/spreadsheetml/2009/9/main" objectType="CheckBox" fmlaLink="PedBerAfspr!$D$11" lockText="1"/>
</file>

<file path=xl/ctrlProps/ctrlProp566.xml><?xml version="1.0" encoding="utf-8"?>
<formControlPr xmlns="http://schemas.microsoft.com/office/spreadsheetml/2009/9/main" objectType="CheckBox" fmlaLink="PedBerAfspr!$D$12" lockText="1"/>
</file>

<file path=xl/ctrlProps/ctrlProp567.xml><?xml version="1.0" encoding="utf-8"?>
<formControlPr xmlns="http://schemas.microsoft.com/office/spreadsheetml/2009/9/main" objectType="CheckBox" fmlaLink="PedBerAfspr!$D$13" lockText="1"/>
</file>

<file path=xl/ctrlProps/ctrlProp568.xml><?xml version="1.0" encoding="utf-8"?>
<formControlPr xmlns="http://schemas.microsoft.com/office/spreadsheetml/2009/9/main" objectType="CheckBox" fmlaLink="PedBerAfspr!$D$14" lockText="1"/>
</file>

<file path=xl/ctrlProps/ctrlProp569.xml><?xml version="1.0" encoding="utf-8"?>
<formControlPr xmlns="http://schemas.microsoft.com/office/spreadsheetml/2009/9/main" objectType="CheckBox" fmlaLink="PedBerAfspr!$B$20" lockText="1"/>
</file>

<file path=xl/ctrlProps/ctrlProp570.xml><?xml version="1.0" encoding="utf-8"?>
<formControlPr xmlns="http://schemas.microsoft.com/office/spreadsheetml/2009/9/main" objectType="CheckBox" fmlaLink="PedBerAfspr!$B$9" lockText="1"/>
</file>

<file path=xl/ctrlProps/ctrlProp571.xml><?xml version="1.0" encoding="utf-8"?>
<formControlPr xmlns="http://schemas.microsoft.com/office/spreadsheetml/2009/9/main" objectType="Spin" dx="15" fmlaLink="PedBerAfspr!$C$7" max="10" page="10" val="0"/>
</file>

<file path=xl/ctrlProps/ctrlProp572.xml><?xml version="1.0" encoding="utf-8"?>
<formControlPr xmlns="http://schemas.microsoft.com/office/spreadsheetml/2009/9/main" objectType="Spin" dx="15" fmlaLink="PedBerAfspr!$C$8" max="10" page="10" val="0"/>
</file>

<file path=xl/ctrlProps/ctrlProp573.xml><?xml version="1.0" encoding="utf-8"?>
<formControlPr xmlns="http://schemas.microsoft.com/office/spreadsheetml/2009/9/main" objectType="Spin" dx="15" fmlaLink="PedBerAfspr!$C$9" max="10" page="10" val="0"/>
</file>

<file path=xl/ctrlProps/ctrlProp574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6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7.xml><?xml version="1.0" encoding="utf-8"?>
<formControlPr xmlns="http://schemas.microsoft.com/office/spreadsheetml/2009/9/main" objectType="Spin" dx="15" fmlaLink="PedBerAfspr!$C$8" max="10" page="10" val="0"/>
</file>

<file path=xl/ctrlProps/ctrlProp578.xml><?xml version="1.0" encoding="utf-8"?>
<formControlPr xmlns="http://schemas.microsoft.com/office/spreadsheetml/2009/9/main" objectType="Spin" dx="15" fmlaLink="PedBerAfspr!$C$9" max="10" page="10" val="0"/>
</file>

<file path=xl/ctrlProps/ctrlProp579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80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1.xml><?xml version="1.0" encoding="utf-8"?>
<formControlPr xmlns="http://schemas.microsoft.com/office/spreadsheetml/2009/9/main" objectType="CheckBox" fmlaLink="PedBerAfspr!$B$33" lockText="1"/>
</file>

<file path=xl/ctrlProps/ctrlProp582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3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4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5.xml><?xml version="1.0" encoding="utf-8"?>
<formControlPr xmlns="http://schemas.microsoft.com/office/spreadsheetml/2009/9/main" objectType="CheckBox" fmlaLink="PedBerAfspr!$B$36" lockText="1"/>
</file>

<file path=xl/ctrlProps/ctrlProp586.xml><?xml version="1.0" encoding="utf-8"?>
<formControlPr xmlns="http://schemas.microsoft.com/office/spreadsheetml/2009/9/main" objectType="CheckBox" fmlaLink="PedBerAfspr!$B$38" lockText="1"/>
</file>

<file path=xl/ctrlProps/ctrlProp587.xml><?xml version="1.0" encoding="utf-8"?>
<formControlPr xmlns="http://schemas.microsoft.com/office/spreadsheetml/2009/9/main" objectType="CheckBox" fmlaLink="PedBerAfspr!$B$37" lockText="1"/>
</file>

<file path=xl/ctrlProps/ctrlProp588.xml><?xml version="1.0" encoding="utf-8"?>
<formControlPr xmlns="http://schemas.microsoft.com/office/spreadsheetml/2009/9/main" objectType="CheckBox" fmlaLink="PedBerAfspr!$D$36" lockText="1"/>
</file>

<file path=xl/ctrlProps/ctrlProp589.xml><?xml version="1.0" encoding="utf-8"?>
<formControlPr xmlns="http://schemas.microsoft.com/office/spreadsheetml/2009/9/main" objectType="CheckBox" fmlaLink="PedBerAfspr!$D$37" lockText="1"/>
</file>

<file path=xl/ctrlProps/ctrlProp590.xml><?xml version="1.0" encoding="utf-8"?>
<formControlPr xmlns="http://schemas.microsoft.com/office/spreadsheetml/2009/9/main" objectType="CheckBox" fmlaLink="PedBerAfspr!$D$38" lockText="1"/>
</file>

<file path=xl/ctrlProps/ctrlProp591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2.xml><?xml version="1.0" encoding="utf-8"?>
<formControlPr xmlns="http://schemas.microsoft.com/office/spreadsheetml/2009/9/main" objectType="Spin" dx="15" fmlaLink="PedBerAfspr!$D$40" max="100" page="10" val="0"/>
</file>

<file path=xl/ctrlProps/ctrlProp593.xml><?xml version="1.0" encoding="utf-8"?>
<formControlPr xmlns="http://schemas.microsoft.com/office/spreadsheetml/2009/9/main" objectType="CheckBox" fmlaLink="PedBerAfspr!$B$39" lockText="1"/>
</file>

<file path=xl/ctrlProps/ctrlProp594.xml><?xml version="1.0" encoding="utf-8"?>
<formControlPr xmlns="http://schemas.microsoft.com/office/spreadsheetml/2009/9/main" objectType="CheckBox" fmlaLink="PedBerAfspr!$F$9" lockText="1"/>
</file>

<file path=xl/ctrlProps/ctrlProp595.xml><?xml version="1.0" encoding="utf-8"?>
<formControlPr xmlns="http://schemas.microsoft.com/office/spreadsheetml/2009/9/main" objectType="CheckBox" fmlaLink="PedBerAfspr!$F$10" lockText="1"/>
</file>

<file path=xl/ctrlProps/ctrlProp596.xml><?xml version="1.0" encoding="utf-8"?>
<formControlPr xmlns="http://schemas.microsoft.com/office/spreadsheetml/2009/9/main" objectType="CheckBox" fmlaLink="PedBerAfspr!$F$12" lockText="1"/>
</file>

<file path=xl/ctrlProps/ctrlProp597.xml><?xml version="1.0" encoding="utf-8"?>
<formControlPr xmlns="http://schemas.microsoft.com/office/spreadsheetml/2009/9/main" objectType="CheckBox" fmlaLink="PedBerAfspr!$F$13" lockText="1"/>
</file>

<file path=xl/ctrlProps/ctrlProp598.xml><?xml version="1.0" encoding="utf-8"?>
<formControlPr xmlns="http://schemas.microsoft.com/office/spreadsheetml/2009/9/main" objectType="CheckBox" fmlaLink="PedBerAfspr!$F$14" lockText="1"/>
</file>

<file path=xl/ctrlProps/ctrlProp599.xml><?xml version="1.0" encoding="utf-8"?>
<formControlPr xmlns="http://schemas.microsoft.com/office/spreadsheetml/2009/9/main" objectType="CheckBox" fmlaLink="PedBerAfspr!$F$15" lockText="1"/>
</file>

<file path=xl/ctrlProps/ctrlProp600.xml><?xml version="1.0" encoding="utf-8"?>
<formControlPr xmlns="http://schemas.microsoft.com/office/spreadsheetml/2009/9/main" objectType="CheckBox" fmlaLink="PedBerAfspr!$B$24" lockText="1"/>
</file>

<file path=xl/ctrlProps/ctrlProp601.xml><?xml version="1.0" encoding="utf-8"?>
<formControlPr xmlns="http://schemas.microsoft.com/office/spreadsheetml/2009/9/main" objectType="CheckBox" fmlaLink="PedBerAfspr!$B$25" lockText="1"/>
</file>

<file path=xl/ctrlProps/ctrlProp602.xml><?xml version="1.0" encoding="utf-8"?>
<formControlPr xmlns="http://schemas.microsoft.com/office/spreadsheetml/2009/9/main" objectType="Spin" dx="15" fmlaLink="PedBerAfspr!$C$8" max="10" page="10" val="0"/>
</file>

<file path=xl/ctrlProps/ctrlProp603.xml><?xml version="1.0" encoding="utf-8"?>
<formControlPr xmlns="http://schemas.microsoft.com/office/spreadsheetml/2009/9/main" objectType="Spin" dx="15" fmlaLink="PedBerAfspr!$C$9" max="10" page="10" val="0"/>
</file>

<file path=xl/ctrlProps/ctrlProp604.xml><?xml version="1.0" encoding="utf-8"?>
<formControlPr xmlns="http://schemas.microsoft.com/office/spreadsheetml/2009/9/main" objectType="CheckBox" fmlaLink="PedBerAfspr!$F$16" lockText="1"/>
</file>

<file path=xl/ctrlProps/ctrlProp605.xml><?xml version="1.0" encoding="utf-8"?>
<formControlPr xmlns="http://schemas.microsoft.com/office/spreadsheetml/2009/9/main" objectType="Spin" dx="15" fmlaLink="PedBerAfspr!$G$16" max="24" page="10" val="0"/>
</file>

<file path=xl/ctrlProps/ctrlProp606.xml><?xml version="1.0" encoding="utf-8"?>
<formControlPr xmlns="http://schemas.microsoft.com/office/spreadsheetml/2009/9/main" objectType="Spin" dx="15" fmlaLink="PedBerAfspr!$G$18" max="24" page="10" val="0"/>
</file>

<file path=xl/ctrlProps/ctrlProp607.xml><?xml version="1.0" encoding="utf-8"?>
<formControlPr xmlns="http://schemas.microsoft.com/office/spreadsheetml/2009/9/main" objectType="CheckBox" fmlaLink="PedBerAfspr!$F$18" lockText="1"/>
</file>

<file path=xl/ctrlProps/ctrlProp608.xml><?xml version="1.0" encoding="utf-8"?>
<formControlPr xmlns="http://schemas.microsoft.com/office/spreadsheetml/2009/9/main" objectType="CheckBox" fmlaLink="PedBerAfspr!$B$42" lockText="1"/>
</file>

<file path=xl/ctrlProps/ctrlProp609.xml><?xml version="1.0" encoding="utf-8"?>
<formControlPr xmlns="http://schemas.microsoft.com/office/spreadsheetml/2009/9/main" objectType="CheckBox" fmlaLink="PedBerAfspr!$B$43" lockText="1"/>
</file>

<file path=xl/ctrlProps/ctrlProp610.xml><?xml version="1.0" encoding="utf-8"?>
<formControlPr xmlns="http://schemas.microsoft.com/office/spreadsheetml/2009/9/main" objectType="CheckBox" fmlaLink="PedBerAfspr!$B$44" lockText="1"/>
</file>

<file path=xl/ctrlProps/ctrlProp611.xml><?xml version="1.0" encoding="utf-8"?>
<formControlPr xmlns="http://schemas.microsoft.com/office/spreadsheetml/2009/9/main" objectType="Spin" dx="15" fmlaLink="PedBerAfspr!$C$42" max="24" page="10" val="0"/>
</file>

<file path=xl/ctrlProps/ctrlProp612.xml><?xml version="1.0" encoding="utf-8"?>
<formControlPr xmlns="http://schemas.microsoft.com/office/spreadsheetml/2009/9/main" objectType="Spin" dx="15" fmlaLink="PedBerAfspr!$C$43" max="24" page="10" val="0"/>
</file>

<file path=xl/ctrlProps/ctrlProp613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4.xml><?xml version="1.0" encoding="utf-8"?>
<formControlPr xmlns="http://schemas.microsoft.com/office/spreadsheetml/2009/9/main" objectType="Drop" dropStyle="combo" dx="16" fmlaLink="NeoBerInfB!$B$24" fmlaRange="Tbl_Neo_MedIV" val="0"/>
</file>

<file path=xl/ctrlProps/ctrlProp615.xml><?xml version="1.0" encoding="utf-8"?>
<formControlPr xmlns="http://schemas.microsoft.com/office/spreadsheetml/2009/9/main" objectType="Drop" dropStyle="combo" dx="16" fmlaLink="NeoBerInfB!$B$25" fmlaRange="Tbl_Neo_MedIV" val="14"/>
</file>

<file path=xl/ctrlProps/ctrlProp616.xml><?xml version="1.0" encoding="utf-8"?>
<formControlPr xmlns="http://schemas.microsoft.com/office/spreadsheetml/2009/9/main" objectType="Drop" dropStyle="combo" dx="16" fmlaLink="NeoBerInfB!$B$26" fmlaRange="Tbl_Neo_MedIV" val="0"/>
</file>

<file path=xl/ctrlProps/ctrlProp617.xml><?xml version="1.0" encoding="utf-8"?>
<formControlPr xmlns="http://schemas.microsoft.com/office/spreadsheetml/2009/9/main" objectType="Drop" dropStyle="combo" dx="16" fmlaLink="NeoBerInfB!$B$27" fmlaRange="Tbl_Neo_MedIV" val="0"/>
</file>

<file path=xl/ctrlProps/ctrlProp618.xml><?xml version="1.0" encoding="utf-8"?>
<formControlPr xmlns="http://schemas.microsoft.com/office/spreadsheetml/2009/9/main" objectType="Drop" dropStyle="combo" dx="16" fmlaLink="NeoBerInfB!$B$28" fmlaRange="Tbl_Neo_MedIV" val="0"/>
</file>

<file path=xl/ctrlProps/ctrlProp619.xml><?xml version="1.0" encoding="utf-8"?>
<formControlPr xmlns="http://schemas.microsoft.com/office/spreadsheetml/2009/9/main" objectType="Drop" dropStyle="combo" dx="16" fmlaLink="NeoBerInfB!$B$29" fmlaRange="Tbl_Neo_MedIV" val="0"/>
</file>

<file path=xl/ctrlProps/ctrlProp620.xml><?xml version="1.0" encoding="utf-8"?>
<formControlPr xmlns="http://schemas.microsoft.com/office/spreadsheetml/2009/9/main" objectType="Spin" dx="15" fmlaLink="NeoBerInfB!$B$22" inc="5" max="10" page="10" val="0"/>
</file>

<file path=xl/ctrlProps/ctrlProp621.xml><?xml version="1.0" encoding="utf-8"?>
<formControlPr xmlns="http://schemas.microsoft.com/office/spreadsheetml/2009/9/main" objectType="Spin" dx="15" fmlaLink="NeoBerInfB!$F$23" max="30000" page="10" val="0"/>
</file>

<file path=xl/ctrlProps/ctrlProp622.xml><?xml version="1.0" encoding="utf-8"?>
<formControlPr xmlns="http://schemas.microsoft.com/office/spreadsheetml/2009/9/main" objectType="Spin" dx="15" fmlaLink="NeoBerInfB!$F$24" max="30000" page="10" val="0"/>
</file>

<file path=xl/ctrlProps/ctrlProp623.xml><?xml version="1.0" encoding="utf-8"?>
<formControlPr xmlns="http://schemas.microsoft.com/office/spreadsheetml/2009/9/main" objectType="Spin" dx="15" fmlaLink="NeoBerInfB!$F$25" max="30000" page="10" val="0"/>
</file>

<file path=xl/ctrlProps/ctrlProp624.xml><?xml version="1.0" encoding="utf-8"?>
<formControlPr xmlns="http://schemas.microsoft.com/office/spreadsheetml/2009/9/main" objectType="Spin" dx="15" fmlaLink="NeoBerInfB!$F$26" max="30000" page="10" val="0"/>
</file>

<file path=xl/ctrlProps/ctrlProp625.xml><?xml version="1.0" encoding="utf-8"?>
<formControlPr xmlns="http://schemas.microsoft.com/office/spreadsheetml/2009/9/main" objectType="Spin" dx="15" fmlaLink="NeoBerInfB!$F$27" max="30000" page="10" val="0"/>
</file>

<file path=xl/ctrlProps/ctrlProp626.xml><?xml version="1.0" encoding="utf-8"?>
<formControlPr xmlns="http://schemas.microsoft.com/office/spreadsheetml/2009/9/main" objectType="Spin" dx="15" fmlaLink="NeoBerInfB!$F$28" max="30000" page="10" val="0"/>
</file>

<file path=xl/ctrlProps/ctrlProp627.xml><?xml version="1.0" encoding="utf-8"?>
<formControlPr xmlns="http://schemas.microsoft.com/office/spreadsheetml/2009/9/main" objectType="Spin" dx="15" fmlaLink="NeoBerInfB!$F$29" max="30000" page="10" val="0"/>
</file>

<file path=xl/ctrlProps/ctrlProp628.xml><?xml version="1.0" encoding="utf-8"?>
<formControlPr xmlns="http://schemas.microsoft.com/office/spreadsheetml/2009/9/main" objectType="Radio" firstButton="1" fmlaLink="NeoBerInfB!$I$9" lockText="1"/>
</file>

<file path=xl/ctrlProps/ctrlProp629.xml><?xml version="1.0" encoding="utf-8"?>
<formControlPr xmlns="http://schemas.microsoft.com/office/spreadsheetml/2009/9/main" objectType="Radio" checked="Checked" lockText="1"/>
</file>

<file path=xl/ctrlProps/ctrlProp630.xml><?xml version="1.0" encoding="utf-8"?>
<formControlPr xmlns="http://schemas.microsoft.com/office/spreadsheetml/2009/9/main" objectType="Spin" dx="15" fmlaLink="NeoBerInfB!$F$9" max="24" page="10" val="0"/>
</file>

<file path=xl/ctrlProps/ctrlProp631.xml><?xml version="1.0" encoding="utf-8"?>
<formControlPr xmlns="http://schemas.microsoft.com/office/spreadsheetml/2009/9/main" objectType="Spin" dx="15" fmlaLink="NeoBerInfB!$G$9" inc="5" max="30000" page="10" val="0"/>
</file>

<file path=xl/ctrlProps/ctrlProp632.xml><?xml version="1.0" encoding="utf-8"?>
<formControlPr xmlns="http://schemas.microsoft.com/office/spreadsheetml/2009/9/main" objectType="Spin" dx="15" fmlaLink="NeoBerInfB!$D$7" max="30000" page="10" val="0"/>
</file>

<file path=xl/ctrlProps/ctrlProp633.xml><?xml version="1.0" encoding="utf-8"?>
<formControlPr xmlns="http://schemas.microsoft.com/office/spreadsheetml/2009/9/main" objectType="Spin" dx="15" fmlaLink="NeoBerInfB!$D$42" max="30000" page="10" val="5000"/>
</file>

<file path=xl/ctrlProps/ctrlProp634.xml><?xml version="1.0" encoding="utf-8"?>
<formControlPr xmlns="http://schemas.microsoft.com/office/spreadsheetml/2009/9/main" objectType="Spin" dx="15" fmlaLink="NeoBerInfB!$D$43" max="30000" page="10" val="5000"/>
</file>

<file path=xl/ctrlProps/ctrlProp635.xml><?xml version="1.0" encoding="utf-8"?>
<formControlPr xmlns="http://schemas.microsoft.com/office/spreadsheetml/2009/9/main" objectType="Spin" dx="15" fmlaLink="NeoBerInfB!$D$44" max="30000" page="10" val="5000"/>
</file>

<file path=xl/ctrlProps/ctrlProp636.xml><?xml version="1.0" encoding="utf-8"?>
<formControlPr xmlns="http://schemas.microsoft.com/office/spreadsheetml/2009/9/main" objectType="Spin" dx="15" fmlaLink="NeoBerInfB!$D$45" max="30000" page="10" val="5000"/>
</file>

<file path=xl/ctrlProps/ctrlProp637.xml><?xml version="1.0" encoding="utf-8"?>
<formControlPr xmlns="http://schemas.microsoft.com/office/spreadsheetml/2009/9/main" objectType="Spin" dx="15" fmlaLink="NeoBerInfB!$D$46" max="30000" page="10" val="5000"/>
</file>

<file path=xl/ctrlProps/ctrlProp638.xml><?xml version="1.0" encoding="utf-8"?>
<formControlPr xmlns="http://schemas.microsoft.com/office/spreadsheetml/2009/9/main" objectType="Spin" dx="15" fmlaLink="NeoBerInfB!$D$47" max="30000" page="10" val="5000"/>
</file>

<file path=xl/ctrlProps/ctrlProp639.xml><?xml version="1.0" encoding="utf-8"?>
<formControlPr xmlns="http://schemas.microsoft.com/office/spreadsheetml/2009/9/main" objectType="Spin" dx="15" fmlaLink="NeoBerInfB!$D$48" max="30000" page="10" val="5000"/>
</file>

<file path=xl/ctrlProps/ctrlProp640.xml><?xml version="1.0" encoding="utf-8"?>
<formControlPr xmlns="http://schemas.microsoft.com/office/spreadsheetml/2009/9/main" objectType="Spin" dx="15" fmlaLink="NeoBerInfB!$D$42" max="30000" page="10" val="5000"/>
</file>

<file path=xl/ctrlProps/ctrlProp641.xml><?xml version="1.0" encoding="utf-8"?>
<formControlPr xmlns="http://schemas.microsoft.com/office/spreadsheetml/2009/9/main" objectType="Spin" dx="15" fmlaLink="NeoBerInfB!$D$43" max="30000" page="10" val="5000"/>
</file>

<file path=xl/ctrlProps/ctrlProp642.xml><?xml version="1.0" encoding="utf-8"?>
<formControlPr xmlns="http://schemas.microsoft.com/office/spreadsheetml/2009/9/main" objectType="Spin" dx="15" fmlaLink="NeoBerInfB!$D$49" max="30000" page="10" val="5000"/>
</file>

<file path=xl/ctrlProps/ctrlProp643.xml><?xml version="1.0" encoding="utf-8"?>
<formControlPr xmlns="http://schemas.microsoft.com/office/spreadsheetml/2009/9/main" objectType="Radio" firstButton="1" fmlaLink="NeoBerInfB!$B$6" lockText="1"/>
</file>

<file path=xl/ctrlProps/ctrlProp644.xml><?xml version="1.0" encoding="utf-8"?>
<formControlPr xmlns="http://schemas.microsoft.com/office/spreadsheetml/2009/9/main" objectType="Radio" checked="Checked" lockText="1"/>
</file>

<file path=xl/ctrlProps/ctrlProp645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6.xml><?xml version="1.0" encoding="utf-8"?>
<formControlPr xmlns="http://schemas.microsoft.com/office/spreadsheetml/2009/9/main" objectType="Drop" dropStyle="combo" dx="16" fmlaLink="NeoBerInfB!$E$24" fmlaRange="Tbl_Neo_OplVlst" val="8"/>
</file>

<file path=xl/ctrlProps/ctrlProp647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50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1.xml><?xml version="1.0" encoding="utf-8"?>
<formControlPr xmlns="http://schemas.microsoft.com/office/spreadsheetml/2009/9/main" objectType="Spin" dx="15" fmlaLink="NeoBerInfB!$D$23" max="30000" page="10" val="0"/>
</file>

<file path=xl/ctrlProps/ctrlProp652.xml><?xml version="1.0" encoding="utf-8"?>
<formControlPr xmlns="http://schemas.microsoft.com/office/spreadsheetml/2009/9/main" objectType="Spin" dx="15" fmlaLink="NeoBerInfB!$D$24" max="30000" page="10" val="0"/>
</file>

<file path=xl/ctrlProps/ctrlProp653.xml><?xml version="1.0" encoding="utf-8"?>
<formControlPr xmlns="http://schemas.microsoft.com/office/spreadsheetml/2009/9/main" objectType="Spin" dx="15" fmlaLink="NeoBerInfB!$D$25" max="30000" page="10" val="0"/>
</file>

<file path=xl/ctrlProps/ctrlProp654.xml><?xml version="1.0" encoding="utf-8"?>
<formControlPr xmlns="http://schemas.microsoft.com/office/spreadsheetml/2009/9/main" objectType="Spin" dx="15" fmlaLink="NeoBerInfB!$D$26" max="30000" page="10" val="0"/>
</file>

<file path=xl/ctrlProps/ctrlProp655.xml><?xml version="1.0" encoding="utf-8"?>
<formControlPr xmlns="http://schemas.microsoft.com/office/spreadsheetml/2009/9/main" objectType="Spin" dx="15" fmlaLink="NeoBerInfB!$D$27" max="30000" page="10" val="0"/>
</file>

<file path=xl/ctrlProps/ctrlProp656.xml><?xml version="1.0" encoding="utf-8"?>
<formControlPr xmlns="http://schemas.microsoft.com/office/spreadsheetml/2009/9/main" objectType="Spin" dx="15" fmlaLink="NeoBerInfB!$D$28" max="30000" page="10" val="0"/>
</file>

<file path=xl/ctrlProps/ctrlProp657.xml><?xml version="1.0" encoding="utf-8"?>
<formControlPr xmlns="http://schemas.microsoft.com/office/spreadsheetml/2009/9/main" objectType="Spin" dx="15" fmlaLink="NeoBerInfB!$D$29" max="30000" page="10" val="0"/>
</file>

<file path=xl/ctrlProps/ctrlProp658.xml><?xml version="1.0" encoding="utf-8"?>
<formControlPr xmlns="http://schemas.microsoft.com/office/spreadsheetml/2009/9/main" objectType="GBox"/>
</file>

<file path=xl/ctrlProps/ctrlProp659.xml><?xml version="1.0" encoding="utf-8"?>
<formControlPr xmlns="http://schemas.microsoft.com/office/spreadsheetml/2009/9/main" objectType="GBox" noThreeD="1"/>
</file>

<file path=xl/ctrlProps/ctrlProp660.xml><?xml version="1.0" encoding="utf-8"?>
<formControlPr xmlns="http://schemas.microsoft.com/office/spreadsheetml/2009/9/main" objectType="CheckBox" fmlaLink="NeoBerInfB!$I$22" lockText="1"/>
</file>

<file path=xl/ctrlProps/ctrlProp661.xml><?xml version="1.0" encoding="utf-8"?>
<formControlPr xmlns="http://schemas.microsoft.com/office/spreadsheetml/2009/9/main" objectType="CheckBox" fmlaLink="NeoBerInfB!$I$23" lockText="1"/>
</file>

<file path=xl/ctrlProps/ctrlProp662.xml><?xml version="1.0" encoding="utf-8"?>
<formControlPr xmlns="http://schemas.microsoft.com/office/spreadsheetml/2009/9/main" objectType="CheckBox" fmlaLink="NeoBerInfB!$I$24" lockText="1"/>
</file>

<file path=xl/ctrlProps/ctrlProp663.xml><?xml version="1.0" encoding="utf-8"?>
<formControlPr xmlns="http://schemas.microsoft.com/office/spreadsheetml/2009/9/main" objectType="CheckBox" fmlaLink="NeoBerInfB!$I$25" lockText="1"/>
</file>

<file path=xl/ctrlProps/ctrlProp664.xml><?xml version="1.0" encoding="utf-8"?>
<formControlPr xmlns="http://schemas.microsoft.com/office/spreadsheetml/2009/9/main" objectType="CheckBox" fmlaLink="NeoBerInfB!$I$26" lockText="1"/>
</file>

<file path=xl/ctrlProps/ctrlProp665.xml><?xml version="1.0" encoding="utf-8"?>
<formControlPr xmlns="http://schemas.microsoft.com/office/spreadsheetml/2009/9/main" objectType="CheckBox" fmlaLink="NeoBerInfB!$I$27" lockText="1"/>
</file>

<file path=xl/ctrlProps/ctrlProp666.xml><?xml version="1.0" encoding="utf-8"?>
<formControlPr xmlns="http://schemas.microsoft.com/office/spreadsheetml/2009/9/main" objectType="CheckBox" fmlaLink="NeoBerInfB!$I$28" lockText="1"/>
</file>

<file path=xl/ctrlProps/ctrlProp667.xml><?xml version="1.0" encoding="utf-8"?>
<formControlPr xmlns="http://schemas.microsoft.com/office/spreadsheetml/2009/9/main" objectType="CheckBox" lockText="1"/>
</file>

<file path=xl/ctrlProps/ctrlProp668.xml><?xml version="1.0" encoding="utf-8"?>
<formControlPr xmlns="http://schemas.microsoft.com/office/spreadsheetml/2009/9/main" objectType="Drop" dropStyle="combo" dx="16" fmlaLink="NeoBerInfB!$B$30" fmlaRange="Tbl_Neo_MedIV" val="0"/>
</file>

<file path=xl/ctrlProps/ctrlProp669.xml><?xml version="1.0" encoding="utf-8"?>
<formControlPr xmlns="http://schemas.microsoft.com/office/spreadsheetml/2009/9/main" objectType="Spin" dx="15" fmlaLink="NeoBerInfB!$F$30" max="30000" page="10" val="0"/>
</file>

<file path=xl/ctrlProps/ctrlProp670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1.xml><?xml version="1.0" encoding="utf-8"?>
<formControlPr xmlns="http://schemas.microsoft.com/office/spreadsheetml/2009/9/main" objectType="Spin" dx="15" fmlaLink="NeoBerInfB!$D$30" max="30000" page="10" val="0"/>
</file>

<file path=xl/ctrlProps/ctrlProp672.xml><?xml version="1.0" encoding="utf-8"?>
<formControlPr xmlns="http://schemas.microsoft.com/office/spreadsheetml/2009/9/main" objectType="CheckBox" fmlaLink="NeoBerInfB!$I$29" lockText="1"/>
</file>

<file path=xl/ctrlProps/ctrlProp673.xml><?xml version="1.0" encoding="utf-8"?>
<formControlPr xmlns="http://schemas.microsoft.com/office/spreadsheetml/2009/9/main" objectType="CheckBox" lockText="1"/>
</file>

<file path=xl/ctrlProps/ctrlProp674.xml><?xml version="1.0" encoding="utf-8"?>
<formControlPr xmlns="http://schemas.microsoft.com/office/spreadsheetml/2009/9/main" objectType="Spin" dx="15" fmlaLink="NeoBerInfB!$F$31" max="30000" page="10" val="0"/>
</file>

<file path=xl/ctrlProps/ctrlProp675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76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77.xml><?xml version="1.0" encoding="utf-8"?>
<formControlPr xmlns="http://schemas.microsoft.com/office/spreadsheetml/2009/9/main" objectType="CheckBox" fmlaLink="NeoBerInfB!$I$30" lockText="1"/>
</file>

<file path=xl/ctrlProps/ctrlProp678.xml><?xml version="1.0" encoding="utf-8"?>
<formControlPr xmlns="http://schemas.microsoft.com/office/spreadsheetml/2009/9/main" objectType="CheckBox" fmlaLink="NeoBerInfB!$I$31" lockText="1"/>
</file>

<file path=xl/ctrlProps/ctrlProp679.xml><?xml version="1.0" encoding="utf-8"?>
<formControlPr xmlns="http://schemas.microsoft.com/office/spreadsheetml/2009/9/main" objectType="Spin" dx="15" fmlaLink="NeoBerInfB!$D$40" max="30000" page="10" val="5000"/>
</file>

<file path=xl/ctrlProps/ctrlProp680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1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2.xml><?xml version="1.0" encoding="utf-8"?>
<formControlPr xmlns="http://schemas.microsoft.com/office/spreadsheetml/2009/9/main" objectType="Drop" dropStyle="combo" dx="16" fmlaLink="NeoBerInfB!$B$9" fmlaRange="Tbl_Neo_Voed" val="0"/>
</file>

<file path=xl/ctrlProps/ctrlProp683.xml><?xml version="1.0" encoding="utf-8"?>
<formControlPr xmlns="http://schemas.microsoft.com/office/spreadsheetml/2009/9/main" objectType="Spin" dx="15" fmlaLink="NeoBerInfB!$F$10" max="24" page="10" val="0"/>
</file>

<file path=xl/ctrlProps/ctrlProp684.xml><?xml version="1.0" encoding="utf-8"?>
<formControlPr xmlns="http://schemas.microsoft.com/office/spreadsheetml/2009/9/main" objectType="Spin" dx="15" fmlaLink="NeoBerInfB!$G$10" inc="5" max="30000" page="10" val="0"/>
</file>

<file path=xl/ctrlProps/ctrlProp685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86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87.xml><?xml version="1.0" encoding="utf-8"?>
<formControlPr xmlns="http://schemas.microsoft.com/office/spreadsheetml/2009/9/main" objectType="Drop" dropStyle="combo" dx="16" fmlaLink="NeoBerInfB!$B$31" fmlaRange="Tbl_Neo_MedIV" val="0"/>
</file>

<file path=xl/ctrlProps/ctrlProp688.xml><?xml version="1.0" encoding="utf-8"?>
<formControlPr xmlns="http://schemas.microsoft.com/office/spreadsheetml/2009/9/main" objectType="Spin" dx="15" fmlaLink="NeoBerInfB!$D$31" max="30000" page="10" val="0"/>
</file>

<file path=xl/ctrlProps/ctrlProp689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90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1.xml><?xml version="1.0" encoding="utf-8"?>
<formControlPr xmlns="http://schemas.microsoft.com/office/spreadsheetml/2009/9/main" objectType="Spin" dx="15" fmlaLink="NeoBerInfB!$F$33" max="30000" page="10" val="0"/>
</file>

<file path=xl/ctrlProps/ctrlProp692.xml><?xml version="1.0" encoding="utf-8"?>
<formControlPr xmlns="http://schemas.microsoft.com/office/spreadsheetml/2009/9/main" objectType="CheckBox" fmlaLink="NeoBerInfB!$I$33" lockText="1"/>
</file>

<file path=xl/ctrlProps/ctrlProp693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694.xml><?xml version="1.0" encoding="utf-8"?>
<formControlPr xmlns="http://schemas.microsoft.com/office/spreadsheetml/2009/9/main" objectType="Spin" dx="15" fmlaLink="NeoBerInfB!$F$34" max="30000" page="10" val="0"/>
</file>

<file path=xl/ctrlProps/ctrlProp695.xml><?xml version="1.0" encoding="utf-8"?>
<formControlPr xmlns="http://schemas.microsoft.com/office/spreadsheetml/2009/9/main" objectType="CheckBox" fmlaLink="NeoBerInfB!$I$34" lockText="1"/>
</file>

<file path=xl/ctrlProps/ctrlProp696.xml><?xml version="1.0" encoding="utf-8"?>
<formControlPr xmlns="http://schemas.microsoft.com/office/spreadsheetml/2009/9/main" objectType="CheckBox" fmlaLink="NeoBerInfB!$I$34" lockText="1"/>
</file>

<file path=xl/ctrlProps/ctrlProp697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698.xml><?xml version="1.0" encoding="utf-8"?>
<formControlPr xmlns="http://schemas.microsoft.com/office/spreadsheetml/2009/9/main" objectType="Spin" dx="15" fmlaLink="NeoBerInfB!$F$35" max="30000" page="10" val="0"/>
</file>

<file path=xl/ctrlProps/ctrlProp699.xml><?xml version="1.0" encoding="utf-8"?>
<formControlPr xmlns="http://schemas.microsoft.com/office/spreadsheetml/2009/9/main" objectType="CheckBox" fmlaLink="NeoBerInfB!$I$35" lockText="1"/>
</file>

<file path=xl/ctrlProps/ctrlProp700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1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02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03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04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05.xml><?xml version="1.0" encoding="utf-8"?>
<formControlPr xmlns="http://schemas.microsoft.com/office/spreadsheetml/2009/9/main" objectType="CheckBox" fmlaLink="NeoBerInfB!$B$21" lockText="1" noThreeD="1"/>
</file>

<file path=xl/ctrlProps/ctrlProp706.xml><?xml version="1.0" encoding="utf-8"?>
<formControlPr xmlns="http://schemas.microsoft.com/office/spreadsheetml/2009/9/main" objectType="Spin" dx="15" fmlaLink="NeoBerInfB!$F$25" max="30000" page="10" val="0"/>
</file>

<file path=xl/ctrlProps/ctrlProp707.xml><?xml version="1.0" encoding="utf-8"?>
<formControlPr xmlns="http://schemas.microsoft.com/office/spreadsheetml/2009/9/main" objectType="Spin" dx="15" fmlaLink="NeoBerInfB!$F$26" max="30000" page="10" val="0"/>
</file>

<file path=xl/ctrlProps/ctrlProp708.xml><?xml version="1.0" encoding="utf-8"?>
<formControlPr xmlns="http://schemas.microsoft.com/office/spreadsheetml/2009/9/main" objectType="Spin" dx="15" fmlaLink="NeoBerInfB!$F$27" max="30000" page="10" val="0"/>
</file>

<file path=xl/ctrlProps/ctrlProp709.xml><?xml version="1.0" encoding="utf-8"?>
<formControlPr xmlns="http://schemas.microsoft.com/office/spreadsheetml/2009/9/main" objectType="Spin" dx="15" fmlaLink="NeoBerInfB!$F$28" max="30000" page="10" val="0"/>
</file>

<file path=xl/ctrlProps/ctrlProp710.xml><?xml version="1.0" encoding="utf-8"?>
<formControlPr xmlns="http://schemas.microsoft.com/office/spreadsheetml/2009/9/main" objectType="Spin" dx="15" fmlaLink="NeoBerInfB!$F$29" max="30000" page="10" val="0"/>
</file>

<file path=xl/ctrlProps/ctrlProp711.xml><?xml version="1.0" encoding="utf-8"?>
<formControlPr xmlns="http://schemas.microsoft.com/office/spreadsheetml/2009/9/main" objectType="Spin" dx="15" fmlaLink="NeoBerInfB!$F$30" max="30000" page="10" val="0"/>
</file>

<file path=xl/ctrlProps/ctrlProp712.xml><?xml version="1.0" encoding="utf-8"?>
<formControlPr xmlns="http://schemas.microsoft.com/office/spreadsheetml/2009/9/main" objectType="Spin" dx="15" fmlaLink="NeoBerInfB!$F$31" max="30000" page="10" val="0"/>
</file>

<file path=xl/ctrlProps/ctrlProp713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14.xml><?xml version="1.0" encoding="utf-8"?>
<formControlPr xmlns="http://schemas.microsoft.com/office/spreadsheetml/2009/9/main" objectType="Spin" dx="15" fmlaLink="NeoBerInfB!$F$31" max="30000" page="10" val="0"/>
</file>

<file path=xl/ctrlProps/ctrlProp715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16.xml><?xml version="1.0" encoding="utf-8"?>
<formControlPr xmlns="http://schemas.microsoft.com/office/spreadsheetml/2009/9/main" objectType="CheckBox" fmlaLink="NeoBerInfB!$I$32" lockText="1"/>
</file>

<file path=xl/ctrlProps/ctrlProp717.xml><?xml version="1.0" encoding="utf-8"?>
<formControlPr xmlns="http://schemas.microsoft.com/office/spreadsheetml/2009/9/main" objectType="Drop" dropStyle="combo" dx="16" fmlaLink="NeoBerInfB!$B$32" fmlaRange="Tbl_Neo_MedIV" val="0"/>
</file>

<file path=xl/ctrlProps/ctrlProp718.xml><?xml version="1.0" encoding="utf-8"?>
<formControlPr xmlns="http://schemas.microsoft.com/office/spreadsheetml/2009/9/main" objectType="Spin" dx="15" fmlaLink="NeoBerInfB!$D$32" max="30000" page="10" val="0"/>
</file>

<file path=xl/ctrlProps/ctrlProp719.xml><?xml version="1.0" encoding="utf-8"?>
<formControlPr xmlns="http://schemas.microsoft.com/office/spreadsheetml/2009/9/main" objectType="Drop" dropStyle="combo" dx="16" fmlaLink="NeoBerInfB!$E$32" fmlaRange="Tbl_Neo_OplVlst" val="2"/>
</file>

<file path=xl/ctrlProps/ctrlProp720.xml><?xml version="1.0" encoding="utf-8"?>
<formControlPr xmlns="http://schemas.microsoft.com/office/spreadsheetml/2009/9/main" objectType="Spin" dx="15" fmlaLink="NeoBerInfB!$F$32" max="30000" page="10" val="0"/>
</file>

<file path=xl/ctrlProps/ctrlProp721.xml><?xml version="1.0" encoding="utf-8"?>
<formControlPr xmlns="http://schemas.microsoft.com/office/spreadsheetml/2009/9/main" objectType="Spin" dx="15" fmlaLink="NeoBerInfB!$F$15" max="11" min="1" page="10"/>
</file>

<file path=xl/ctrlProps/ctrlProp722.xml><?xml version="1.0" encoding="utf-8"?>
<formControlPr xmlns="http://schemas.microsoft.com/office/spreadsheetml/2009/9/main" objectType="Spin" dx="15" fmlaLink="NeoBerInfB!$F$11" max="3" min="1" page="10"/>
</file>

<file path=xl/ctrlProps/ctrlProp723.xml><?xml version="1.0" encoding="utf-8"?>
<formControlPr xmlns="http://schemas.microsoft.com/office/spreadsheetml/2009/9/main" objectType="Spin" dx="15" fmlaLink="NeoBerInfB!$F$12" max="11" min="1" page="10"/>
</file>

<file path=xl/ctrlProps/ctrlProp724.xml><?xml version="1.0" encoding="utf-8"?>
<formControlPr xmlns="http://schemas.microsoft.com/office/spreadsheetml/2009/9/main" objectType="Spin" dx="15" fmlaLink="NeoBerInfB!$F$13" max="11" min="1" page="10"/>
</file>

<file path=xl/ctrlProps/ctrlProp725.xml><?xml version="1.0" encoding="utf-8"?>
<formControlPr xmlns="http://schemas.microsoft.com/office/spreadsheetml/2009/9/main" objectType="Spin" dx="15" fmlaLink="NeoBerInfB!$F$14" max="11" min="1" page="10"/>
</file>

<file path=xl/ctrlProps/ctrlProp726.xml><?xml version="1.0" encoding="utf-8"?>
<formControlPr xmlns="http://schemas.microsoft.com/office/spreadsheetml/2009/9/main" objectType="Spin" dx="15" fmlaLink="NeoBerInfB!$F$19" max="11" min="1" page="10"/>
</file>

<file path=xl/ctrlProps/ctrlProp727.xml><?xml version="1.0" encoding="utf-8"?>
<formControlPr xmlns="http://schemas.microsoft.com/office/spreadsheetml/2009/9/main" objectType="Spin" dx="15" fmlaLink="NeoBerInfB!$F$16" max="11" min="1" page="10"/>
</file>

<file path=xl/ctrlProps/ctrlProp728.xml><?xml version="1.0" encoding="utf-8"?>
<formControlPr xmlns="http://schemas.microsoft.com/office/spreadsheetml/2009/9/main" objectType="Spin" dx="15" fmlaLink="NeoBerInfB!$F$17" max="11" min="1" page="10"/>
</file>

<file path=xl/ctrlProps/ctrlProp729.xml><?xml version="1.0" encoding="utf-8"?>
<formControlPr xmlns="http://schemas.microsoft.com/office/spreadsheetml/2009/9/main" objectType="Spin" dx="15" fmlaLink="NeoBerInfB!$F$18" max="11" min="1" page="10"/>
</file>

<file path=xl/ctrlProps/ctrlProp730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31.xml><?xml version="1.0" encoding="utf-8"?>
<formControlPr xmlns="http://schemas.microsoft.com/office/spreadsheetml/2009/9/main" objectType="Radio" lockText="1" noThreeD="1"/>
</file>

<file path=xl/ctrlProps/ctrlProp732.xml><?xml version="1.0" encoding="utf-8"?>
<formControlPr xmlns="http://schemas.microsoft.com/office/spreadsheetml/2009/9/main" objectType="Radio" lockText="1" noThreeD="1"/>
</file>

<file path=xl/ctrlProps/ctrlProp733.xml><?xml version="1.0" encoding="utf-8"?>
<formControlPr xmlns="http://schemas.microsoft.com/office/spreadsheetml/2009/9/main" objectType="Spin" dx="15" fmlaLink="NeoBerInfB!$D$47" max="30000" page="10" val="5000"/>
</file>

<file path=xl/ctrlProps/ctrlProp734.xml><?xml version="1.0" encoding="utf-8"?>
<formControlPr xmlns="http://schemas.microsoft.com/office/spreadsheetml/2009/9/main" objectType="Spin" dx="15" fmlaLink="NeoBerInfB!$D$47" max="30000" page="10" val="5000"/>
</file>

<file path=xl/ctrlProps/ctrlProp735.xml><?xml version="1.0" encoding="utf-8"?>
<formControlPr xmlns="http://schemas.microsoft.com/office/spreadsheetml/2009/9/main" objectType="CheckBox" fmlaLink="NeoBerAfspr!$F$7" lockText="1"/>
</file>

<file path=xl/ctrlProps/ctrlProp736.xml><?xml version="1.0" encoding="utf-8"?>
<formControlPr xmlns="http://schemas.microsoft.com/office/spreadsheetml/2009/9/main" objectType="CheckBox" fmlaLink="NeoBerAfspr!$F$8" lockText="1"/>
</file>

<file path=xl/ctrlProps/ctrlProp737.xml><?xml version="1.0" encoding="utf-8"?>
<formControlPr xmlns="http://schemas.microsoft.com/office/spreadsheetml/2009/9/main" objectType="CheckBox" fmlaLink="NeoBerAfspr!$F$13" lockText="1"/>
</file>

<file path=xl/ctrlProps/ctrlProp738.xml><?xml version="1.0" encoding="utf-8"?>
<formControlPr xmlns="http://schemas.microsoft.com/office/spreadsheetml/2009/9/main" objectType="CheckBox" fmlaLink="NeoBerAfspr!$F$14" lockText="1"/>
</file>

<file path=xl/ctrlProps/ctrlProp739.xml><?xml version="1.0" encoding="utf-8"?>
<formControlPr xmlns="http://schemas.microsoft.com/office/spreadsheetml/2009/9/main" objectType="CheckBox" fmlaLink="NeoBerAfspr!$F$15" lockText="1"/>
</file>

<file path=xl/ctrlProps/ctrlProp740.xml><?xml version="1.0" encoding="utf-8"?>
<formControlPr xmlns="http://schemas.microsoft.com/office/spreadsheetml/2009/9/main" objectType="CheckBox" fmlaLink="NeoBerAfspr!$F$17" lockText="1"/>
</file>

<file path=xl/ctrlProps/ctrlProp741.xml><?xml version="1.0" encoding="utf-8"?>
<formControlPr xmlns="http://schemas.microsoft.com/office/spreadsheetml/2009/9/main" objectType="CheckBox" fmlaLink="NeoBerAfspr!$F$18" lockText="1"/>
</file>

<file path=xl/ctrlProps/ctrlProp742.xml><?xml version="1.0" encoding="utf-8"?>
<formControlPr xmlns="http://schemas.microsoft.com/office/spreadsheetml/2009/9/main" objectType="CheckBox" fmlaLink="NeoBerAfspr!$F$21" lockText="1"/>
</file>

<file path=xl/ctrlProps/ctrlProp743.xml><?xml version="1.0" encoding="utf-8"?>
<formControlPr xmlns="http://schemas.microsoft.com/office/spreadsheetml/2009/9/main" objectType="CheckBox" fmlaLink="NeoBerAfspr!$F$22" lockText="1"/>
</file>

<file path=xl/ctrlProps/ctrlProp744.xml><?xml version="1.0" encoding="utf-8"?>
<formControlPr xmlns="http://schemas.microsoft.com/office/spreadsheetml/2009/9/main" objectType="CheckBox" fmlaLink="NeoBerAfspr!$H$9" lockText="1"/>
</file>

<file path=xl/ctrlProps/ctrlProp745.xml><?xml version="1.0" encoding="utf-8"?>
<formControlPr xmlns="http://schemas.microsoft.com/office/spreadsheetml/2009/9/main" objectType="CheckBox" fmlaLink="NeoBerAfspr!$H$10" lockText="1"/>
</file>

<file path=xl/ctrlProps/ctrlProp746.xml><?xml version="1.0" encoding="utf-8"?>
<formControlPr xmlns="http://schemas.microsoft.com/office/spreadsheetml/2009/9/main" objectType="CheckBox" fmlaLink="NeoBerAfspr!$H$11" lockText="1"/>
</file>

<file path=xl/ctrlProps/ctrlProp747.xml><?xml version="1.0" encoding="utf-8"?>
<formControlPr xmlns="http://schemas.microsoft.com/office/spreadsheetml/2009/9/main" objectType="CheckBox" fmlaLink="NeoBerAfspr!$H$8" lockText="1"/>
</file>

<file path=xl/ctrlProps/ctrlProp748.xml><?xml version="1.0" encoding="utf-8"?>
<formControlPr xmlns="http://schemas.microsoft.com/office/spreadsheetml/2009/9/main" objectType="CheckBox" fmlaLink="NeoBerAfspr!$F$12" lockText="1"/>
</file>

<file path=xl/ctrlProps/ctrlProp749.xml><?xml version="1.0" encoding="utf-8"?>
<formControlPr xmlns="http://schemas.microsoft.com/office/spreadsheetml/2009/9/main" objectType="CheckBox" fmlaLink="NeoBerAfspr!$H$13" lockText="1"/>
</file>

<file path=xl/ctrlProps/ctrlProp750.xml><?xml version="1.0" encoding="utf-8"?>
<formControlPr xmlns="http://schemas.microsoft.com/office/spreadsheetml/2009/9/main" objectType="CheckBox" fmlaLink="NeoBerAfspr!$H$15" lockText="1"/>
</file>

<file path=xl/ctrlProps/ctrlProp751.xml><?xml version="1.0" encoding="utf-8"?>
<formControlPr xmlns="http://schemas.microsoft.com/office/spreadsheetml/2009/9/main" objectType="CheckBox" fmlaLink="NeoBerAfspr!$H$16" lockText="1"/>
</file>

<file path=xl/ctrlProps/ctrlProp752.xml><?xml version="1.0" encoding="utf-8"?>
<formControlPr xmlns="http://schemas.microsoft.com/office/spreadsheetml/2009/9/main" objectType="CheckBox" fmlaLink="NeoBerAfspr!$H$18" lockText="1"/>
</file>

<file path=xl/ctrlProps/ctrlProp753.xml><?xml version="1.0" encoding="utf-8"?>
<formControlPr xmlns="http://schemas.microsoft.com/office/spreadsheetml/2009/9/main" objectType="CheckBox" fmlaLink="NeoBerAfspr!$H$20" lockText="1"/>
</file>

<file path=xl/ctrlProps/ctrlProp754.xml><?xml version="1.0" encoding="utf-8"?>
<formControlPr xmlns="http://schemas.microsoft.com/office/spreadsheetml/2009/9/main" objectType="CheckBox" fmlaLink="NeoBerAfspr!$H$19" lockText="1"/>
</file>

<file path=xl/ctrlProps/ctrlProp755.xml><?xml version="1.0" encoding="utf-8"?>
<formControlPr xmlns="http://schemas.microsoft.com/office/spreadsheetml/2009/9/main" objectType="CheckBox" fmlaLink="NeoBerAfspr!$H$22" lockText="1"/>
</file>

<file path=xl/ctrlProps/ctrlProp756.xml><?xml version="1.0" encoding="utf-8"?>
<formControlPr xmlns="http://schemas.microsoft.com/office/spreadsheetml/2009/9/main" objectType="CheckBox" fmlaLink="NeoBerAfspr!$F$23" lockText="1"/>
</file>

<file path=xl/ctrlProps/ctrlProp757.xml><?xml version="1.0" encoding="utf-8"?>
<formControlPr xmlns="http://schemas.microsoft.com/office/spreadsheetml/2009/9/main" objectType="CheckBox" fmlaLink="NeoBerAfspr!$H$23" lockText="1"/>
</file>

<file path=xl/ctrlProps/ctrlProp758.xml><?xml version="1.0" encoding="utf-8"?>
<formControlPr xmlns="http://schemas.microsoft.com/office/spreadsheetml/2009/9/main" objectType="CheckBox" fmlaLink="NeoBerAfspr!$H$24" lockText="1"/>
</file>

<file path=xl/ctrlProps/ctrlProp759.xml><?xml version="1.0" encoding="utf-8"?>
<formControlPr xmlns="http://schemas.microsoft.com/office/spreadsheetml/2009/9/main" objectType="CheckBox" fmlaLink="NeoBerAfspr!$H$25" lockText="1"/>
</file>

<file path=xl/ctrlProps/ctrlProp760.xml><?xml version="1.0" encoding="utf-8"?>
<formControlPr xmlns="http://schemas.microsoft.com/office/spreadsheetml/2009/9/main" objectType="CheckBox" fmlaLink="NeoBerAfspr!$H$26" lockText="1"/>
</file>

<file path=xl/ctrlProps/ctrlProp761.xml><?xml version="1.0" encoding="utf-8"?>
<formControlPr xmlns="http://schemas.microsoft.com/office/spreadsheetml/2009/9/main" objectType="CheckBox" fmlaLink="NeoBerAfspr!$H$27" lockText="1"/>
</file>

<file path=xl/ctrlProps/ctrlProp762.xml><?xml version="1.0" encoding="utf-8"?>
<formControlPr xmlns="http://schemas.microsoft.com/office/spreadsheetml/2009/9/main" objectType="CheckBox" fmlaLink="NeoBerAfspr!$H$28" lockText="1"/>
</file>

<file path=xl/ctrlProps/ctrlProp763.xml><?xml version="1.0" encoding="utf-8"?>
<formControlPr xmlns="http://schemas.microsoft.com/office/spreadsheetml/2009/9/main" objectType="CheckBox" fmlaLink="NeoBerAfspr!$H$29" lockText="1"/>
</file>

<file path=xl/ctrlProps/ctrlProp764.xml><?xml version="1.0" encoding="utf-8"?>
<formControlPr xmlns="http://schemas.microsoft.com/office/spreadsheetml/2009/9/main" objectType="CheckBox" fmlaLink="NeoBerAfspr!$H$30" lockText="1"/>
</file>

<file path=xl/ctrlProps/ctrlProp765.xml><?xml version="1.0" encoding="utf-8"?>
<formControlPr xmlns="http://schemas.microsoft.com/office/spreadsheetml/2009/9/main" objectType="CheckBox" fmlaLink="NeoBerAfspr!$F$31" lockText="1"/>
</file>

<file path=xl/ctrlProps/ctrlProp766.xml><?xml version="1.0" encoding="utf-8"?>
<formControlPr xmlns="http://schemas.microsoft.com/office/spreadsheetml/2009/9/main" objectType="CheckBox" fmlaLink="NeoBerAfspr!$J$7" lockText="1"/>
</file>

<file path=xl/ctrlProps/ctrlProp767.xml><?xml version="1.0" encoding="utf-8"?>
<formControlPr xmlns="http://schemas.microsoft.com/office/spreadsheetml/2009/9/main" objectType="CheckBox" fmlaLink="NeoBerAfspr!$J$8" lockText="1"/>
</file>

<file path=xl/ctrlProps/ctrlProp768.xml><?xml version="1.0" encoding="utf-8"?>
<formControlPr xmlns="http://schemas.microsoft.com/office/spreadsheetml/2009/9/main" objectType="CheckBox" fmlaLink="NeoBerAfspr!$J$9" lockText="1"/>
</file>

<file path=xl/ctrlProps/ctrlProp769.xml><?xml version="1.0" encoding="utf-8"?>
<formControlPr xmlns="http://schemas.microsoft.com/office/spreadsheetml/2009/9/main" objectType="CheckBox" fmlaLink="NeoBerAfspr!$J$10" lockText="1"/>
</file>

<file path=xl/ctrlProps/ctrlProp770.xml><?xml version="1.0" encoding="utf-8"?>
<formControlPr xmlns="http://schemas.microsoft.com/office/spreadsheetml/2009/9/main" objectType="CheckBox" fmlaLink="NeoBerAfspr!$J$13" lockText="1"/>
</file>

<file path=xl/ctrlProps/ctrlProp771.xml><?xml version="1.0" encoding="utf-8"?>
<formControlPr xmlns="http://schemas.microsoft.com/office/spreadsheetml/2009/9/main" objectType="CheckBox" fmlaLink="NeoBerAfspr!$J$14" lockText="1"/>
</file>

<file path=xl/ctrlProps/ctrlProp772.xml><?xml version="1.0" encoding="utf-8"?>
<formControlPr xmlns="http://schemas.microsoft.com/office/spreadsheetml/2009/9/main" objectType="CheckBox" fmlaLink="NeoBerAfspr!$J$15" lockText="1"/>
</file>

<file path=xl/ctrlProps/ctrlProp773.xml><?xml version="1.0" encoding="utf-8"?>
<formControlPr xmlns="http://schemas.microsoft.com/office/spreadsheetml/2009/9/main" objectType="CheckBox" fmlaLink="NeoBerAfspr!$J$16" lockText="1"/>
</file>

<file path=xl/ctrlProps/ctrlProp774.xml><?xml version="1.0" encoding="utf-8"?>
<formControlPr xmlns="http://schemas.microsoft.com/office/spreadsheetml/2009/9/main" objectType="CheckBox" fmlaLink="NeoBerAfspr!$J$17" lockText="1"/>
</file>

<file path=xl/ctrlProps/ctrlProp775.xml><?xml version="1.0" encoding="utf-8"?>
<formControlPr xmlns="http://schemas.microsoft.com/office/spreadsheetml/2009/9/main" objectType="CheckBox" fmlaLink="NeoBerAfspr!$J$20" lockText="1"/>
</file>

<file path=xl/ctrlProps/ctrlProp776.xml><?xml version="1.0" encoding="utf-8"?>
<formControlPr xmlns="http://schemas.microsoft.com/office/spreadsheetml/2009/9/main" objectType="CheckBox" fmlaLink="NeoBerAfspr!$J$18" lockText="1"/>
</file>

<file path=xl/ctrlProps/ctrlProp777.xml><?xml version="1.0" encoding="utf-8"?>
<formControlPr xmlns="http://schemas.microsoft.com/office/spreadsheetml/2009/9/main" objectType="CheckBox" fmlaLink="NeoBerAfspr!$J$25" lockText="1"/>
</file>

<file path=xl/ctrlProps/ctrlProp778.xml><?xml version="1.0" encoding="utf-8"?>
<formControlPr xmlns="http://schemas.microsoft.com/office/spreadsheetml/2009/9/main" objectType="CheckBox" fmlaLink="NeoBerAfspr!$L$25" lockText="1"/>
</file>

<file path=xl/ctrlProps/ctrlProp779.xml><?xml version="1.0" encoding="utf-8"?>
<formControlPr xmlns="http://schemas.microsoft.com/office/spreadsheetml/2009/9/main" objectType="CheckBox" fmlaLink="NeoBerAfspr!$L$26" lockText="1"/>
</file>

<file path=xl/ctrlProps/ctrlProp780.xml><?xml version="1.0" encoding="utf-8"?>
<formControlPr xmlns="http://schemas.microsoft.com/office/spreadsheetml/2009/9/main" objectType="CheckBox" fmlaLink="NeoBerAfspr!$L$27" lockText="1"/>
</file>

<file path=xl/ctrlProps/ctrlProp781.xml><?xml version="1.0" encoding="utf-8"?>
<formControlPr xmlns="http://schemas.microsoft.com/office/spreadsheetml/2009/9/main" objectType="CheckBox" fmlaLink="NeoBerAfspr!$L$28" lockText="1"/>
</file>

<file path=xl/ctrlProps/ctrlProp782.xml><?xml version="1.0" encoding="utf-8"?>
<formControlPr xmlns="http://schemas.microsoft.com/office/spreadsheetml/2009/9/main" objectType="CheckBox" fmlaLink="NeoBerAfspr!$J$21" lockText="1"/>
</file>

<file path=xl/ctrlProps/ctrlProp783.xml><?xml version="1.0" encoding="utf-8"?>
<formControlPr xmlns="http://schemas.microsoft.com/office/spreadsheetml/2009/9/main" objectType="CheckBox" fmlaLink="NeoBerAfspr!$L$22" lockText="1"/>
</file>

<file path=xl/ctrlProps/ctrlProp784.xml><?xml version="1.0" encoding="utf-8"?>
<formControlPr xmlns="http://schemas.microsoft.com/office/spreadsheetml/2009/9/main" objectType="CheckBox" fmlaLink="NeoBerAfspr!$L$23" lockText="1"/>
</file>

<file path=xl/ctrlProps/ctrlProp785.xml><?xml version="1.0" encoding="utf-8"?>
<formControlPr xmlns="http://schemas.microsoft.com/office/spreadsheetml/2009/9/main" objectType="CheckBox" fmlaLink="NeoBerAfspr!$L$24" lockText="1"/>
</file>

<file path=xl/ctrlProps/ctrlProp786.xml><?xml version="1.0" encoding="utf-8"?>
<formControlPr xmlns="http://schemas.microsoft.com/office/spreadsheetml/2009/9/main" objectType="Spin" dx="15" fmlaLink="NeoBerAfspr!$B$12" max="24" page="10" val="0"/>
</file>

<file path=xl/ctrlProps/ctrlProp787.xml><?xml version="1.0" encoding="utf-8"?>
<formControlPr xmlns="http://schemas.microsoft.com/office/spreadsheetml/2009/9/main" objectType="Spin" dx="15" fmlaLink="NeoBerAfspr!$K$18" max="24" page="10" val="0"/>
</file>

<file path=xl/ctrlProps/ctrlProp788.xml><?xml version="1.0" encoding="utf-8"?>
<formControlPr xmlns="http://schemas.microsoft.com/office/spreadsheetml/2009/9/main" objectType="Spin" dx="15" fmlaLink="NeoBerAfspr!$L$18" max="1000" page="10" val="0"/>
</file>

<file path=xl/ctrlProps/ctrlProp789.xml><?xml version="1.0" encoding="utf-8"?>
<formControlPr xmlns="http://schemas.microsoft.com/office/spreadsheetml/2009/9/main" objectType="CheckBox" fmlaLink="NeoBerAfspr!$B$27" lockText="1"/>
</file>

<file path=xl/ctrlProps/ctrlProp790.xml><?xml version="1.0" encoding="utf-8"?>
<formControlPr xmlns="http://schemas.microsoft.com/office/spreadsheetml/2009/9/main" objectType="CheckBox" fmlaLink="NeoBerAfspr!$B$28" lockText="1"/>
</file>

<file path=xl/ctrlProps/ctrlProp791.xml><?xml version="1.0" encoding="utf-8"?>
<formControlPr xmlns="http://schemas.microsoft.com/office/spreadsheetml/2009/9/main" objectType="CheckBox" fmlaLink="NeoBerAfspr!$B$29" lockText="1"/>
</file>

<file path=xl/ctrlProps/ctrlProp792.xml><?xml version="1.0" encoding="utf-8"?>
<formControlPr xmlns="http://schemas.microsoft.com/office/spreadsheetml/2009/9/main" objectType="CheckBox" fmlaLink="NeoBerAfspr!$B$30" lockText="1"/>
</file>

<file path=xl/ctrlProps/ctrlProp793.xml><?xml version="1.0" encoding="utf-8"?>
<formControlPr xmlns="http://schemas.microsoft.com/office/spreadsheetml/2009/9/main" objectType="CheckBox" fmlaLink="NeoBerAfspr!$B$34" lockText="1"/>
</file>

<file path=xl/ctrlProps/ctrlProp794.xml><?xml version="1.0" encoding="utf-8"?>
<formControlPr xmlns="http://schemas.microsoft.com/office/spreadsheetml/2009/9/main" objectType="CheckBox" checked="Checked" fmlaLink="NeoBerAfspr!$D$35" lockText="1"/>
</file>

<file path=xl/ctrlProps/ctrlProp795.xml><?xml version="1.0" encoding="utf-8"?>
<formControlPr xmlns="http://schemas.microsoft.com/office/spreadsheetml/2009/9/main" objectType="CheckBox" checked="Checked" fmlaLink="NeoBerAfspr!$D$36" lockText="1"/>
</file>

<file path=xl/ctrlProps/ctrlProp796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797.xml><?xml version="1.0" encoding="utf-8"?>
<formControlPr xmlns="http://schemas.microsoft.com/office/spreadsheetml/2009/9/main" objectType="CheckBox" fmlaLink="NeoBerAfspr!$B$37" lockText="1"/>
</file>

<file path=xl/ctrlProps/ctrlProp798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799.xml><?xml version="1.0" encoding="utf-8"?>
<formControlPr xmlns="http://schemas.microsoft.com/office/spreadsheetml/2009/9/main" objectType="CheckBox" fmlaLink="NeoBerAfspr!$B$7" lockText="1"/>
</file>

<file path=xl/ctrlProps/ctrlProp800.xml><?xml version="1.0" encoding="utf-8"?>
<formControlPr xmlns="http://schemas.microsoft.com/office/spreadsheetml/2009/9/main" objectType="CheckBox" fmlaLink="NeoBerAfspr!$B$8" lockText="1"/>
</file>

<file path=xl/ctrlProps/ctrlProp801.xml><?xml version="1.0" encoding="utf-8"?>
<formControlPr xmlns="http://schemas.microsoft.com/office/spreadsheetml/2009/9/main" objectType="CheckBox" fmlaLink="NeoBerAfspr!$B$9" lockText="1"/>
</file>

<file path=xl/ctrlProps/ctrlProp802.xml><?xml version="1.0" encoding="utf-8"?>
<formControlPr xmlns="http://schemas.microsoft.com/office/spreadsheetml/2009/9/main" objectType="CheckBox" fmlaLink="NeoBerAfspr!$B$10" lockText="1"/>
</file>

<file path=xl/ctrlProps/ctrlProp803.xml><?xml version="1.0" encoding="utf-8"?>
<formControlPr xmlns="http://schemas.microsoft.com/office/spreadsheetml/2009/9/main" objectType="CheckBox" fmlaLink="NeoBerAfspr!$B$22" lockText="1"/>
</file>

<file path=xl/ctrlProps/ctrlProp804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05.xml><?xml version="1.0" encoding="utf-8"?>
<formControlPr xmlns="http://schemas.microsoft.com/office/spreadsheetml/2009/9/main" objectType="CheckBox" fmlaLink="NeoBerAfspr!$B$23" lockText="1"/>
</file>

<file path=xl/ctrlProps/ctrlProp806.xml><?xml version="1.0" encoding="utf-8"?>
<formControlPr xmlns="http://schemas.microsoft.com/office/spreadsheetml/2009/9/main" objectType="CheckBox" fmlaLink="NeoBerAfspr!$B$25" lockText="1"/>
</file>

<file path=xl/ctrlProps/ctrlProp807.xml><?xml version="1.0" encoding="utf-8"?>
<formControlPr xmlns="http://schemas.microsoft.com/office/spreadsheetml/2009/9/main" objectType="CheckBox" fmlaLink="NeoBerAfspr!$B$26" lockText="1"/>
</file>

<file path=xl/ctrlProps/ctrlProp808.xml><?xml version="1.0" encoding="utf-8"?>
<formControlPr xmlns="http://schemas.microsoft.com/office/spreadsheetml/2009/9/main" objectType="CheckBox" fmlaLink="NeoBerAfspr!$B$24" lockText="1"/>
</file>

<file path=xl/ctrlProps/ctrlProp809.xml><?xml version="1.0" encoding="utf-8"?>
<formControlPr xmlns="http://schemas.microsoft.com/office/spreadsheetml/2009/9/main" objectType="CheckBox" fmlaLink="NeoBerAfspr!$B$31" lockText="1"/>
</file>

<file path=xl/ctrlProps/ctrlProp810.xml><?xml version="1.0" encoding="utf-8"?>
<formControlPr xmlns="http://schemas.microsoft.com/office/spreadsheetml/2009/9/main" objectType="CheckBox" fmlaLink="NeoBerAfspr!$B$32" lockText="1"/>
</file>

<file path=xl/ctrlProps/ctrlProp811.xml><?xml version="1.0" encoding="utf-8"?>
<formControlPr xmlns="http://schemas.microsoft.com/office/spreadsheetml/2009/9/main" objectType="CheckBox" fmlaLink="NeoBerAfspr!$B$11" lockText="1"/>
</file>

<file path=xl/ctrlProps/ctrlProp812.xml><?xml version="1.0" encoding="utf-8"?>
<formControlPr xmlns="http://schemas.microsoft.com/office/spreadsheetml/2009/9/main" objectType="CheckBox" fmlaLink="NeoBerAfspr!$B$15" lockText="1"/>
</file>

<file path=xl/ctrlProps/ctrlProp813.xml><?xml version="1.0" encoding="utf-8"?>
<formControlPr xmlns="http://schemas.microsoft.com/office/spreadsheetml/2009/9/main" objectType="CheckBox" fmlaLink="NeoBerAfspr!$B$16" lockText="1"/>
</file>

<file path=xl/ctrlProps/ctrlProp814.xml><?xml version="1.0" encoding="utf-8"?>
<formControlPr xmlns="http://schemas.microsoft.com/office/spreadsheetml/2009/9/main" objectType="CheckBox" fmlaLink="NeoBerAfspr!$B$17" lockText="1"/>
</file>

<file path=xl/ctrlProps/ctrlProp815.xml><?xml version="1.0" encoding="utf-8"?>
<formControlPr xmlns="http://schemas.microsoft.com/office/spreadsheetml/2009/9/main" objectType="CheckBox" fmlaLink="NeoBerAfspr!$B$19" lockText="1"/>
</file>

<file path=xl/ctrlProps/ctrlProp816.xml><?xml version="1.0" encoding="utf-8"?>
<formControlPr xmlns="http://schemas.microsoft.com/office/spreadsheetml/2009/9/main" objectType="CheckBox" fmlaLink="NeoBerAfspr!$D$11" lockText="1"/>
</file>

<file path=xl/ctrlProps/ctrlProp817.xml><?xml version="1.0" encoding="utf-8"?>
<formControlPr xmlns="http://schemas.microsoft.com/office/spreadsheetml/2009/9/main" objectType="CheckBox" fmlaLink="NeoBerAfspr!$D$12" lockText="1"/>
</file>

<file path=xl/ctrlProps/ctrlProp818.xml><?xml version="1.0" encoding="utf-8"?>
<formControlPr xmlns="http://schemas.microsoft.com/office/spreadsheetml/2009/9/main" objectType="CheckBox" fmlaLink="NeoBerAfspr!$D$13" lockText="1"/>
</file>

<file path=xl/ctrlProps/ctrlProp819.xml><?xml version="1.0" encoding="utf-8"?>
<formControlPr xmlns="http://schemas.microsoft.com/office/spreadsheetml/2009/9/main" objectType="CheckBox" fmlaLink="NeoBerAfspr!$D$14" lockText="1"/>
</file>

<file path=xl/ctrlProps/ctrlProp820.xml><?xml version="1.0" encoding="utf-8"?>
<formControlPr xmlns="http://schemas.microsoft.com/office/spreadsheetml/2009/9/main" objectType="Spin" dx="15" fmlaLink="NeoBerAfspr!$D$27" max="97" min="1" page="10" val="50"/>
</file>

<file path=xl/ctrlProps/ctrlProp821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22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23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24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25.xml><?xml version="1.0" encoding="utf-8"?>
<formControlPr xmlns="http://schemas.microsoft.com/office/spreadsheetml/2009/9/main" objectType="CheckBox" checked="Checked" fmlaLink="NeoBerAfspr!$D$35" lockText="1"/>
</file>

<file path=xl/ctrlProps/ctrlProp826.xml><?xml version="1.0" encoding="utf-8"?>
<formControlPr xmlns="http://schemas.microsoft.com/office/spreadsheetml/2009/9/main" objectType="CheckBox" checked="Checked" fmlaLink="NeoBerAfspr!$D$36" lockText="1"/>
</file>

<file path=xl/ctrlProps/ctrlProp827.xml><?xml version="1.0" encoding="utf-8"?>
<formControlPr xmlns="http://schemas.microsoft.com/office/spreadsheetml/2009/9/main" objectType="CheckBox" fmlaLink="NeoBerAfspr!$B$40" lockText="1"/>
</file>

<file path=xl/ctrlProps/ctrlProp828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29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30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31.xml><?xml version="1.0" encoding="utf-8"?>
<formControlPr xmlns="http://schemas.microsoft.com/office/spreadsheetml/2009/9/main" objectType="CheckBox" fmlaLink="NeoBerAfspr!$B$43" lockText="1"/>
</file>

<file path=xl/ctrlProps/ctrlProp832.xml><?xml version="1.0" encoding="utf-8"?>
<formControlPr xmlns="http://schemas.microsoft.com/office/spreadsheetml/2009/9/main" objectType="CheckBox" fmlaLink="NeoBerAfspr!$B$45" lockText="1"/>
</file>

<file path=xl/ctrlProps/ctrlProp833.xml><?xml version="1.0" encoding="utf-8"?>
<formControlPr xmlns="http://schemas.microsoft.com/office/spreadsheetml/2009/9/main" objectType="CheckBox" fmlaLink="NeoBerAfspr!$B$44" lockText="1"/>
</file>

<file path=xl/ctrlProps/ctrlProp834.xml><?xml version="1.0" encoding="utf-8"?>
<formControlPr xmlns="http://schemas.microsoft.com/office/spreadsheetml/2009/9/main" objectType="CheckBox" fmlaLink="NeoBerAfspr!$D$43" lockText="1"/>
</file>

<file path=xl/ctrlProps/ctrlProp835.xml><?xml version="1.0" encoding="utf-8"?>
<formControlPr xmlns="http://schemas.microsoft.com/office/spreadsheetml/2009/9/main" objectType="CheckBox" fmlaLink="NeoBerAfspr!$D$44" lockText="1"/>
</file>

<file path=xl/ctrlProps/ctrlProp836.xml><?xml version="1.0" encoding="utf-8"?>
<formControlPr xmlns="http://schemas.microsoft.com/office/spreadsheetml/2009/9/main" objectType="CheckBox" fmlaLink="NeoBerAfspr!$D$45" lockText="1"/>
</file>

<file path=xl/ctrlProps/ctrlProp837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38.xml><?xml version="1.0" encoding="utf-8"?>
<formControlPr xmlns="http://schemas.microsoft.com/office/spreadsheetml/2009/9/main" objectType="Spin" dx="15" fmlaLink="NeoBerAfspr!$D$47" max="100" page="10" val="0"/>
</file>

<file path=xl/ctrlProps/ctrlProp839.xml><?xml version="1.0" encoding="utf-8"?>
<formControlPr xmlns="http://schemas.microsoft.com/office/spreadsheetml/2009/9/main" objectType="CheckBox" fmlaLink="NeoBerAfspr!$B$46" lockText="1"/>
</file>

<file path=xl/ctrlProps/ctrlProp840.xml><?xml version="1.0" encoding="utf-8"?>
<formControlPr xmlns="http://schemas.microsoft.com/office/spreadsheetml/2009/9/main" objectType="CheckBox" fmlaLink="NeoBerAfspr!$L$29" lockText="1"/>
</file>

<file path=xl/ctrlProps/ctrlProp841.xml><?xml version="1.0" encoding="utf-8"?>
<formControlPr xmlns="http://schemas.microsoft.com/office/spreadsheetml/2009/9/main" objectType="Spin" dx="15" fmlaLink="NeoBerAfspr!$C$8" max="10" page="10" val="0"/>
</file>

<file path=xl/ctrlProps/ctrlProp842.xml><?xml version="1.0" encoding="utf-8"?>
<formControlPr xmlns="http://schemas.microsoft.com/office/spreadsheetml/2009/9/main" objectType="Spin" dx="15" fmlaLink="PedBerAfspr!$C$8" max="10" page="10" val="0"/>
</file>

<file path=xl/ctrlProps/ctrlProp843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44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45.xml><?xml version="1.0" encoding="utf-8"?>
<formControlPr xmlns="http://schemas.microsoft.com/office/spreadsheetml/2009/9/main" objectType="Spin" dx="15" fmlaLink="PedBerAfspr!$C$8" max="10" page="10" val="0"/>
</file>

<file path=xl/ctrlProps/ctrlProp846.xml><?xml version="1.0" encoding="utf-8"?>
<formControlPr xmlns="http://schemas.microsoft.com/office/spreadsheetml/2009/9/main" objectType="Spin" dx="15" fmlaLink="NeoBerAfspr!$C$9" max="10" page="10" val="0"/>
</file>

<file path=xl/ctrlProps/ctrlProp847.xml><?xml version="1.0" encoding="utf-8"?>
<formControlPr xmlns="http://schemas.microsoft.com/office/spreadsheetml/2009/9/main" objectType="Spin" dx="15" fmlaLink="NeoBerAfspr!$K$21" max="24" page="10" val="0"/>
</file>

<file path=xl/ctrlProps/ctrlProp848.xml><?xml version="1.0" encoding="utf-8"?>
<formControlPr xmlns="http://schemas.microsoft.com/office/spreadsheetml/2009/9/main" objectType="CheckBox" fmlaLink="NeoBerAfspr!$J$30" lockText="1"/>
</file>

<file path=xl/ctrlProps/ctrlProp849.xml><?xml version="1.0" encoding="utf-8"?>
<formControlPr xmlns="http://schemas.microsoft.com/office/spreadsheetml/2009/9/main" objectType="Spin" dx="15" fmlaLink="NeoBerAfspr!$K$30" max="5" page="10" val="0"/>
</file>

<file path=xl/ctrlProps/ctrlProp850.xml><?xml version="1.0" encoding="utf-8"?>
<formControlPr xmlns="http://schemas.microsoft.com/office/spreadsheetml/2009/9/main" objectType="CheckBox" fmlaLink="NeoBerAfspr!$B$18" lockText="1"/>
</file>

<file path=xl/ctrlProps/ctrlProp851.xml><?xml version="1.0" encoding="utf-8"?>
<formControlPr xmlns="http://schemas.microsoft.com/office/spreadsheetml/2009/9/main" objectType="Spin" dx="15" fmlaLink="PedBerAfspr!$C$8" max="10" page="10" val="0"/>
</file>

<file path=xl/ctrlProps/ctrlProp852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53.xml><?xml version="1.0" encoding="utf-8"?>
<formControlPr xmlns="http://schemas.microsoft.com/office/spreadsheetml/2009/9/main" objectType="Spin" dx="15" fmlaLink="PedBerAfspr!$C$8" max="10" page="10" val="0"/>
</file>

<file path=xl/ctrlProps/ctrlProp854.xml><?xml version="1.0" encoding="utf-8"?>
<formControlPr xmlns="http://schemas.microsoft.com/office/spreadsheetml/2009/9/main" objectType="Spin" dx="15" fmlaLink="NeoBerAfspr!$C$18" max="10" page="10" val="0"/>
</file>

<file path=xl/ctrlProps/ctrlProp855.xml><?xml version="1.0" encoding="utf-8"?>
<formControlPr xmlns="http://schemas.microsoft.com/office/spreadsheetml/2009/9/main" objectType="CheckBox" fmlaLink="NeoBerAfspr!$J$12" lockText="1"/>
</file>

<file path=xl/ctrlProps/ctrlProp856.xml><?xml version="1.0" encoding="utf-8"?>
<formControlPr xmlns="http://schemas.microsoft.com/office/spreadsheetml/2009/9/main" objectType="CheckBox" fmlaLink="NeoBerLab!$C$4" lockText="1"/>
</file>

<file path=xl/ctrlProps/ctrlProp857.xml><?xml version="1.0" encoding="utf-8"?>
<formControlPr xmlns="http://schemas.microsoft.com/office/spreadsheetml/2009/9/main" objectType="CheckBox" fmlaLink="NeoBerLab!C5" lockText="1"/>
</file>

<file path=xl/ctrlProps/ctrlProp858.xml><?xml version="1.0" encoding="utf-8"?>
<formControlPr xmlns="http://schemas.microsoft.com/office/spreadsheetml/2009/9/main" objectType="CheckBox" fmlaLink="NeoBerLab!C7" lockText="1"/>
</file>

<file path=xl/ctrlProps/ctrlProp859.xml><?xml version="1.0" encoding="utf-8"?>
<formControlPr xmlns="http://schemas.microsoft.com/office/spreadsheetml/2009/9/main" objectType="CheckBox" fmlaLink="NeoBerLab!C8" lockText="1"/>
</file>

<file path=xl/ctrlProps/ctrlProp860.xml><?xml version="1.0" encoding="utf-8"?>
<formControlPr xmlns="http://schemas.microsoft.com/office/spreadsheetml/2009/9/main" objectType="CheckBox" fmlaLink="NeoBerLab!C14" lockText="1"/>
</file>

<file path=xl/ctrlProps/ctrlProp861.xml><?xml version="1.0" encoding="utf-8"?>
<formControlPr xmlns="http://schemas.microsoft.com/office/spreadsheetml/2009/9/main" objectType="CheckBox" fmlaLink="NeoBerLab!C13" lockText="1"/>
</file>

<file path=xl/ctrlProps/ctrlProp862.xml><?xml version="1.0" encoding="utf-8"?>
<formControlPr xmlns="http://schemas.microsoft.com/office/spreadsheetml/2009/9/main" objectType="CheckBox" fmlaLink="NeoBerLab!C30" lockText="1"/>
</file>

<file path=xl/ctrlProps/ctrlProp863.xml><?xml version="1.0" encoding="utf-8"?>
<formControlPr xmlns="http://schemas.microsoft.com/office/spreadsheetml/2009/9/main" objectType="CheckBox" fmlaLink="NeoBerLab!C16" lockText="1"/>
</file>

<file path=xl/ctrlProps/ctrlProp864.xml><?xml version="1.0" encoding="utf-8"?>
<formControlPr xmlns="http://schemas.microsoft.com/office/spreadsheetml/2009/9/main" objectType="CheckBox" fmlaLink="NeoBerLab!C19" lockText="1"/>
</file>

<file path=xl/ctrlProps/ctrlProp865.xml><?xml version="1.0" encoding="utf-8"?>
<formControlPr xmlns="http://schemas.microsoft.com/office/spreadsheetml/2009/9/main" objectType="CheckBox" fmlaLink="NeoBerLab!C20" lockText="1"/>
</file>

<file path=xl/ctrlProps/ctrlProp866.xml><?xml version="1.0" encoding="utf-8"?>
<formControlPr xmlns="http://schemas.microsoft.com/office/spreadsheetml/2009/9/main" objectType="CheckBox" fmlaLink="NeoBerLab!C21" lockText="1"/>
</file>

<file path=xl/ctrlProps/ctrlProp867.xml><?xml version="1.0" encoding="utf-8"?>
<formControlPr xmlns="http://schemas.microsoft.com/office/spreadsheetml/2009/9/main" objectType="CheckBox" fmlaLink="NeoBerLab!C12" lockText="1"/>
</file>

<file path=xl/ctrlProps/ctrlProp868.xml><?xml version="1.0" encoding="utf-8"?>
<formControlPr xmlns="http://schemas.microsoft.com/office/spreadsheetml/2009/9/main" objectType="CheckBox" fmlaLink="NeoBerLab!C28" lockText="1"/>
</file>

<file path=xl/ctrlProps/ctrlProp869.xml><?xml version="1.0" encoding="utf-8"?>
<formControlPr xmlns="http://schemas.microsoft.com/office/spreadsheetml/2009/9/main" objectType="CheckBox" fmlaLink="NeoBerLab!$G$4" lockText="1"/>
</file>

<file path=xl/ctrlProps/ctrlProp870.xml><?xml version="1.0" encoding="utf-8"?>
<formControlPr xmlns="http://schemas.microsoft.com/office/spreadsheetml/2009/9/main" objectType="CheckBox" fmlaLink="NeoBerLab!G5" lockText="1"/>
</file>

<file path=xl/ctrlProps/ctrlProp871.xml><?xml version="1.0" encoding="utf-8"?>
<formControlPr xmlns="http://schemas.microsoft.com/office/spreadsheetml/2009/9/main" objectType="CheckBox" fmlaLink="NeoBerLab!G7" lockText="1"/>
</file>

<file path=xl/ctrlProps/ctrlProp872.xml><?xml version="1.0" encoding="utf-8"?>
<formControlPr xmlns="http://schemas.microsoft.com/office/spreadsheetml/2009/9/main" objectType="CheckBox" fmlaLink="NeoBerLab!G8" lockText="1"/>
</file>

<file path=xl/ctrlProps/ctrlProp873.xml><?xml version="1.0" encoding="utf-8"?>
<formControlPr xmlns="http://schemas.microsoft.com/office/spreadsheetml/2009/9/main" objectType="CheckBox" fmlaLink="NeoBerLab!G14" lockText="1"/>
</file>

<file path=xl/ctrlProps/ctrlProp874.xml><?xml version="1.0" encoding="utf-8"?>
<formControlPr xmlns="http://schemas.microsoft.com/office/spreadsheetml/2009/9/main" objectType="CheckBox" fmlaLink="NeoBerLab!G13" lockText="1"/>
</file>

<file path=xl/ctrlProps/ctrlProp875.xml><?xml version="1.0" encoding="utf-8"?>
<formControlPr xmlns="http://schemas.microsoft.com/office/spreadsheetml/2009/9/main" objectType="CheckBox" fmlaLink="NeoBerLab!G30" lockText="1"/>
</file>

<file path=xl/ctrlProps/ctrlProp876.xml><?xml version="1.0" encoding="utf-8"?>
<formControlPr xmlns="http://schemas.microsoft.com/office/spreadsheetml/2009/9/main" objectType="CheckBox" fmlaLink="NeoBerLab!G16" lockText="1"/>
</file>

<file path=xl/ctrlProps/ctrlProp877.xml><?xml version="1.0" encoding="utf-8"?>
<formControlPr xmlns="http://schemas.microsoft.com/office/spreadsheetml/2009/9/main" objectType="CheckBox" fmlaLink="NeoBerLab!G19" lockText="1"/>
</file>

<file path=xl/ctrlProps/ctrlProp878.xml><?xml version="1.0" encoding="utf-8"?>
<formControlPr xmlns="http://schemas.microsoft.com/office/spreadsheetml/2009/9/main" objectType="CheckBox" fmlaLink="NeoBerLab!G20" lockText="1"/>
</file>

<file path=xl/ctrlProps/ctrlProp879.xml><?xml version="1.0" encoding="utf-8"?>
<formControlPr xmlns="http://schemas.microsoft.com/office/spreadsheetml/2009/9/main" objectType="CheckBox" fmlaLink="NeoBerLab!G21" lockText="1"/>
</file>

<file path=xl/ctrlProps/ctrlProp880.xml><?xml version="1.0" encoding="utf-8"?>
<formControlPr xmlns="http://schemas.microsoft.com/office/spreadsheetml/2009/9/main" objectType="CheckBox" fmlaLink="NeoBerLab!G12" lockText="1"/>
</file>

<file path=xl/ctrlProps/ctrlProp881.xml><?xml version="1.0" encoding="utf-8"?>
<formControlPr xmlns="http://schemas.microsoft.com/office/spreadsheetml/2009/9/main" objectType="CheckBox" fmlaLink="NeoBerLab!G28" lockText="1"/>
</file>

<file path=xl/ctrlProps/ctrlProp882.xml><?xml version="1.0" encoding="utf-8"?>
<formControlPr xmlns="http://schemas.microsoft.com/office/spreadsheetml/2009/9/main" objectType="CheckBox" fmlaLink="NeoBerLab!$I$4" lockText="1"/>
</file>

<file path=xl/ctrlProps/ctrlProp883.xml><?xml version="1.0" encoding="utf-8"?>
<formControlPr xmlns="http://schemas.microsoft.com/office/spreadsheetml/2009/9/main" objectType="CheckBox" fmlaLink="NeoBerLab!I5" lockText="1"/>
</file>

<file path=xl/ctrlProps/ctrlProp884.xml><?xml version="1.0" encoding="utf-8"?>
<formControlPr xmlns="http://schemas.microsoft.com/office/spreadsheetml/2009/9/main" objectType="CheckBox" fmlaLink="NeoBerLab!I7" lockText="1"/>
</file>

<file path=xl/ctrlProps/ctrlProp885.xml><?xml version="1.0" encoding="utf-8"?>
<formControlPr xmlns="http://schemas.microsoft.com/office/spreadsheetml/2009/9/main" objectType="CheckBox" fmlaLink="NeoBerLab!I8" lockText="1"/>
</file>

<file path=xl/ctrlProps/ctrlProp886.xml><?xml version="1.0" encoding="utf-8"?>
<formControlPr xmlns="http://schemas.microsoft.com/office/spreadsheetml/2009/9/main" objectType="CheckBox" fmlaLink="NeoBerLab!I14" lockText="1"/>
</file>

<file path=xl/ctrlProps/ctrlProp887.xml><?xml version="1.0" encoding="utf-8"?>
<formControlPr xmlns="http://schemas.microsoft.com/office/spreadsheetml/2009/9/main" objectType="CheckBox" fmlaLink="NeoBerLab!I13" lockText="1"/>
</file>

<file path=xl/ctrlProps/ctrlProp888.xml><?xml version="1.0" encoding="utf-8"?>
<formControlPr xmlns="http://schemas.microsoft.com/office/spreadsheetml/2009/9/main" objectType="CheckBox" fmlaLink="NeoBerLab!I30" lockText="1"/>
</file>

<file path=xl/ctrlProps/ctrlProp889.xml><?xml version="1.0" encoding="utf-8"?>
<formControlPr xmlns="http://schemas.microsoft.com/office/spreadsheetml/2009/9/main" objectType="CheckBox" fmlaLink="NeoBerLab!I16" lockText="1"/>
</file>

<file path=xl/ctrlProps/ctrlProp890.xml><?xml version="1.0" encoding="utf-8"?>
<formControlPr xmlns="http://schemas.microsoft.com/office/spreadsheetml/2009/9/main" objectType="CheckBox" fmlaLink="NeoBerLab!I19" lockText="1"/>
</file>

<file path=xl/ctrlProps/ctrlProp891.xml><?xml version="1.0" encoding="utf-8"?>
<formControlPr xmlns="http://schemas.microsoft.com/office/spreadsheetml/2009/9/main" objectType="CheckBox" fmlaLink="NeoBerLab!I20" lockText="1"/>
</file>

<file path=xl/ctrlProps/ctrlProp892.xml><?xml version="1.0" encoding="utf-8"?>
<formControlPr xmlns="http://schemas.microsoft.com/office/spreadsheetml/2009/9/main" objectType="CheckBox" fmlaLink="NeoBerLab!I21" lockText="1"/>
</file>

<file path=xl/ctrlProps/ctrlProp893.xml><?xml version="1.0" encoding="utf-8"?>
<formControlPr xmlns="http://schemas.microsoft.com/office/spreadsheetml/2009/9/main" objectType="CheckBox" fmlaLink="NeoBerLab!I12" lockText="1"/>
</file>

<file path=xl/ctrlProps/ctrlProp894.xml><?xml version="1.0" encoding="utf-8"?>
<formControlPr xmlns="http://schemas.microsoft.com/office/spreadsheetml/2009/9/main" objectType="CheckBox" fmlaLink="NeoBerLab!I28" lockText="1"/>
</file>

<file path=xl/ctrlProps/ctrlProp895.xml><?xml version="1.0" encoding="utf-8"?>
<formControlPr xmlns="http://schemas.microsoft.com/office/spreadsheetml/2009/9/main" objectType="CheckBox" fmlaLink="NeoBerLab!$O$4" lockText="1"/>
</file>

<file path=xl/ctrlProps/ctrlProp896.xml><?xml version="1.0" encoding="utf-8"?>
<formControlPr xmlns="http://schemas.microsoft.com/office/spreadsheetml/2009/9/main" objectType="CheckBox" fmlaLink="NeoBerLab!O5" lockText="1"/>
</file>

<file path=xl/ctrlProps/ctrlProp897.xml><?xml version="1.0" encoding="utf-8"?>
<formControlPr xmlns="http://schemas.microsoft.com/office/spreadsheetml/2009/9/main" objectType="CheckBox" fmlaLink="NeoBerLab!O7" lockText="1"/>
</file>

<file path=xl/ctrlProps/ctrlProp898.xml><?xml version="1.0" encoding="utf-8"?>
<formControlPr xmlns="http://schemas.microsoft.com/office/spreadsheetml/2009/9/main" objectType="CheckBox" fmlaLink="NeoBerLab!O8" lockText="1"/>
</file>

<file path=xl/ctrlProps/ctrlProp899.xml><?xml version="1.0" encoding="utf-8"?>
<formControlPr xmlns="http://schemas.microsoft.com/office/spreadsheetml/2009/9/main" objectType="CheckBox" fmlaLink="NeoBerLab!O14" lockText="1"/>
</file>

<file path=xl/ctrlProps/ctrlProp900.xml><?xml version="1.0" encoding="utf-8"?>
<formControlPr xmlns="http://schemas.microsoft.com/office/spreadsheetml/2009/9/main" objectType="CheckBox" fmlaLink="NeoBerLab!O13" lockText="1"/>
</file>

<file path=xl/ctrlProps/ctrlProp901.xml><?xml version="1.0" encoding="utf-8"?>
<formControlPr xmlns="http://schemas.microsoft.com/office/spreadsheetml/2009/9/main" objectType="CheckBox" fmlaLink="NeoBerLab!O30" lockText="1"/>
</file>

<file path=xl/ctrlProps/ctrlProp902.xml><?xml version="1.0" encoding="utf-8"?>
<formControlPr xmlns="http://schemas.microsoft.com/office/spreadsheetml/2009/9/main" objectType="CheckBox" fmlaLink="NeoBerLab!O16" lockText="1"/>
</file>

<file path=xl/ctrlProps/ctrlProp903.xml><?xml version="1.0" encoding="utf-8"?>
<formControlPr xmlns="http://schemas.microsoft.com/office/spreadsheetml/2009/9/main" objectType="CheckBox" fmlaLink="NeoBerLab!O19" lockText="1"/>
</file>

<file path=xl/ctrlProps/ctrlProp904.xml><?xml version="1.0" encoding="utf-8"?>
<formControlPr xmlns="http://schemas.microsoft.com/office/spreadsheetml/2009/9/main" objectType="CheckBox" fmlaLink="NeoBerLab!O20" lockText="1"/>
</file>

<file path=xl/ctrlProps/ctrlProp905.xml><?xml version="1.0" encoding="utf-8"?>
<formControlPr xmlns="http://schemas.microsoft.com/office/spreadsheetml/2009/9/main" objectType="CheckBox" fmlaLink="NeoBerLab!O21" lockText="1"/>
</file>

<file path=xl/ctrlProps/ctrlProp906.xml><?xml version="1.0" encoding="utf-8"?>
<formControlPr xmlns="http://schemas.microsoft.com/office/spreadsheetml/2009/9/main" objectType="CheckBox" fmlaLink="NeoBerLab!O12" lockText="1"/>
</file>

<file path=xl/ctrlProps/ctrlProp907.xml><?xml version="1.0" encoding="utf-8"?>
<formControlPr xmlns="http://schemas.microsoft.com/office/spreadsheetml/2009/9/main" objectType="CheckBox" fmlaLink="NeoBerLab!O28" lockText="1"/>
</file>

<file path=xl/ctrlProps/ctrlProp908.xml><?xml version="1.0" encoding="utf-8"?>
<formControlPr xmlns="http://schemas.microsoft.com/office/spreadsheetml/2009/9/main" objectType="CheckBox" fmlaLink="NeoBerLab!C32" lockText="1"/>
</file>

<file path=xl/ctrlProps/ctrlProp909.xml><?xml version="1.0" encoding="utf-8"?>
<formControlPr xmlns="http://schemas.microsoft.com/office/spreadsheetml/2009/9/main" objectType="CheckBox" fmlaLink="NeoBerLab!G32" lockText="1"/>
</file>

<file path=xl/ctrlProps/ctrlProp910.xml><?xml version="1.0" encoding="utf-8"?>
<formControlPr xmlns="http://schemas.microsoft.com/office/spreadsheetml/2009/9/main" objectType="CheckBox" fmlaLink="NeoBerLab!I32" lockText="1"/>
</file>

<file path=xl/ctrlProps/ctrlProp911.xml><?xml version="1.0" encoding="utf-8"?>
<formControlPr xmlns="http://schemas.microsoft.com/office/spreadsheetml/2009/9/main" objectType="CheckBox" fmlaLink="NeoBerLab!O32" lockText="1"/>
</file>

<file path=xl/ctrlProps/ctrlProp912.xml><?xml version="1.0" encoding="utf-8"?>
<formControlPr xmlns="http://schemas.microsoft.com/office/spreadsheetml/2009/9/main" objectType="CheckBox" fmlaLink="NeoBerLab!C6" lockText="1"/>
</file>

<file path=xl/ctrlProps/ctrlProp913.xml><?xml version="1.0" encoding="utf-8"?>
<formControlPr xmlns="http://schemas.microsoft.com/office/spreadsheetml/2009/9/main" objectType="CheckBox" fmlaLink="NeoBerLab!G6" lockText="1"/>
</file>

<file path=xl/ctrlProps/ctrlProp914.xml><?xml version="1.0" encoding="utf-8"?>
<formControlPr xmlns="http://schemas.microsoft.com/office/spreadsheetml/2009/9/main" objectType="CheckBox" fmlaLink="NeoBerLab!I6" lockText="1"/>
</file>

<file path=xl/ctrlProps/ctrlProp915.xml><?xml version="1.0" encoding="utf-8"?>
<formControlPr xmlns="http://schemas.microsoft.com/office/spreadsheetml/2009/9/main" objectType="CheckBox" fmlaLink="NeoBerLab!O6" lockText="1"/>
</file>

<file path=xl/ctrlProps/ctrlProp916.xml><?xml version="1.0" encoding="utf-8"?>
<formControlPr xmlns="http://schemas.microsoft.com/office/spreadsheetml/2009/9/main" objectType="CheckBox" fmlaLink="NeoBerLab!C17" lockText="1"/>
</file>

<file path=xl/ctrlProps/ctrlProp917.xml><?xml version="1.0" encoding="utf-8"?>
<formControlPr xmlns="http://schemas.microsoft.com/office/spreadsheetml/2009/9/main" objectType="CheckBox" fmlaLink="NeoBerLab!G17" lockText="1"/>
</file>

<file path=xl/ctrlProps/ctrlProp918.xml><?xml version="1.0" encoding="utf-8"?>
<formControlPr xmlns="http://schemas.microsoft.com/office/spreadsheetml/2009/9/main" objectType="CheckBox" fmlaLink="NeoBerLab!I17" lockText="1"/>
</file>

<file path=xl/ctrlProps/ctrlProp919.xml><?xml version="1.0" encoding="utf-8"?>
<formControlPr xmlns="http://schemas.microsoft.com/office/spreadsheetml/2009/9/main" objectType="CheckBox" fmlaLink="NeoBerLab!O17" lockText="1"/>
</file>

<file path=xl/ctrlProps/ctrlProp920.xml><?xml version="1.0" encoding="utf-8"?>
<formControlPr xmlns="http://schemas.microsoft.com/office/spreadsheetml/2009/9/main" objectType="CheckBox" fmlaLink="NeoBerLab!$E$4" lockText="1"/>
</file>

<file path=xl/ctrlProps/ctrlProp921.xml><?xml version="1.0" encoding="utf-8"?>
<formControlPr xmlns="http://schemas.microsoft.com/office/spreadsheetml/2009/9/main" objectType="CheckBox" fmlaLink="NeoBerLab!E5" lockText="1"/>
</file>

<file path=xl/ctrlProps/ctrlProp922.xml><?xml version="1.0" encoding="utf-8"?>
<formControlPr xmlns="http://schemas.microsoft.com/office/spreadsheetml/2009/9/main" objectType="CheckBox" fmlaLink="NeoBerLab!E7" lockText="1"/>
</file>

<file path=xl/ctrlProps/ctrlProp923.xml><?xml version="1.0" encoding="utf-8"?>
<formControlPr xmlns="http://schemas.microsoft.com/office/spreadsheetml/2009/9/main" objectType="CheckBox" fmlaLink="NeoBerLab!E8" lockText="1"/>
</file>

<file path=xl/ctrlProps/ctrlProp924.xml><?xml version="1.0" encoding="utf-8"?>
<formControlPr xmlns="http://schemas.microsoft.com/office/spreadsheetml/2009/9/main" objectType="CheckBox" fmlaLink="NeoBerLab!E14" lockText="1"/>
</file>

<file path=xl/ctrlProps/ctrlProp925.xml><?xml version="1.0" encoding="utf-8"?>
<formControlPr xmlns="http://schemas.microsoft.com/office/spreadsheetml/2009/9/main" objectType="CheckBox" fmlaLink="NeoBerLab!E13" lockText="1"/>
</file>

<file path=xl/ctrlProps/ctrlProp926.xml><?xml version="1.0" encoding="utf-8"?>
<formControlPr xmlns="http://schemas.microsoft.com/office/spreadsheetml/2009/9/main" objectType="CheckBox" fmlaLink="NeoBerLab!E30" lockText="1"/>
</file>

<file path=xl/ctrlProps/ctrlProp927.xml><?xml version="1.0" encoding="utf-8"?>
<formControlPr xmlns="http://schemas.microsoft.com/office/spreadsheetml/2009/9/main" objectType="CheckBox" fmlaLink="NeoBerLab!E16" lockText="1"/>
</file>

<file path=xl/ctrlProps/ctrlProp928.xml><?xml version="1.0" encoding="utf-8"?>
<formControlPr xmlns="http://schemas.microsoft.com/office/spreadsheetml/2009/9/main" objectType="CheckBox" fmlaLink="NeoBerLab!E19" lockText="1"/>
</file>

<file path=xl/ctrlProps/ctrlProp929.xml><?xml version="1.0" encoding="utf-8"?>
<formControlPr xmlns="http://schemas.microsoft.com/office/spreadsheetml/2009/9/main" objectType="CheckBox" fmlaLink="NeoBerLab!E20" lockText="1"/>
</file>

<file path=xl/ctrlProps/ctrlProp930.xml><?xml version="1.0" encoding="utf-8"?>
<formControlPr xmlns="http://schemas.microsoft.com/office/spreadsheetml/2009/9/main" objectType="CheckBox" fmlaLink="NeoBerLab!E21" lockText="1"/>
</file>

<file path=xl/ctrlProps/ctrlProp931.xml><?xml version="1.0" encoding="utf-8"?>
<formControlPr xmlns="http://schemas.microsoft.com/office/spreadsheetml/2009/9/main" objectType="CheckBox" fmlaLink="NeoBerLab!E12" lockText="1"/>
</file>

<file path=xl/ctrlProps/ctrlProp932.xml><?xml version="1.0" encoding="utf-8"?>
<formControlPr xmlns="http://schemas.microsoft.com/office/spreadsheetml/2009/9/main" objectType="CheckBox" fmlaLink="NeoBerLab!E28" lockText="1"/>
</file>

<file path=xl/ctrlProps/ctrlProp933.xml><?xml version="1.0" encoding="utf-8"?>
<formControlPr xmlns="http://schemas.microsoft.com/office/spreadsheetml/2009/9/main" objectType="CheckBox" fmlaLink="NeoBerLab!E32" lockText="1"/>
</file>

<file path=xl/ctrlProps/ctrlProp934.xml><?xml version="1.0" encoding="utf-8"?>
<formControlPr xmlns="http://schemas.microsoft.com/office/spreadsheetml/2009/9/main" objectType="CheckBox" fmlaLink="NeoBerLab!E6" lockText="1"/>
</file>

<file path=xl/ctrlProps/ctrlProp935.xml><?xml version="1.0" encoding="utf-8"?>
<formControlPr xmlns="http://schemas.microsoft.com/office/spreadsheetml/2009/9/main" objectType="CheckBox" fmlaLink="NeoBerLab!E17" lockText="1"/>
</file>

<file path=xl/ctrlProps/ctrlProp936.xml><?xml version="1.0" encoding="utf-8"?>
<formControlPr xmlns="http://schemas.microsoft.com/office/spreadsheetml/2009/9/main" objectType="CheckBox" fmlaLink="NeoBerLab!C33" lockText="1"/>
</file>

<file path=xl/ctrlProps/ctrlProp937.xml><?xml version="1.0" encoding="utf-8"?>
<formControlPr xmlns="http://schemas.microsoft.com/office/spreadsheetml/2009/9/main" objectType="CheckBox" fmlaLink="NeoBerLab!G33" lockText="1"/>
</file>

<file path=xl/ctrlProps/ctrlProp938.xml><?xml version="1.0" encoding="utf-8"?>
<formControlPr xmlns="http://schemas.microsoft.com/office/spreadsheetml/2009/9/main" objectType="CheckBox" fmlaLink="NeoBerLab!I33" lockText="1"/>
</file>

<file path=xl/ctrlProps/ctrlProp939.xml><?xml version="1.0" encoding="utf-8"?>
<formControlPr xmlns="http://schemas.microsoft.com/office/spreadsheetml/2009/9/main" objectType="CheckBox" fmlaLink="NeoBerLab!O33" lockText="1"/>
</file>

<file path=xl/ctrlProps/ctrlProp940.xml><?xml version="1.0" encoding="utf-8"?>
<formControlPr xmlns="http://schemas.microsoft.com/office/spreadsheetml/2009/9/main" objectType="CheckBox" fmlaLink="NeoBerLab!E33" lockText="1"/>
</file>

<file path=xl/ctrlProps/ctrlProp941.xml><?xml version="1.0" encoding="utf-8"?>
<formControlPr xmlns="http://schemas.microsoft.com/office/spreadsheetml/2009/9/main" objectType="CheckBox" fmlaLink="NeoBerLab!C34" lockText="1"/>
</file>

<file path=xl/ctrlProps/ctrlProp942.xml><?xml version="1.0" encoding="utf-8"?>
<formControlPr xmlns="http://schemas.microsoft.com/office/spreadsheetml/2009/9/main" objectType="CheckBox" fmlaLink="NeoBerLab!G34" lockText="1"/>
</file>

<file path=xl/ctrlProps/ctrlProp943.xml><?xml version="1.0" encoding="utf-8"?>
<formControlPr xmlns="http://schemas.microsoft.com/office/spreadsheetml/2009/9/main" objectType="CheckBox" fmlaLink="NeoBerLab!I34" lockText="1"/>
</file>

<file path=xl/ctrlProps/ctrlProp944.xml><?xml version="1.0" encoding="utf-8"?>
<formControlPr xmlns="http://schemas.microsoft.com/office/spreadsheetml/2009/9/main" objectType="CheckBox" fmlaLink="NeoBerLab!O34" lockText="1"/>
</file>

<file path=xl/ctrlProps/ctrlProp945.xml><?xml version="1.0" encoding="utf-8"?>
<formControlPr xmlns="http://schemas.microsoft.com/office/spreadsheetml/2009/9/main" objectType="CheckBox" fmlaLink="NeoBerLab!E34" lockText="1"/>
</file>

<file path=xl/ctrlProps/ctrlProp946.xml><?xml version="1.0" encoding="utf-8"?>
<formControlPr xmlns="http://schemas.microsoft.com/office/spreadsheetml/2009/9/main" objectType="CheckBox" fmlaLink="NeoBerLab!C9" lockText="1"/>
</file>

<file path=xl/ctrlProps/ctrlProp947.xml><?xml version="1.0" encoding="utf-8"?>
<formControlPr xmlns="http://schemas.microsoft.com/office/spreadsheetml/2009/9/main" objectType="CheckBox" fmlaLink="NeoBerLab!G9" lockText="1"/>
</file>

<file path=xl/ctrlProps/ctrlProp948.xml><?xml version="1.0" encoding="utf-8"?>
<formControlPr xmlns="http://schemas.microsoft.com/office/spreadsheetml/2009/9/main" objectType="CheckBox" fmlaLink="NeoBerLab!I9" lockText="1"/>
</file>

<file path=xl/ctrlProps/ctrlProp949.xml><?xml version="1.0" encoding="utf-8"?>
<formControlPr xmlns="http://schemas.microsoft.com/office/spreadsheetml/2009/9/main" objectType="CheckBox" fmlaLink="NeoBerLab!O9" lockText="1"/>
</file>

<file path=xl/ctrlProps/ctrlProp950.xml><?xml version="1.0" encoding="utf-8"?>
<formControlPr xmlns="http://schemas.microsoft.com/office/spreadsheetml/2009/9/main" objectType="CheckBox" fmlaLink="NeoBerLab!E9" lockText="1"/>
</file>

<file path=xl/ctrlProps/ctrlProp951.xml><?xml version="1.0" encoding="utf-8"?>
<formControlPr xmlns="http://schemas.microsoft.com/office/spreadsheetml/2009/9/main" objectType="CheckBox" fmlaLink="NeoBerLab!C11" lockText="1"/>
</file>

<file path=xl/ctrlProps/ctrlProp952.xml><?xml version="1.0" encoding="utf-8"?>
<formControlPr xmlns="http://schemas.microsoft.com/office/spreadsheetml/2009/9/main" objectType="CheckBox" fmlaLink="NeoBerLab!G11" lockText="1"/>
</file>

<file path=xl/ctrlProps/ctrlProp953.xml><?xml version="1.0" encoding="utf-8"?>
<formControlPr xmlns="http://schemas.microsoft.com/office/spreadsheetml/2009/9/main" objectType="CheckBox" fmlaLink="NeoBerLab!I11" lockText="1"/>
</file>

<file path=xl/ctrlProps/ctrlProp954.xml><?xml version="1.0" encoding="utf-8"?>
<formControlPr xmlns="http://schemas.microsoft.com/office/spreadsheetml/2009/9/main" objectType="CheckBox" fmlaLink="NeoBerLab!O11" lockText="1"/>
</file>

<file path=xl/ctrlProps/ctrlProp955.xml><?xml version="1.0" encoding="utf-8"?>
<formControlPr xmlns="http://schemas.microsoft.com/office/spreadsheetml/2009/9/main" objectType="CheckBox" fmlaLink="NeoBerLab!E11" lockText="1"/>
</file>

<file path=xl/ctrlProps/ctrlProp956.xml><?xml version="1.0" encoding="utf-8"?>
<formControlPr xmlns="http://schemas.microsoft.com/office/spreadsheetml/2009/9/main" objectType="CheckBox" fmlaLink="NeoBerLab!C15" lockText="1"/>
</file>

<file path=xl/ctrlProps/ctrlProp957.xml><?xml version="1.0" encoding="utf-8"?>
<formControlPr xmlns="http://schemas.microsoft.com/office/spreadsheetml/2009/9/main" objectType="CheckBox" fmlaLink="NeoBerLab!G15" lockText="1"/>
</file>

<file path=xl/ctrlProps/ctrlProp958.xml><?xml version="1.0" encoding="utf-8"?>
<formControlPr xmlns="http://schemas.microsoft.com/office/spreadsheetml/2009/9/main" objectType="CheckBox" fmlaLink="NeoBerLab!I15" lockText="1"/>
</file>

<file path=xl/ctrlProps/ctrlProp959.xml><?xml version="1.0" encoding="utf-8"?>
<formControlPr xmlns="http://schemas.microsoft.com/office/spreadsheetml/2009/9/main" objectType="CheckBox" fmlaLink="NeoBerLab!O15" lockText="1"/>
</file>

<file path=xl/ctrlProps/ctrlProp960.xml><?xml version="1.0" encoding="utf-8"?>
<formControlPr xmlns="http://schemas.microsoft.com/office/spreadsheetml/2009/9/main" objectType="CheckBox" fmlaLink="NeoBerLab!E15" lockText="1"/>
</file>

<file path=xl/ctrlProps/ctrlProp961.xml><?xml version="1.0" encoding="utf-8"?>
<formControlPr xmlns="http://schemas.microsoft.com/office/spreadsheetml/2009/9/main" objectType="CheckBox" fmlaLink="NeoBerLab!C22" lockText="1"/>
</file>

<file path=xl/ctrlProps/ctrlProp962.xml><?xml version="1.0" encoding="utf-8"?>
<formControlPr xmlns="http://schemas.microsoft.com/office/spreadsheetml/2009/9/main" objectType="CheckBox" fmlaLink="NeoBerLab!G22" lockText="1"/>
</file>

<file path=xl/ctrlProps/ctrlProp963.xml><?xml version="1.0" encoding="utf-8"?>
<formControlPr xmlns="http://schemas.microsoft.com/office/spreadsheetml/2009/9/main" objectType="CheckBox" fmlaLink="NeoBerLab!I22" lockText="1"/>
</file>

<file path=xl/ctrlProps/ctrlProp964.xml><?xml version="1.0" encoding="utf-8"?>
<formControlPr xmlns="http://schemas.microsoft.com/office/spreadsheetml/2009/9/main" objectType="CheckBox" fmlaLink="NeoBerLab!O22" lockText="1"/>
</file>

<file path=xl/ctrlProps/ctrlProp965.xml><?xml version="1.0" encoding="utf-8"?>
<formControlPr xmlns="http://schemas.microsoft.com/office/spreadsheetml/2009/9/main" objectType="CheckBox" fmlaLink="NeoBerLab!E22" lockText="1"/>
</file>

<file path=xl/ctrlProps/ctrlProp966.xml><?xml version="1.0" encoding="utf-8"?>
<formControlPr xmlns="http://schemas.microsoft.com/office/spreadsheetml/2009/9/main" objectType="CheckBox" fmlaLink="NeoBerLab!C23" lockText="1"/>
</file>

<file path=xl/ctrlProps/ctrlProp967.xml><?xml version="1.0" encoding="utf-8"?>
<formControlPr xmlns="http://schemas.microsoft.com/office/spreadsheetml/2009/9/main" objectType="CheckBox" fmlaLink="NeoBerLab!G23" lockText="1"/>
</file>

<file path=xl/ctrlProps/ctrlProp968.xml><?xml version="1.0" encoding="utf-8"?>
<formControlPr xmlns="http://schemas.microsoft.com/office/spreadsheetml/2009/9/main" objectType="CheckBox" fmlaLink="NeoBerLab!I23" lockText="1"/>
</file>

<file path=xl/ctrlProps/ctrlProp969.xml><?xml version="1.0" encoding="utf-8"?>
<formControlPr xmlns="http://schemas.microsoft.com/office/spreadsheetml/2009/9/main" objectType="CheckBox" fmlaLink="NeoBerLab!O23" lockText="1"/>
</file>

<file path=xl/ctrlProps/ctrlProp970.xml><?xml version="1.0" encoding="utf-8"?>
<formControlPr xmlns="http://schemas.microsoft.com/office/spreadsheetml/2009/9/main" objectType="CheckBox" fmlaLink="NeoBerLab!E23" lockText="1"/>
</file>

<file path=xl/ctrlProps/ctrlProp971.xml><?xml version="1.0" encoding="utf-8"?>
<formControlPr xmlns="http://schemas.microsoft.com/office/spreadsheetml/2009/9/main" objectType="CheckBox" fmlaLink="NeoBerLab!C24" lockText="1"/>
</file>

<file path=xl/ctrlProps/ctrlProp972.xml><?xml version="1.0" encoding="utf-8"?>
<formControlPr xmlns="http://schemas.microsoft.com/office/spreadsheetml/2009/9/main" objectType="CheckBox" fmlaLink="NeoBerLab!G24" lockText="1"/>
</file>

<file path=xl/ctrlProps/ctrlProp973.xml><?xml version="1.0" encoding="utf-8"?>
<formControlPr xmlns="http://schemas.microsoft.com/office/spreadsheetml/2009/9/main" objectType="CheckBox" fmlaLink="NeoBerLab!I24" lockText="1"/>
</file>

<file path=xl/ctrlProps/ctrlProp974.xml><?xml version="1.0" encoding="utf-8"?>
<formControlPr xmlns="http://schemas.microsoft.com/office/spreadsheetml/2009/9/main" objectType="CheckBox" fmlaLink="NeoBerLab!O24" lockText="1"/>
</file>

<file path=xl/ctrlProps/ctrlProp975.xml><?xml version="1.0" encoding="utf-8"?>
<formControlPr xmlns="http://schemas.microsoft.com/office/spreadsheetml/2009/9/main" objectType="CheckBox" fmlaLink="NeoBerLab!E24" lockText="1"/>
</file>

<file path=xl/ctrlProps/ctrlProp976.xml><?xml version="1.0" encoding="utf-8"?>
<formControlPr xmlns="http://schemas.microsoft.com/office/spreadsheetml/2009/9/main" objectType="CheckBox" fmlaLink="NeoBerLab!C25" lockText="1"/>
</file>

<file path=xl/ctrlProps/ctrlProp977.xml><?xml version="1.0" encoding="utf-8"?>
<formControlPr xmlns="http://schemas.microsoft.com/office/spreadsheetml/2009/9/main" objectType="CheckBox" fmlaLink="NeoBerLab!G25" lockText="1"/>
</file>

<file path=xl/ctrlProps/ctrlProp978.xml><?xml version="1.0" encoding="utf-8"?>
<formControlPr xmlns="http://schemas.microsoft.com/office/spreadsheetml/2009/9/main" objectType="CheckBox" fmlaLink="NeoBerLab!I25" lockText="1"/>
</file>

<file path=xl/ctrlProps/ctrlProp979.xml><?xml version="1.0" encoding="utf-8"?>
<formControlPr xmlns="http://schemas.microsoft.com/office/spreadsheetml/2009/9/main" objectType="CheckBox" fmlaLink="NeoBerLab!O25" lockText="1"/>
</file>

<file path=xl/ctrlProps/ctrlProp980.xml><?xml version="1.0" encoding="utf-8"?>
<formControlPr xmlns="http://schemas.microsoft.com/office/spreadsheetml/2009/9/main" objectType="CheckBox" fmlaLink="NeoBerLab!E25" lockText="1"/>
</file>

<file path=xl/ctrlProps/ctrlProp981.xml><?xml version="1.0" encoding="utf-8"?>
<formControlPr xmlns="http://schemas.microsoft.com/office/spreadsheetml/2009/9/main" objectType="CheckBox" fmlaLink="NeoBerLab!C26" lockText="1"/>
</file>

<file path=xl/ctrlProps/ctrlProp982.xml><?xml version="1.0" encoding="utf-8"?>
<formControlPr xmlns="http://schemas.microsoft.com/office/spreadsheetml/2009/9/main" objectType="CheckBox" fmlaLink="NeoBerLab!G26" lockText="1"/>
</file>

<file path=xl/ctrlProps/ctrlProp983.xml><?xml version="1.0" encoding="utf-8"?>
<formControlPr xmlns="http://schemas.microsoft.com/office/spreadsheetml/2009/9/main" objectType="CheckBox" fmlaLink="NeoBerLab!I26" lockText="1"/>
</file>

<file path=xl/ctrlProps/ctrlProp984.xml><?xml version="1.0" encoding="utf-8"?>
<formControlPr xmlns="http://schemas.microsoft.com/office/spreadsheetml/2009/9/main" objectType="CheckBox" fmlaLink="NeoBerLab!O26" lockText="1"/>
</file>

<file path=xl/ctrlProps/ctrlProp985.xml><?xml version="1.0" encoding="utf-8"?>
<formControlPr xmlns="http://schemas.microsoft.com/office/spreadsheetml/2009/9/main" objectType="CheckBox" fmlaLink="NeoBerLab!E26" lockText="1"/>
</file>

<file path=xl/ctrlProps/ctrlProp986.xml><?xml version="1.0" encoding="utf-8"?>
<formControlPr xmlns="http://schemas.microsoft.com/office/spreadsheetml/2009/9/main" objectType="CheckBox" fmlaLink="NeoBerLab!C29" lockText="1"/>
</file>

<file path=xl/ctrlProps/ctrlProp987.xml><?xml version="1.0" encoding="utf-8"?>
<formControlPr xmlns="http://schemas.microsoft.com/office/spreadsheetml/2009/9/main" objectType="CheckBox" fmlaLink="NeoBerLab!G29" lockText="1"/>
</file>

<file path=xl/ctrlProps/ctrlProp988.xml><?xml version="1.0" encoding="utf-8"?>
<formControlPr xmlns="http://schemas.microsoft.com/office/spreadsheetml/2009/9/main" objectType="CheckBox" fmlaLink="NeoBerLab!I29" lockText="1"/>
</file>

<file path=xl/ctrlProps/ctrlProp989.xml><?xml version="1.0" encoding="utf-8"?>
<formControlPr xmlns="http://schemas.microsoft.com/office/spreadsheetml/2009/9/main" objectType="CheckBox" fmlaLink="NeoBerLab!O29" lockText="1"/>
</file>

<file path=xl/ctrlProps/ctrlProp990.xml><?xml version="1.0" encoding="utf-8"?>
<formControlPr xmlns="http://schemas.microsoft.com/office/spreadsheetml/2009/9/main" objectType="CheckBox" fmlaLink="NeoBerLab!E29" lockText="1"/>
</file>

<file path=xl/ctrlProps/ctrlProp991.xml><?xml version="1.0" encoding="utf-8"?>
<formControlPr xmlns="http://schemas.microsoft.com/office/spreadsheetml/2009/9/main" objectType="CheckBox" fmlaLink="NeoBerLab!C18" lockText="1"/>
</file>

<file path=xl/ctrlProps/ctrlProp992.xml><?xml version="1.0" encoding="utf-8"?>
<formControlPr xmlns="http://schemas.microsoft.com/office/spreadsheetml/2009/9/main" objectType="CheckBox" fmlaLink="NeoBerLab!G18" lockText="1"/>
</file>

<file path=xl/ctrlProps/ctrlProp993.xml><?xml version="1.0" encoding="utf-8"?>
<formControlPr xmlns="http://schemas.microsoft.com/office/spreadsheetml/2009/9/main" objectType="CheckBox" fmlaLink="NeoBerLab!I18" lockText="1"/>
</file>

<file path=xl/ctrlProps/ctrlProp994.xml><?xml version="1.0" encoding="utf-8"?>
<formControlPr xmlns="http://schemas.microsoft.com/office/spreadsheetml/2009/9/main" objectType="CheckBox" fmlaLink="NeoBerLab!O18" lockText="1"/>
</file>

<file path=xl/ctrlProps/ctrlProp995.xml><?xml version="1.0" encoding="utf-8"?>
<formControlPr xmlns="http://schemas.microsoft.com/office/spreadsheetml/2009/9/main" objectType="CheckBox" fmlaLink="NeoBerLab!E18" lockText="1"/>
</file>

<file path=xl/ctrlProps/ctrlProp996.xml><?xml version="1.0" encoding="utf-8"?>
<formControlPr xmlns="http://schemas.microsoft.com/office/spreadsheetml/2009/9/main" objectType="CheckBox" fmlaLink="NeoBerLab!$K$4" lockText="1"/>
</file>

<file path=xl/ctrlProps/ctrlProp997.xml><?xml version="1.0" encoding="utf-8"?>
<formControlPr xmlns="http://schemas.microsoft.com/office/spreadsheetml/2009/9/main" objectType="CheckBox" fmlaLink="NeoBerLab!K5" lockText="1"/>
</file>

<file path=xl/ctrlProps/ctrlProp998.xml><?xml version="1.0" encoding="utf-8"?>
<formControlPr xmlns="http://schemas.microsoft.com/office/spreadsheetml/2009/9/main" objectType="CheckBox" fmlaLink="NeoBerLab!K7" lockText="1"/>
</file>

<file path=xl/ctrlProps/ctrlProp999.xml><?xml version="1.0" encoding="utf-8"?>
<formControlPr xmlns="http://schemas.microsoft.com/office/spreadsheetml/2009/9/main" objectType="CheckBox" fmlaLink="NeoBerLab!K8" lockText="1"/>
</file>

<file path=xl/ctrlProps/ctrlProp1000.xml><?xml version="1.0" encoding="utf-8"?>
<formControlPr xmlns="http://schemas.microsoft.com/office/spreadsheetml/2009/9/main" objectType="CheckBox" fmlaLink="NeoBerLab!K14" lockText="1"/>
</file>

<file path=xl/ctrlProps/ctrlProp1001.xml><?xml version="1.0" encoding="utf-8"?>
<formControlPr xmlns="http://schemas.microsoft.com/office/spreadsheetml/2009/9/main" objectType="CheckBox" fmlaLink="NeoBerLab!K13" lockText="1"/>
</file>

<file path=xl/ctrlProps/ctrlProp1002.xml><?xml version="1.0" encoding="utf-8"?>
<formControlPr xmlns="http://schemas.microsoft.com/office/spreadsheetml/2009/9/main" objectType="CheckBox" fmlaLink="NeoBerLab!K30" lockText="1"/>
</file>

<file path=xl/ctrlProps/ctrlProp1003.xml><?xml version="1.0" encoding="utf-8"?>
<formControlPr xmlns="http://schemas.microsoft.com/office/spreadsheetml/2009/9/main" objectType="CheckBox" fmlaLink="NeoBerLab!K16" lockText="1"/>
</file>

<file path=xl/ctrlProps/ctrlProp1004.xml><?xml version="1.0" encoding="utf-8"?>
<formControlPr xmlns="http://schemas.microsoft.com/office/spreadsheetml/2009/9/main" objectType="CheckBox" fmlaLink="NeoBerLab!K19" lockText="1"/>
</file>

<file path=xl/ctrlProps/ctrlProp1005.xml><?xml version="1.0" encoding="utf-8"?>
<formControlPr xmlns="http://schemas.microsoft.com/office/spreadsheetml/2009/9/main" objectType="CheckBox" fmlaLink="NeoBerLab!K20" lockText="1"/>
</file>

<file path=xl/ctrlProps/ctrlProp1006.xml><?xml version="1.0" encoding="utf-8"?>
<formControlPr xmlns="http://schemas.microsoft.com/office/spreadsheetml/2009/9/main" objectType="CheckBox" fmlaLink="NeoBerLab!K21" lockText="1"/>
</file>

<file path=xl/ctrlProps/ctrlProp1007.xml><?xml version="1.0" encoding="utf-8"?>
<formControlPr xmlns="http://schemas.microsoft.com/office/spreadsheetml/2009/9/main" objectType="CheckBox" fmlaLink="NeoBerLab!K12" lockText="1"/>
</file>

<file path=xl/ctrlProps/ctrlProp1008.xml><?xml version="1.0" encoding="utf-8"?>
<formControlPr xmlns="http://schemas.microsoft.com/office/spreadsheetml/2009/9/main" objectType="CheckBox" fmlaLink="NeoBerLab!K28" lockText="1"/>
</file>

<file path=xl/ctrlProps/ctrlProp1009.xml><?xml version="1.0" encoding="utf-8"?>
<formControlPr xmlns="http://schemas.microsoft.com/office/spreadsheetml/2009/9/main" objectType="CheckBox" fmlaLink="NeoBerLab!$M$4" lockText="1"/>
</file>

<file path=xl/ctrlProps/ctrlProp1010.xml><?xml version="1.0" encoding="utf-8"?>
<formControlPr xmlns="http://schemas.microsoft.com/office/spreadsheetml/2009/9/main" objectType="CheckBox" fmlaLink="NeoBerLab!M5" lockText="1"/>
</file>

<file path=xl/ctrlProps/ctrlProp1011.xml><?xml version="1.0" encoding="utf-8"?>
<formControlPr xmlns="http://schemas.microsoft.com/office/spreadsheetml/2009/9/main" objectType="CheckBox" fmlaLink="NeoBerLab!M7" lockText="1"/>
</file>

<file path=xl/ctrlProps/ctrlProp1012.xml><?xml version="1.0" encoding="utf-8"?>
<formControlPr xmlns="http://schemas.microsoft.com/office/spreadsheetml/2009/9/main" objectType="CheckBox" fmlaLink="NeoBerLab!M8" lockText="1"/>
</file>

<file path=xl/ctrlProps/ctrlProp1013.xml><?xml version="1.0" encoding="utf-8"?>
<formControlPr xmlns="http://schemas.microsoft.com/office/spreadsheetml/2009/9/main" objectType="CheckBox" fmlaLink="NeoBerLab!M14" lockText="1"/>
</file>

<file path=xl/ctrlProps/ctrlProp1014.xml><?xml version="1.0" encoding="utf-8"?>
<formControlPr xmlns="http://schemas.microsoft.com/office/spreadsheetml/2009/9/main" objectType="CheckBox" fmlaLink="NeoBerLab!M13" lockText="1"/>
</file>

<file path=xl/ctrlProps/ctrlProp1015.xml><?xml version="1.0" encoding="utf-8"?>
<formControlPr xmlns="http://schemas.microsoft.com/office/spreadsheetml/2009/9/main" objectType="CheckBox" fmlaLink="NeoBerLab!M30" lockText="1"/>
</file>

<file path=xl/ctrlProps/ctrlProp1016.xml><?xml version="1.0" encoding="utf-8"?>
<formControlPr xmlns="http://schemas.microsoft.com/office/spreadsheetml/2009/9/main" objectType="CheckBox" fmlaLink="NeoBerLab!M16" lockText="1"/>
</file>

<file path=xl/ctrlProps/ctrlProp1017.xml><?xml version="1.0" encoding="utf-8"?>
<formControlPr xmlns="http://schemas.microsoft.com/office/spreadsheetml/2009/9/main" objectType="CheckBox" fmlaLink="NeoBerLab!M19" lockText="1"/>
</file>

<file path=xl/ctrlProps/ctrlProp1018.xml><?xml version="1.0" encoding="utf-8"?>
<formControlPr xmlns="http://schemas.microsoft.com/office/spreadsheetml/2009/9/main" objectType="CheckBox" fmlaLink="NeoBerLab!M20" lockText="1"/>
</file>

<file path=xl/ctrlProps/ctrlProp1019.xml><?xml version="1.0" encoding="utf-8"?>
<formControlPr xmlns="http://schemas.microsoft.com/office/spreadsheetml/2009/9/main" objectType="CheckBox" fmlaLink="NeoBerLab!M21" lockText="1"/>
</file>

<file path=xl/ctrlProps/ctrlProp1020.xml><?xml version="1.0" encoding="utf-8"?>
<formControlPr xmlns="http://schemas.microsoft.com/office/spreadsheetml/2009/9/main" objectType="CheckBox" fmlaLink="NeoBerLab!M12" lockText="1"/>
</file>

<file path=xl/ctrlProps/ctrlProp1021.xml><?xml version="1.0" encoding="utf-8"?>
<formControlPr xmlns="http://schemas.microsoft.com/office/spreadsheetml/2009/9/main" objectType="CheckBox" fmlaLink="NeoBerLab!M28" lockText="1"/>
</file>

<file path=xl/ctrlProps/ctrlProp1022.xml><?xml version="1.0" encoding="utf-8"?>
<formControlPr xmlns="http://schemas.microsoft.com/office/spreadsheetml/2009/9/main" objectType="CheckBox" fmlaLink="NeoBerLab!K32" lockText="1"/>
</file>

<file path=xl/ctrlProps/ctrlProp1023.xml><?xml version="1.0" encoding="utf-8"?>
<formControlPr xmlns="http://schemas.microsoft.com/office/spreadsheetml/2009/9/main" objectType="CheckBox" fmlaLink="NeoBerLab!M32" lockText="1"/>
</file>

<file path=xl/ctrlProps/ctrlProp1024.xml><?xml version="1.0" encoding="utf-8"?>
<formControlPr xmlns="http://schemas.microsoft.com/office/spreadsheetml/2009/9/main" objectType="CheckBox" fmlaLink="NeoBerLab!K6" lockText="1"/>
</file>

<file path=xl/ctrlProps/ctrlProp1025.xml><?xml version="1.0" encoding="utf-8"?>
<formControlPr xmlns="http://schemas.microsoft.com/office/spreadsheetml/2009/9/main" objectType="CheckBox" fmlaLink="NeoBerLab!M6" lockText="1"/>
</file>

<file path=xl/ctrlProps/ctrlProp1026.xml><?xml version="1.0" encoding="utf-8"?>
<formControlPr xmlns="http://schemas.microsoft.com/office/spreadsheetml/2009/9/main" objectType="CheckBox" fmlaLink="NeoBerLab!K17" lockText="1"/>
</file>

<file path=xl/ctrlProps/ctrlProp1027.xml><?xml version="1.0" encoding="utf-8"?>
<formControlPr xmlns="http://schemas.microsoft.com/office/spreadsheetml/2009/9/main" objectType="CheckBox" fmlaLink="NeoBerLab!M17" lockText="1"/>
</file>

<file path=xl/ctrlProps/ctrlProp1028.xml><?xml version="1.0" encoding="utf-8"?>
<formControlPr xmlns="http://schemas.microsoft.com/office/spreadsheetml/2009/9/main" objectType="CheckBox" fmlaLink="NeoBerLab!K33" lockText="1"/>
</file>

<file path=xl/ctrlProps/ctrlProp1029.xml><?xml version="1.0" encoding="utf-8"?>
<formControlPr xmlns="http://schemas.microsoft.com/office/spreadsheetml/2009/9/main" objectType="CheckBox" fmlaLink="NeoBerLab!M33" lockText="1"/>
</file>

<file path=xl/ctrlProps/ctrlProp1030.xml><?xml version="1.0" encoding="utf-8"?>
<formControlPr xmlns="http://schemas.microsoft.com/office/spreadsheetml/2009/9/main" objectType="CheckBox" fmlaLink="NeoBerLab!K34" lockText="1"/>
</file>

<file path=xl/ctrlProps/ctrlProp1031.xml><?xml version="1.0" encoding="utf-8"?>
<formControlPr xmlns="http://schemas.microsoft.com/office/spreadsheetml/2009/9/main" objectType="CheckBox" fmlaLink="NeoBerLab!M34" lockText="1"/>
</file>

<file path=xl/ctrlProps/ctrlProp1032.xml><?xml version="1.0" encoding="utf-8"?>
<formControlPr xmlns="http://schemas.microsoft.com/office/spreadsheetml/2009/9/main" objectType="CheckBox" fmlaLink="NeoBerLab!K9" lockText="1"/>
</file>

<file path=xl/ctrlProps/ctrlProp1033.xml><?xml version="1.0" encoding="utf-8"?>
<formControlPr xmlns="http://schemas.microsoft.com/office/spreadsheetml/2009/9/main" objectType="CheckBox" fmlaLink="NeoBerLab!M9" lockText="1"/>
</file>

<file path=xl/ctrlProps/ctrlProp1034.xml><?xml version="1.0" encoding="utf-8"?>
<formControlPr xmlns="http://schemas.microsoft.com/office/spreadsheetml/2009/9/main" objectType="CheckBox" fmlaLink="NeoBerLab!K11" lockText="1"/>
</file>

<file path=xl/ctrlProps/ctrlProp1035.xml><?xml version="1.0" encoding="utf-8"?>
<formControlPr xmlns="http://schemas.microsoft.com/office/spreadsheetml/2009/9/main" objectType="CheckBox" fmlaLink="NeoBerLab!M11" lockText="1"/>
</file>

<file path=xl/ctrlProps/ctrlProp1036.xml><?xml version="1.0" encoding="utf-8"?>
<formControlPr xmlns="http://schemas.microsoft.com/office/spreadsheetml/2009/9/main" objectType="CheckBox" fmlaLink="NeoBerLab!K15" lockText="1"/>
</file>

<file path=xl/ctrlProps/ctrlProp1037.xml><?xml version="1.0" encoding="utf-8"?>
<formControlPr xmlns="http://schemas.microsoft.com/office/spreadsheetml/2009/9/main" objectType="CheckBox" fmlaLink="NeoBerLab!M15" lockText="1"/>
</file>

<file path=xl/ctrlProps/ctrlProp1038.xml><?xml version="1.0" encoding="utf-8"?>
<formControlPr xmlns="http://schemas.microsoft.com/office/spreadsheetml/2009/9/main" objectType="CheckBox" fmlaLink="NeoBerLab!K22" lockText="1"/>
</file>

<file path=xl/ctrlProps/ctrlProp1039.xml><?xml version="1.0" encoding="utf-8"?>
<formControlPr xmlns="http://schemas.microsoft.com/office/spreadsheetml/2009/9/main" objectType="CheckBox" fmlaLink="NeoBerLab!M22" lockText="1"/>
</file>

<file path=xl/ctrlProps/ctrlProp1040.xml><?xml version="1.0" encoding="utf-8"?>
<formControlPr xmlns="http://schemas.microsoft.com/office/spreadsheetml/2009/9/main" objectType="CheckBox" fmlaLink="NeoBerLab!K23" lockText="1"/>
</file>

<file path=xl/ctrlProps/ctrlProp1041.xml><?xml version="1.0" encoding="utf-8"?>
<formControlPr xmlns="http://schemas.microsoft.com/office/spreadsheetml/2009/9/main" objectType="CheckBox" fmlaLink="NeoBerLab!M23" lockText="1"/>
</file>

<file path=xl/ctrlProps/ctrlProp1042.xml><?xml version="1.0" encoding="utf-8"?>
<formControlPr xmlns="http://schemas.microsoft.com/office/spreadsheetml/2009/9/main" objectType="CheckBox" fmlaLink="NeoBerLab!K24" lockText="1"/>
</file>

<file path=xl/ctrlProps/ctrlProp1043.xml><?xml version="1.0" encoding="utf-8"?>
<formControlPr xmlns="http://schemas.microsoft.com/office/spreadsheetml/2009/9/main" objectType="CheckBox" fmlaLink="NeoBerLab!M24" lockText="1"/>
</file>

<file path=xl/ctrlProps/ctrlProp1044.xml><?xml version="1.0" encoding="utf-8"?>
<formControlPr xmlns="http://schemas.microsoft.com/office/spreadsheetml/2009/9/main" objectType="CheckBox" fmlaLink="NeoBerLab!K25" lockText="1"/>
</file>

<file path=xl/ctrlProps/ctrlProp1045.xml><?xml version="1.0" encoding="utf-8"?>
<formControlPr xmlns="http://schemas.microsoft.com/office/spreadsheetml/2009/9/main" objectType="CheckBox" fmlaLink="NeoBerLab!M25" lockText="1"/>
</file>

<file path=xl/ctrlProps/ctrlProp1046.xml><?xml version="1.0" encoding="utf-8"?>
<formControlPr xmlns="http://schemas.microsoft.com/office/spreadsheetml/2009/9/main" objectType="CheckBox" fmlaLink="NeoBerLab!K26" lockText="1"/>
</file>

<file path=xl/ctrlProps/ctrlProp1047.xml><?xml version="1.0" encoding="utf-8"?>
<formControlPr xmlns="http://schemas.microsoft.com/office/spreadsheetml/2009/9/main" objectType="CheckBox" fmlaLink="NeoBerLab!M26" lockText="1"/>
</file>

<file path=xl/ctrlProps/ctrlProp1048.xml><?xml version="1.0" encoding="utf-8"?>
<formControlPr xmlns="http://schemas.microsoft.com/office/spreadsheetml/2009/9/main" objectType="CheckBox" fmlaLink="NeoBerLab!K29" lockText="1"/>
</file>

<file path=xl/ctrlProps/ctrlProp1049.xml><?xml version="1.0" encoding="utf-8"?>
<formControlPr xmlns="http://schemas.microsoft.com/office/spreadsheetml/2009/9/main" objectType="CheckBox" fmlaLink="NeoBerLab!M29" lockText="1"/>
</file>

<file path=xl/ctrlProps/ctrlProp1050.xml><?xml version="1.0" encoding="utf-8"?>
<formControlPr xmlns="http://schemas.microsoft.com/office/spreadsheetml/2009/9/main" objectType="CheckBox" fmlaLink="NeoBerLab!K18" lockText="1"/>
</file>

<file path=xl/ctrlProps/ctrlProp1051.xml><?xml version="1.0" encoding="utf-8"?>
<formControlPr xmlns="http://schemas.microsoft.com/office/spreadsheetml/2009/9/main" objectType="CheckBox" fmlaLink="NeoBerLab!M18" lockText="1"/>
</file>

<file path=xl/ctrlProps/ctrlProp1052.xml><?xml version="1.0" encoding="utf-8"?>
<formControlPr xmlns="http://schemas.microsoft.com/office/spreadsheetml/2009/9/main" objectType="CheckBox" fmlaLink="NeoBerLab!C10" lockText="1"/>
</file>

<file path=xl/ctrlProps/ctrlProp1053.xml><?xml version="1.0" encoding="utf-8"?>
<formControlPr xmlns="http://schemas.microsoft.com/office/spreadsheetml/2009/9/main" objectType="CheckBox" fmlaLink="NeoBerLab!G10" lockText="1"/>
</file>

<file path=xl/ctrlProps/ctrlProp1054.xml><?xml version="1.0" encoding="utf-8"?>
<formControlPr xmlns="http://schemas.microsoft.com/office/spreadsheetml/2009/9/main" objectType="CheckBox" fmlaLink="NeoBerLab!I10" lockText="1"/>
</file>

<file path=xl/ctrlProps/ctrlProp1055.xml><?xml version="1.0" encoding="utf-8"?>
<formControlPr xmlns="http://schemas.microsoft.com/office/spreadsheetml/2009/9/main" objectType="CheckBox" fmlaLink="NeoBerLab!O10" lockText="1"/>
</file>

<file path=xl/ctrlProps/ctrlProp1056.xml><?xml version="1.0" encoding="utf-8"?>
<formControlPr xmlns="http://schemas.microsoft.com/office/spreadsheetml/2009/9/main" objectType="CheckBox" fmlaLink="NeoBerLab!E10" lockText="1"/>
</file>

<file path=xl/ctrlProps/ctrlProp1057.xml><?xml version="1.0" encoding="utf-8"?>
<formControlPr xmlns="http://schemas.microsoft.com/office/spreadsheetml/2009/9/main" objectType="CheckBox" fmlaLink="NeoBerLab!K10" lockText="1"/>
</file>

<file path=xl/ctrlProps/ctrlProp1058.xml><?xml version="1.0" encoding="utf-8"?>
<formControlPr xmlns="http://schemas.microsoft.com/office/spreadsheetml/2009/9/main" objectType="CheckBox" fmlaLink="NeoBerLab!M10" lockText="1"/>
</file>

<file path=xl/ctrlProps/ctrlProp1059.xml><?xml version="1.0" encoding="utf-8"?>
<formControlPr xmlns="http://schemas.microsoft.com/office/spreadsheetml/2009/9/main" objectType="CheckBox" fmlaLink="NeoBerLab!C31" lockText="1"/>
</file>

<file path=xl/ctrlProps/ctrlProp1060.xml><?xml version="1.0" encoding="utf-8"?>
<formControlPr xmlns="http://schemas.microsoft.com/office/spreadsheetml/2009/9/main" objectType="CheckBox" fmlaLink="NeoBerLab!G31" lockText="1"/>
</file>

<file path=xl/ctrlProps/ctrlProp1061.xml><?xml version="1.0" encoding="utf-8"?>
<formControlPr xmlns="http://schemas.microsoft.com/office/spreadsheetml/2009/9/main" objectType="CheckBox" fmlaLink="NeoBerLab!I31" lockText="1"/>
</file>

<file path=xl/ctrlProps/ctrlProp1062.xml><?xml version="1.0" encoding="utf-8"?>
<formControlPr xmlns="http://schemas.microsoft.com/office/spreadsheetml/2009/9/main" objectType="CheckBox" fmlaLink="NeoBerLab!O31" lockText="1"/>
</file>

<file path=xl/ctrlProps/ctrlProp1063.xml><?xml version="1.0" encoding="utf-8"?>
<formControlPr xmlns="http://schemas.microsoft.com/office/spreadsheetml/2009/9/main" objectType="CheckBox" fmlaLink="NeoBerLab!E31" lockText="1"/>
</file>

<file path=xl/ctrlProps/ctrlProp1064.xml><?xml version="1.0" encoding="utf-8"?>
<formControlPr xmlns="http://schemas.microsoft.com/office/spreadsheetml/2009/9/main" objectType="CheckBox" fmlaLink="NeoBerLab!K31" lockText="1"/>
</file>

<file path=xl/ctrlProps/ctrlProp1065.xml><?xml version="1.0" encoding="utf-8"?>
<formControlPr xmlns="http://schemas.microsoft.com/office/spreadsheetml/2009/9/main" objectType="CheckBox" fmlaLink="NeoBerLab!M31" lockText="1"/>
</file>

<file path=xl/ctrlProps/ctrlProp1066.xml><?xml version="1.0" encoding="utf-8"?>
<formControlPr xmlns="http://schemas.microsoft.com/office/spreadsheetml/2009/9/main" objectType="CheckBox" fmlaLink="NeoBerLab!C27" lockText="1"/>
</file>

<file path=xl/ctrlProps/ctrlProp1067.xml><?xml version="1.0" encoding="utf-8"?>
<formControlPr xmlns="http://schemas.microsoft.com/office/spreadsheetml/2009/9/main" objectType="CheckBox" fmlaLink="NeoBerLab!G27" lockText="1"/>
</file>

<file path=xl/ctrlProps/ctrlProp1068.xml><?xml version="1.0" encoding="utf-8"?>
<formControlPr xmlns="http://schemas.microsoft.com/office/spreadsheetml/2009/9/main" objectType="CheckBox" fmlaLink="NeoBerLab!I27" lockText="1"/>
</file>

<file path=xl/ctrlProps/ctrlProp1069.xml><?xml version="1.0" encoding="utf-8"?>
<formControlPr xmlns="http://schemas.microsoft.com/office/spreadsheetml/2009/9/main" objectType="CheckBox" fmlaLink="NeoBerLab!O27" lockText="1"/>
</file>

<file path=xl/ctrlProps/ctrlProp1070.xml><?xml version="1.0" encoding="utf-8"?>
<formControlPr xmlns="http://schemas.microsoft.com/office/spreadsheetml/2009/9/main" objectType="CheckBox" fmlaLink="NeoBerLab!E27" lockText="1"/>
</file>

<file path=xl/ctrlProps/ctrlProp1071.xml><?xml version="1.0" encoding="utf-8"?>
<formControlPr xmlns="http://schemas.microsoft.com/office/spreadsheetml/2009/9/main" objectType="CheckBox" fmlaLink="NeoBerLab!K27" lockText="1"/>
</file>

<file path=xl/ctrlProps/ctrlProp1072.xml><?xml version="1.0" encoding="utf-8"?>
<formControlPr xmlns="http://schemas.microsoft.com/office/spreadsheetml/2009/9/main" objectType="CheckBox" fmlaLink="NeoBerLab!M27" lockText="1"/>
</file>

<file path=xl/ctrlProps/ctrlProp1073.xml><?xml version="1.0" encoding="utf-8"?>
<formControlPr xmlns="http://schemas.microsoft.com/office/spreadsheetml/2009/9/main" objectType="CheckBox" fmlaLink="NeoBerLab!C35" lockText="1"/>
</file>

<file path=xl/ctrlProps/ctrlProp1074.xml><?xml version="1.0" encoding="utf-8"?>
<formControlPr xmlns="http://schemas.microsoft.com/office/spreadsheetml/2009/9/main" objectType="CheckBox" fmlaLink="NeoBerLab!$Q$4" lockText="1"/>
</file>

<file path=xl/ctrlProps/ctrlProp1075.xml><?xml version="1.0" encoding="utf-8"?>
<formControlPr xmlns="http://schemas.microsoft.com/office/spreadsheetml/2009/9/main" objectType="CheckBox" fmlaLink="NeoBerLab!Q5" lockText="1"/>
</file>

<file path=xl/ctrlProps/ctrlProp1076.xml><?xml version="1.0" encoding="utf-8"?>
<formControlPr xmlns="http://schemas.microsoft.com/office/spreadsheetml/2009/9/main" objectType="CheckBox" fmlaLink="NeoBerLab!Q7" lockText="1"/>
</file>

<file path=xl/ctrlProps/ctrlProp1077.xml><?xml version="1.0" encoding="utf-8"?>
<formControlPr xmlns="http://schemas.microsoft.com/office/spreadsheetml/2009/9/main" objectType="CheckBox" fmlaLink="NeoBerLab!Q8" lockText="1"/>
</file>

<file path=xl/ctrlProps/ctrlProp1078.xml><?xml version="1.0" encoding="utf-8"?>
<formControlPr xmlns="http://schemas.microsoft.com/office/spreadsheetml/2009/9/main" objectType="CheckBox" fmlaLink="NeoBerLab!Q14" lockText="1"/>
</file>

<file path=xl/ctrlProps/ctrlProp1079.xml><?xml version="1.0" encoding="utf-8"?>
<formControlPr xmlns="http://schemas.microsoft.com/office/spreadsheetml/2009/9/main" objectType="CheckBox" fmlaLink="NeoBerLab!Q13" lockText="1"/>
</file>

<file path=xl/ctrlProps/ctrlProp1080.xml><?xml version="1.0" encoding="utf-8"?>
<formControlPr xmlns="http://schemas.microsoft.com/office/spreadsheetml/2009/9/main" objectType="CheckBox" fmlaLink="NeoBerLab!Q30" lockText="1"/>
</file>

<file path=xl/ctrlProps/ctrlProp1081.xml><?xml version="1.0" encoding="utf-8"?>
<formControlPr xmlns="http://schemas.microsoft.com/office/spreadsheetml/2009/9/main" objectType="CheckBox" fmlaLink="NeoBerLab!Q16" lockText="1"/>
</file>

<file path=xl/ctrlProps/ctrlProp1082.xml><?xml version="1.0" encoding="utf-8"?>
<formControlPr xmlns="http://schemas.microsoft.com/office/spreadsheetml/2009/9/main" objectType="CheckBox" fmlaLink="NeoBerLab!Q19" lockText="1"/>
</file>

<file path=xl/ctrlProps/ctrlProp1083.xml><?xml version="1.0" encoding="utf-8"?>
<formControlPr xmlns="http://schemas.microsoft.com/office/spreadsheetml/2009/9/main" objectType="CheckBox" fmlaLink="NeoBerLab!Q20" lockText="1"/>
</file>

<file path=xl/ctrlProps/ctrlProp1084.xml><?xml version="1.0" encoding="utf-8"?>
<formControlPr xmlns="http://schemas.microsoft.com/office/spreadsheetml/2009/9/main" objectType="CheckBox" fmlaLink="NeoBerLab!Q21" lockText="1"/>
</file>

<file path=xl/ctrlProps/ctrlProp1085.xml><?xml version="1.0" encoding="utf-8"?>
<formControlPr xmlns="http://schemas.microsoft.com/office/spreadsheetml/2009/9/main" objectType="CheckBox" fmlaLink="NeoBerLab!Q12" lockText="1"/>
</file>

<file path=xl/ctrlProps/ctrlProp1086.xml><?xml version="1.0" encoding="utf-8"?>
<formControlPr xmlns="http://schemas.microsoft.com/office/spreadsheetml/2009/9/main" objectType="CheckBox" fmlaLink="NeoBerLab!Q28" lockText="1"/>
</file>

<file path=xl/ctrlProps/ctrlProp1087.xml><?xml version="1.0" encoding="utf-8"?>
<formControlPr xmlns="http://schemas.microsoft.com/office/spreadsheetml/2009/9/main" objectType="CheckBox" fmlaLink="NeoBerLab!Q32" lockText="1"/>
</file>

<file path=xl/ctrlProps/ctrlProp1088.xml><?xml version="1.0" encoding="utf-8"?>
<formControlPr xmlns="http://schemas.microsoft.com/office/spreadsheetml/2009/9/main" objectType="CheckBox" fmlaLink="NeoBerLab!Q6" lockText="1"/>
</file>

<file path=xl/ctrlProps/ctrlProp1089.xml><?xml version="1.0" encoding="utf-8"?>
<formControlPr xmlns="http://schemas.microsoft.com/office/spreadsheetml/2009/9/main" objectType="CheckBox" fmlaLink="NeoBerLab!Q17" lockText="1"/>
</file>

<file path=xl/ctrlProps/ctrlProp1090.xml><?xml version="1.0" encoding="utf-8"?>
<formControlPr xmlns="http://schemas.microsoft.com/office/spreadsheetml/2009/9/main" objectType="CheckBox" fmlaLink="NeoBerLab!Q33" lockText="1"/>
</file>

<file path=xl/ctrlProps/ctrlProp1091.xml><?xml version="1.0" encoding="utf-8"?>
<formControlPr xmlns="http://schemas.microsoft.com/office/spreadsheetml/2009/9/main" objectType="CheckBox" fmlaLink="NeoBerLab!Q34" lockText="1"/>
</file>

<file path=xl/ctrlProps/ctrlProp1092.xml><?xml version="1.0" encoding="utf-8"?>
<formControlPr xmlns="http://schemas.microsoft.com/office/spreadsheetml/2009/9/main" objectType="CheckBox" fmlaLink="NeoBerLab!Q9" lockText="1"/>
</file>

<file path=xl/ctrlProps/ctrlProp1093.xml><?xml version="1.0" encoding="utf-8"?>
<formControlPr xmlns="http://schemas.microsoft.com/office/spreadsheetml/2009/9/main" objectType="CheckBox" fmlaLink="NeoBerLab!Q11" lockText="1"/>
</file>

<file path=xl/ctrlProps/ctrlProp1094.xml><?xml version="1.0" encoding="utf-8"?>
<formControlPr xmlns="http://schemas.microsoft.com/office/spreadsheetml/2009/9/main" objectType="CheckBox" fmlaLink="NeoBerLab!Q15" lockText="1"/>
</file>

<file path=xl/ctrlProps/ctrlProp1095.xml><?xml version="1.0" encoding="utf-8"?>
<formControlPr xmlns="http://schemas.microsoft.com/office/spreadsheetml/2009/9/main" objectType="CheckBox" fmlaLink="NeoBerLab!Q22" lockText="1"/>
</file>

<file path=xl/ctrlProps/ctrlProp1096.xml><?xml version="1.0" encoding="utf-8"?>
<formControlPr xmlns="http://schemas.microsoft.com/office/spreadsheetml/2009/9/main" objectType="CheckBox" fmlaLink="NeoBerLab!Q23" lockText="1"/>
</file>

<file path=xl/ctrlProps/ctrlProp1097.xml><?xml version="1.0" encoding="utf-8"?>
<formControlPr xmlns="http://schemas.microsoft.com/office/spreadsheetml/2009/9/main" objectType="CheckBox" fmlaLink="NeoBerLab!Q24" lockText="1"/>
</file>

<file path=xl/ctrlProps/ctrlProp1098.xml><?xml version="1.0" encoding="utf-8"?>
<formControlPr xmlns="http://schemas.microsoft.com/office/spreadsheetml/2009/9/main" objectType="CheckBox" fmlaLink="NeoBerLab!Q25" lockText="1"/>
</file>

<file path=xl/ctrlProps/ctrlProp1099.xml><?xml version="1.0" encoding="utf-8"?>
<formControlPr xmlns="http://schemas.microsoft.com/office/spreadsheetml/2009/9/main" objectType="CheckBox" fmlaLink="NeoBerLab!Q26" lockText="1"/>
</file>

<file path=xl/ctrlProps/ctrlProp1100.xml><?xml version="1.0" encoding="utf-8"?>
<formControlPr xmlns="http://schemas.microsoft.com/office/spreadsheetml/2009/9/main" objectType="CheckBox" fmlaLink="NeoBerLab!Q29" lockText="1"/>
</file>

<file path=xl/ctrlProps/ctrlProp1101.xml><?xml version="1.0" encoding="utf-8"?>
<formControlPr xmlns="http://schemas.microsoft.com/office/spreadsheetml/2009/9/main" objectType="CheckBox" fmlaLink="NeoBerLab!Q18" lockText="1"/>
</file>

<file path=xl/ctrlProps/ctrlProp1102.xml><?xml version="1.0" encoding="utf-8"?>
<formControlPr xmlns="http://schemas.microsoft.com/office/spreadsheetml/2009/9/main" objectType="CheckBox" fmlaLink="NeoBerLab!Q10" lockText="1"/>
</file>

<file path=xl/ctrlProps/ctrlProp1103.xml><?xml version="1.0" encoding="utf-8"?>
<formControlPr xmlns="http://schemas.microsoft.com/office/spreadsheetml/2009/9/main" objectType="CheckBox" fmlaLink="NeoBerLab!Q31" lockText="1"/>
</file>

<file path=xl/ctrlProps/ctrlProp1104.xml><?xml version="1.0" encoding="utf-8"?>
<formControlPr xmlns="http://schemas.microsoft.com/office/spreadsheetml/2009/9/main" objectType="CheckBox" fmlaLink="NeoBerLab!Q27" lockText="1"/>
</file>

<file path=xl/ctrlProps/ctrlProp1105.xml><?xml version="1.0" encoding="utf-8"?>
<formControlPr xmlns="http://schemas.microsoft.com/office/spreadsheetml/2009/9/main" objectType="CheckBox" fmlaLink="NeoBerLab!$S$4" lockText="1"/>
</file>

<file path=xl/ctrlProps/ctrlProp1106.xml><?xml version="1.0" encoding="utf-8"?>
<formControlPr xmlns="http://schemas.microsoft.com/office/spreadsheetml/2009/9/main" objectType="CheckBox" fmlaLink="NeoBerLab!S5" lockText="1"/>
</file>

<file path=xl/ctrlProps/ctrlProp1107.xml><?xml version="1.0" encoding="utf-8"?>
<formControlPr xmlns="http://schemas.microsoft.com/office/spreadsheetml/2009/9/main" objectType="CheckBox" fmlaLink="NeoBerLab!S7" lockText="1"/>
</file>

<file path=xl/ctrlProps/ctrlProp1108.xml><?xml version="1.0" encoding="utf-8"?>
<formControlPr xmlns="http://schemas.microsoft.com/office/spreadsheetml/2009/9/main" objectType="CheckBox" fmlaLink="NeoBerLab!S8" lockText="1"/>
</file>

<file path=xl/ctrlProps/ctrlProp1109.xml><?xml version="1.0" encoding="utf-8"?>
<formControlPr xmlns="http://schemas.microsoft.com/office/spreadsheetml/2009/9/main" objectType="CheckBox" fmlaLink="NeoBerLab!S14" lockText="1"/>
</file>

<file path=xl/ctrlProps/ctrlProp1110.xml><?xml version="1.0" encoding="utf-8"?>
<formControlPr xmlns="http://schemas.microsoft.com/office/spreadsheetml/2009/9/main" objectType="CheckBox" fmlaLink="NeoBerLab!S13" lockText="1"/>
</file>

<file path=xl/ctrlProps/ctrlProp1111.xml><?xml version="1.0" encoding="utf-8"?>
<formControlPr xmlns="http://schemas.microsoft.com/office/spreadsheetml/2009/9/main" objectType="CheckBox" fmlaLink="NeoBerLab!S30" lockText="1"/>
</file>

<file path=xl/ctrlProps/ctrlProp1112.xml><?xml version="1.0" encoding="utf-8"?>
<formControlPr xmlns="http://schemas.microsoft.com/office/spreadsheetml/2009/9/main" objectType="CheckBox" fmlaLink="NeoBerLab!S16" lockText="1"/>
</file>

<file path=xl/ctrlProps/ctrlProp1113.xml><?xml version="1.0" encoding="utf-8"?>
<formControlPr xmlns="http://schemas.microsoft.com/office/spreadsheetml/2009/9/main" objectType="CheckBox" fmlaLink="NeoBerLab!S19" lockText="1"/>
</file>

<file path=xl/ctrlProps/ctrlProp1114.xml><?xml version="1.0" encoding="utf-8"?>
<formControlPr xmlns="http://schemas.microsoft.com/office/spreadsheetml/2009/9/main" objectType="CheckBox" fmlaLink="NeoBerLab!S20" lockText="1"/>
</file>

<file path=xl/ctrlProps/ctrlProp1115.xml><?xml version="1.0" encoding="utf-8"?>
<formControlPr xmlns="http://schemas.microsoft.com/office/spreadsheetml/2009/9/main" objectType="CheckBox" fmlaLink="NeoBerLab!S21" lockText="1"/>
</file>

<file path=xl/ctrlProps/ctrlProp1116.xml><?xml version="1.0" encoding="utf-8"?>
<formControlPr xmlns="http://schemas.microsoft.com/office/spreadsheetml/2009/9/main" objectType="CheckBox" fmlaLink="NeoBerLab!S12" lockText="1"/>
</file>

<file path=xl/ctrlProps/ctrlProp1117.xml><?xml version="1.0" encoding="utf-8"?>
<formControlPr xmlns="http://schemas.microsoft.com/office/spreadsheetml/2009/9/main" objectType="CheckBox" fmlaLink="NeoBerLab!S28" lockText="1"/>
</file>

<file path=xl/ctrlProps/ctrlProp1118.xml><?xml version="1.0" encoding="utf-8"?>
<formControlPr xmlns="http://schemas.microsoft.com/office/spreadsheetml/2009/9/main" objectType="CheckBox" fmlaLink="NeoBerLab!S32" lockText="1"/>
</file>

<file path=xl/ctrlProps/ctrlProp1119.xml><?xml version="1.0" encoding="utf-8"?>
<formControlPr xmlns="http://schemas.microsoft.com/office/spreadsheetml/2009/9/main" objectType="CheckBox" fmlaLink="NeoBerLab!S6" lockText="1"/>
</file>

<file path=xl/ctrlProps/ctrlProp1120.xml><?xml version="1.0" encoding="utf-8"?>
<formControlPr xmlns="http://schemas.microsoft.com/office/spreadsheetml/2009/9/main" objectType="CheckBox" fmlaLink="NeoBerLab!S17" lockText="1"/>
</file>

<file path=xl/ctrlProps/ctrlProp1121.xml><?xml version="1.0" encoding="utf-8"?>
<formControlPr xmlns="http://schemas.microsoft.com/office/spreadsheetml/2009/9/main" objectType="CheckBox" fmlaLink="NeoBerLab!S33" lockText="1"/>
</file>

<file path=xl/ctrlProps/ctrlProp1122.xml><?xml version="1.0" encoding="utf-8"?>
<formControlPr xmlns="http://schemas.microsoft.com/office/spreadsheetml/2009/9/main" objectType="CheckBox" fmlaLink="NeoBerLab!S34" lockText="1"/>
</file>

<file path=xl/ctrlProps/ctrlProp1123.xml><?xml version="1.0" encoding="utf-8"?>
<formControlPr xmlns="http://schemas.microsoft.com/office/spreadsheetml/2009/9/main" objectType="CheckBox" fmlaLink="NeoBerLab!S9" lockText="1"/>
</file>

<file path=xl/ctrlProps/ctrlProp1124.xml><?xml version="1.0" encoding="utf-8"?>
<formControlPr xmlns="http://schemas.microsoft.com/office/spreadsheetml/2009/9/main" objectType="CheckBox" fmlaLink="NeoBerLab!S11" lockText="1"/>
</file>

<file path=xl/ctrlProps/ctrlProp1125.xml><?xml version="1.0" encoding="utf-8"?>
<formControlPr xmlns="http://schemas.microsoft.com/office/spreadsheetml/2009/9/main" objectType="CheckBox" fmlaLink="NeoBerLab!S15" lockText="1"/>
</file>

<file path=xl/ctrlProps/ctrlProp1126.xml><?xml version="1.0" encoding="utf-8"?>
<formControlPr xmlns="http://schemas.microsoft.com/office/spreadsheetml/2009/9/main" objectType="CheckBox" fmlaLink="NeoBerLab!S22" lockText="1"/>
</file>

<file path=xl/ctrlProps/ctrlProp1127.xml><?xml version="1.0" encoding="utf-8"?>
<formControlPr xmlns="http://schemas.microsoft.com/office/spreadsheetml/2009/9/main" objectType="CheckBox" fmlaLink="NeoBerLab!S23" lockText="1"/>
</file>

<file path=xl/ctrlProps/ctrlProp1128.xml><?xml version="1.0" encoding="utf-8"?>
<formControlPr xmlns="http://schemas.microsoft.com/office/spreadsheetml/2009/9/main" objectType="CheckBox" fmlaLink="NeoBerLab!S24" lockText="1"/>
</file>

<file path=xl/ctrlProps/ctrlProp1129.xml><?xml version="1.0" encoding="utf-8"?>
<formControlPr xmlns="http://schemas.microsoft.com/office/spreadsheetml/2009/9/main" objectType="CheckBox" fmlaLink="NeoBerLab!S25" lockText="1"/>
</file>

<file path=xl/ctrlProps/ctrlProp1130.xml><?xml version="1.0" encoding="utf-8"?>
<formControlPr xmlns="http://schemas.microsoft.com/office/spreadsheetml/2009/9/main" objectType="CheckBox" fmlaLink="NeoBerLab!S26" lockText="1"/>
</file>

<file path=xl/ctrlProps/ctrlProp1131.xml><?xml version="1.0" encoding="utf-8"?>
<formControlPr xmlns="http://schemas.microsoft.com/office/spreadsheetml/2009/9/main" objectType="CheckBox" fmlaLink="NeoBerLab!S29" lockText="1"/>
</file>

<file path=xl/ctrlProps/ctrlProp1132.xml><?xml version="1.0" encoding="utf-8"?>
<formControlPr xmlns="http://schemas.microsoft.com/office/spreadsheetml/2009/9/main" objectType="CheckBox" fmlaLink="NeoBerLab!S18" lockText="1"/>
</file>

<file path=xl/ctrlProps/ctrlProp1133.xml><?xml version="1.0" encoding="utf-8"?>
<formControlPr xmlns="http://schemas.microsoft.com/office/spreadsheetml/2009/9/main" objectType="CheckBox" fmlaLink="NeoBerLab!S10" lockText="1"/>
</file>

<file path=xl/ctrlProps/ctrlProp1134.xml><?xml version="1.0" encoding="utf-8"?>
<formControlPr xmlns="http://schemas.microsoft.com/office/spreadsheetml/2009/9/main" objectType="CheckBox" fmlaLink="NeoBerLab!S31" lockText="1"/>
</file>

<file path=xl/ctrlProps/ctrlProp1135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28575</xdr:rowOff>
        </xdr:from>
        <xdr:to>
          <xdr:col>16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23</xdr:row>
      <xdr:rowOff>9525</xdr:rowOff>
    </xdr:from>
    <xdr:to>
      <xdr:col>9</xdr:col>
      <xdr:colOff>1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247776" y="51339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24</xdr:row>
      <xdr:rowOff>9525</xdr:rowOff>
    </xdr:from>
    <xdr:to>
      <xdr:col>9</xdr:col>
      <xdr:colOff>1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247776" y="53816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25</xdr:row>
      <xdr:rowOff>9525</xdr:rowOff>
    </xdr:from>
    <xdr:to>
      <xdr:col>9</xdr:col>
      <xdr:colOff>1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247776" y="56292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26</xdr:row>
      <xdr:rowOff>9525</xdr:rowOff>
    </xdr:from>
    <xdr:to>
      <xdr:col>9</xdr:col>
      <xdr:colOff>1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247776" y="58769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27</xdr:row>
      <xdr:rowOff>9525</xdr:rowOff>
    </xdr:from>
    <xdr:to>
      <xdr:col>9</xdr:col>
      <xdr:colOff>1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247776" y="61245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552450</xdr:colOff>
      <xdr:row>8</xdr:row>
      <xdr:rowOff>0</xdr:rowOff>
    </xdr:from>
    <xdr:to>
      <xdr:col>8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22</xdr:row>
      <xdr:rowOff>9525</xdr:rowOff>
    </xdr:from>
    <xdr:to>
      <xdr:col>9</xdr:col>
      <xdr:colOff>1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247776" y="48863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21</xdr:row>
      <xdr:rowOff>9525</xdr:rowOff>
    </xdr:from>
    <xdr:to>
      <xdr:col>9</xdr:col>
      <xdr:colOff>1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247776" y="46386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20</xdr:row>
      <xdr:rowOff>9525</xdr:rowOff>
    </xdr:from>
    <xdr:to>
      <xdr:col>9</xdr:col>
      <xdr:colOff>1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247776" y="43910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19</xdr:row>
      <xdr:rowOff>9525</xdr:rowOff>
    </xdr:from>
    <xdr:to>
      <xdr:col>9</xdr:col>
      <xdr:colOff>1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247776" y="41433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18</xdr:row>
      <xdr:rowOff>9525</xdr:rowOff>
    </xdr:from>
    <xdr:to>
      <xdr:col>9</xdr:col>
      <xdr:colOff>1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247776" y="38957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17</xdr:row>
      <xdr:rowOff>9525</xdr:rowOff>
    </xdr:from>
    <xdr:to>
      <xdr:col>9</xdr:col>
      <xdr:colOff>1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247776" y="3648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16</xdr:row>
      <xdr:rowOff>9525</xdr:rowOff>
    </xdr:from>
    <xdr:to>
      <xdr:col>9</xdr:col>
      <xdr:colOff>1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247776" y="34004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15</xdr:row>
      <xdr:rowOff>9525</xdr:rowOff>
    </xdr:from>
    <xdr:to>
      <xdr:col>9</xdr:col>
      <xdr:colOff>1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247776" y="31527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14</xdr:row>
      <xdr:rowOff>9525</xdr:rowOff>
    </xdr:from>
    <xdr:to>
      <xdr:col>9</xdr:col>
      <xdr:colOff>1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247776" y="29051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13</xdr:row>
      <xdr:rowOff>9525</xdr:rowOff>
    </xdr:from>
    <xdr:to>
      <xdr:col>9</xdr:col>
      <xdr:colOff>1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247776" y="2657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12</xdr:row>
      <xdr:rowOff>9525</xdr:rowOff>
    </xdr:from>
    <xdr:to>
      <xdr:col>9</xdr:col>
      <xdr:colOff>1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247776" y="2409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11</xdr:row>
      <xdr:rowOff>9525</xdr:rowOff>
    </xdr:from>
    <xdr:to>
      <xdr:col>9</xdr:col>
      <xdr:colOff>1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247776" y="2162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10</xdr:row>
      <xdr:rowOff>9525</xdr:rowOff>
    </xdr:from>
    <xdr:to>
      <xdr:col>9</xdr:col>
      <xdr:colOff>1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247776" y="1914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9</xdr:row>
      <xdr:rowOff>9525</xdr:rowOff>
    </xdr:from>
    <xdr:to>
      <xdr:col>9</xdr:col>
      <xdr:colOff>1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247776" y="1666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8</xdr:row>
      <xdr:rowOff>9525</xdr:rowOff>
    </xdr:from>
    <xdr:to>
      <xdr:col>9</xdr:col>
      <xdr:colOff>1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247776" y="1419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19150</xdr:colOff>
      <xdr:row>1</xdr:row>
      <xdr:rowOff>62234</xdr:rowOff>
    </xdr:from>
    <xdr:to>
      <xdr:col>15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28</xdr:row>
      <xdr:rowOff>9525</xdr:rowOff>
    </xdr:from>
    <xdr:to>
      <xdr:col>9</xdr:col>
      <xdr:colOff>1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247776" y="6372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29</xdr:row>
      <xdr:rowOff>9525</xdr:rowOff>
    </xdr:from>
    <xdr:to>
      <xdr:col>9</xdr:col>
      <xdr:colOff>1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247776" y="6619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30</xdr:row>
      <xdr:rowOff>9525</xdr:rowOff>
    </xdr:from>
    <xdr:to>
      <xdr:col>9</xdr:col>
      <xdr:colOff>1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247776" y="6867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31</xdr:row>
      <xdr:rowOff>9525</xdr:rowOff>
    </xdr:from>
    <xdr:to>
      <xdr:col>9</xdr:col>
      <xdr:colOff>1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247776" y="7115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32</xdr:row>
      <xdr:rowOff>9525</xdr:rowOff>
    </xdr:from>
    <xdr:to>
      <xdr:col>9</xdr:col>
      <xdr:colOff>1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247776" y="7362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33</xdr:row>
      <xdr:rowOff>9525</xdr:rowOff>
    </xdr:from>
    <xdr:to>
      <xdr:col>9</xdr:col>
      <xdr:colOff>1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247776" y="7610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34</xdr:row>
      <xdr:rowOff>9524</xdr:rowOff>
    </xdr:from>
    <xdr:to>
      <xdr:col>9</xdr:col>
      <xdr:colOff>1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247776" y="78581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35</xdr:row>
      <xdr:rowOff>9524</xdr:rowOff>
    </xdr:from>
    <xdr:to>
      <xdr:col>9</xdr:col>
      <xdr:colOff>1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247776" y="810577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36</xdr:row>
      <xdr:rowOff>9524</xdr:rowOff>
    </xdr:from>
    <xdr:to>
      <xdr:col>9</xdr:col>
      <xdr:colOff>1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247776" y="83534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59741</xdr:colOff>
          <xdr:row>8</xdr:row>
          <xdr:rowOff>19053</xdr:rowOff>
        </xdr:from>
        <xdr:to>
          <xdr:col>16</xdr:col>
          <xdr:colOff>959741</xdr:colOff>
          <xdr:row>37</xdr:row>
          <xdr:rowOff>218928</xdr:rowOff>
        </xdr:to>
        <xdr:grpSp>
          <xdr:nvGrpSpPr>
            <xdr:cNvPr id="7" name="Group 6"/>
            <xdr:cNvGrpSpPr/>
          </xdr:nvGrpSpPr>
          <xdr:grpSpPr>
            <a:xfrm>
              <a:off x="11394491" y="1428753"/>
              <a:ext cx="900000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845819</xdr:colOff>
          <xdr:row>8</xdr:row>
          <xdr:rowOff>9575</xdr:rowOff>
        </xdr:from>
        <xdr:to>
          <xdr:col>10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7275194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9575</xdr:rowOff>
        </xdr:from>
        <xdr:to>
          <xdr:col>11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811530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325593</xdr:colOff>
          <xdr:row>8</xdr:row>
          <xdr:rowOff>9575</xdr:rowOff>
        </xdr:from>
        <xdr:to>
          <xdr:col>15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111936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483648</xdr:colOff>
          <xdr:row>8</xdr:row>
          <xdr:rowOff>9575</xdr:rowOff>
        </xdr:from>
        <xdr:to>
          <xdr:col>19</xdr:col>
          <xdr:colOff>11208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349479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</xdr:colOff>
      <xdr:row>37</xdr:row>
      <xdr:rowOff>9525</xdr:rowOff>
    </xdr:from>
    <xdr:to>
      <xdr:col>9</xdr:col>
      <xdr:colOff>1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247776" y="8601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46</xdr:col>
      <xdr:colOff>358857</xdr:colOff>
      <xdr:row>3</xdr:row>
      <xdr:rowOff>109565</xdr:rowOff>
    </xdr:from>
    <xdr:to>
      <xdr:col>50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27</xdr:row>
      <xdr:rowOff>32474</xdr:rowOff>
    </xdr:from>
    <xdr:to>
      <xdr:col>19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28</xdr:row>
      <xdr:rowOff>33960</xdr:rowOff>
    </xdr:from>
    <xdr:to>
      <xdr:col>19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29</xdr:row>
      <xdr:rowOff>35446</xdr:rowOff>
    </xdr:from>
    <xdr:to>
      <xdr:col>19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30</xdr:row>
      <xdr:rowOff>36932</xdr:rowOff>
    </xdr:from>
    <xdr:to>
      <xdr:col>19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31</xdr:row>
      <xdr:rowOff>38418</xdr:rowOff>
    </xdr:from>
    <xdr:to>
      <xdr:col>19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32</xdr:row>
      <xdr:rowOff>39904</xdr:rowOff>
    </xdr:from>
    <xdr:to>
      <xdr:col>19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33</xdr:row>
      <xdr:rowOff>41390</xdr:rowOff>
    </xdr:from>
    <xdr:to>
      <xdr:col>19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34</xdr:row>
      <xdr:rowOff>42875</xdr:rowOff>
    </xdr:from>
    <xdr:to>
      <xdr:col>19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35</xdr:row>
      <xdr:rowOff>44361</xdr:rowOff>
    </xdr:from>
    <xdr:to>
      <xdr:col>19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36</xdr:row>
      <xdr:rowOff>45847</xdr:rowOff>
    </xdr:from>
    <xdr:to>
      <xdr:col>19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37</xdr:row>
      <xdr:rowOff>47327</xdr:rowOff>
    </xdr:from>
    <xdr:to>
      <xdr:col>19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19</xdr:row>
      <xdr:rowOff>20586</xdr:rowOff>
    </xdr:from>
    <xdr:to>
      <xdr:col>19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20</xdr:row>
      <xdr:rowOff>22072</xdr:rowOff>
    </xdr:from>
    <xdr:to>
      <xdr:col>19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21</xdr:row>
      <xdr:rowOff>23558</xdr:rowOff>
    </xdr:from>
    <xdr:to>
      <xdr:col>19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22</xdr:row>
      <xdr:rowOff>25044</xdr:rowOff>
    </xdr:from>
    <xdr:to>
      <xdr:col>19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23</xdr:row>
      <xdr:rowOff>26530</xdr:rowOff>
    </xdr:from>
    <xdr:to>
      <xdr:col>19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24</xdr:row>
      <xdr:rowOff>28016</xdr:rowOff>
    </xdr:from>
    <xdr:to>
      <xdr:col>19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25</xdr:row>
      <xdr:rowOff>29502</xdr:rowOff>
    </xdr:from>
    <xdr:to>
      <xdr:col>19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26</xdr:row>
      <xdr:rowOff>30988</xdr:rowOff>
    </xdr:from>
    <xdr:to>
      <xdr:col>19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8</xdr:row>
      <xdr:rowOff>28178</xdr:rowOff>
    </xdr:from>
    <xdr:to>
      <xdr:col>19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9</xdr:row>
      <xdr:rowOff>28521</xdr:rowOff>
    </xdr:from>
    <xdr:to>
      <xdr:col>19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10</xdr:row>
      <xdr:rowOff>28865</xdr:rowOff>
    </xdr:from>
    <xdr:to>
      <xdr:col>19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11</xdr:row>
      <xdr:rowOff>29209</xdr:rowOff>
    </xdr:from>
    <xdr:to>
      <xdr:col>19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12</xdr:row>
      <xdr:rowOff>29552</xdr:rowOff>
    </xdr:from>
    <xdr:to>
      <xdr:col>19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13</xdr:row>
      <xdr:rowOff>29896</xdr:rowOff>
    </xdr:from>
    <xdr:to>
      <xdr:col>19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14</xdr:row>
      <xdr:rowOff>30240</xdr:rowOff>
    </xdr:from>
    <xdr:to>
      <xdr:col>19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15</xdr:row>
      <xdr:rowOff>30583</xdr:rowOff>
    </xdr:from>
    <xdr:to>
      <xdr:col>19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16</xdr:row>
      <xdr:rowOff>30927</xdr:rowOff>
    </xdr:from>
    <xdr:to>
      <xdr:col>19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17</xdr:row>
      <xdr:rowOff>31271</xdr:rowOff>
    </xdr:from>
    <xdr:to>
      <xdr:col>19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18</xdr:row>
      <xdr:rowOff>19100</xdr:rowOff>
    </xdr:from>
    <xdr:to>
      <xdr:col>19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8</xdr:row>
      <xdr:rowOff>4240</xdr:rowOff>
    </xdr:from>
    <xdr:to>
      <xdr:col>19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9</xdr:row>
      <xdr:rowOff>5726</xdr:rowOff>
    </xdr:from>
    <xdr:to>
      <xdr:col>19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10</xdr:row>
      <xdr:rowOff>7212</xdr:rowOff>
    </xdr:from>
    <xdr:to>
      <xdr:col>19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11</xdr:row>
      <xdr:rowOff>8698</xdr:rowOff>
    </xdr:from>
    <xdr:to>
      <xdr:col>19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12</xdr:row>
      <xdr:rowOff>10184</xdr:rowOff>
    </xdr:from>
    <xdr:to>
      <xdr:col>19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13</xdr:row>
      <xdr:rowOff>11670</xdr:rowOff>
    </xdr:from>
    <xdr:to>
      <xdr:col>19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14</xdr:row>
      <xdr:rowOff>13156</xdr:rowOff>
    </xdr:from>
    <xdr:to>
      <xdr:col>19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15</xdr:row>
      <xdr:rowOff>14642</xdr:rowOff>
    </xdr:from>
    <xdr:to>
      <xdr:col>19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16</xdr:row>
      <xdr:rowOff>16128</xdr:rowOff>
    </xdr:from>
    <xdr:to>
      <xdr:col>19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17</xdr:row>
      <xdr:rowOff>17614</xdr:rowOff>
    </xdr:from>
    <xdr:to>
      <xdr:col>19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747786</xdr:colOff>
      <xdr:row>1</xdr:row>
      <xdr:rowOff>19491</xdr:rowOff>
    </xdr:from>
    <xdr:to>
      <xdr:col>19</xdr:col>
      <xdr:colOff>20276</xdr:colOff>
      <xdr:row>1</xdr:row>
      <xdr:rowOff>202371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12082536" y="238566"/>
          <a:ext cx="15584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2</xdr:row>
      <xdr:rowOff>49700</xdr:rowOff>
    </xdr:from>
    <xdr:to>
      <xdr:col>18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1476375</xdr:colOff>
      <xdr:row>6</xdr:row>
      <xdr:rowOff>57150</xdr:rowOff>
    </xdr:from>
    <xdr:to>
      <xdr:col>6</xdr:col>
      <xdr:colOff>567890</xdr:colOff>
      <xdr:row>6</xdr:row>
      <xdr:rowOff>240030</xdr:rowOff>
    </xdr:to>
    <xdr:sp macro="[0]!MedDisc_ShowPickList" textlink="">
      <xdr:nvSpPr>
        <xdr:cNvPr id="435" name="Rectangle 78"/>
        <xdr:cNvSpPr>
          <a:spLocks noChangeArrowheads="1"/>
        </xdr:cNvSpPr>
      </xdr:nvSpPr>
      <xdr:spPr bwMode="auto">
        <a:xfrm>
          <a:off x="2724150" y="11239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7</xdr:row>
      <xdr:rowOff>95249</xdr:rowOff>
    </xdr:from>
    <xdr:to>
      <xdr:col>10</xdr:col>
      <xdr:colOff>9525</xdr:colOff>
      <xdr:row>8</xdr:row>
      <xdr:rowOff>238124</xdr:rowOff>
    </xdr:to>
    <xdr:sp macro="[0]!PedContIV_SetRate_01" textlink="">
      <xdr:nvSpPr>
        <xdr:cNvPr id="171" name="Rectangle 115"/>
        <xdr:cNvSpPr>
          <a:spLocks noChangeArrowheads="1"/>
        </xdr:cNvSpPr>
      </xdr:nvSpPr>
      <xdr:spPr bwMode="auto">
        <a:xfrm flipV="1">
          <a:off x="7162800" y="140969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9525</xdr:colOff>
      <xdr:row>9</xdr:row>
      <xdr:rowOff>238125</xdr:rowOff>
    </xdr:to>
    <xdr:sp macro="[0]!PedContIV_SetRate_02" textlink="">
      <xdr:nvSpPr>
        <xdr:cNvPr id="172" name="Rectangle 115"/>
        <xdr:cNvSpPr>
          <a:spLocks noChangeArrowheads="1"/>
        </xdr:cNvSpPr>
      </xdr:nvSpPr>
      <xdr:spPr bwMode="auto">
        <a:xfrm flipV="1">
          <a:off x="7162800" y="16573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9525</xdr:colOff>
      <xdr:row>10</xdr:row>
      <xdr:rowOff>238125</xdr:rowOff>
    </xdr:to>
    <xdr:sp macro="[0]!PedContIV_SetRate_03" textlink="">
      <xdr:nvSpPr>
        <xdr:cNvPr id="174" name="Rectangle 115"/>
        <xdr:cNvSpPr>
          <a:spLocks noChangeArrowheads="1"/>
        </xdr:cNvSpPr>
      </xdr:nvSpPr>
      <xdr:spPr bwMode="auto">
        <a:xfrm flipV="1">
          <a:off x="7162800" y="19050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238125</xdr:rowOff>
    </xdr:to>
    <xdr:sp macro="[0]!PedContIV_SetRate_04" textlink="">
      <xdr:nvSpPr>
        <xdr:cNvPr id="175" name="Rectangle 115"/>
        <xdr:cNvSpPr>
          <a:spLocks noChangeArrowheads="1"/>
        </xdr:cNvSpPr>
      </xdr:nvSpPr>
      <xdr:spPr bwMode="auto">
        <a:xfrm flipV="1">
          <a:off x="7162800" y="21526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9525</xdr:colOff>
      <xdr:row>12</xdr:row>
      <xdr:rowOff>238125</xdr:rowOff>
    </xdr:to>
    <xdr:sp macro="[0]!PedContIV_SetRate_05" textlink="">
      <xdr:nvSpPr>
        <xdr:cNvPr id="176" name="Rectangle 115"/>
        <xdr:cNvSpPr>
          <a:spLocks noChangeArrowheads="1"/>
        </xdr:cNvSpPr>
      </xdr:nvSpPr>
      <xdr:spPr bwMode="auto">
        <a:xfrm flipV="1">
          <a:off x="7162800" y="24003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9525</xdr:colOff>
      <xdr:row>13</xdr:row>
      <xdr:rowOff>238125</xdr:rowOff>
    </xdr:to>
    <xdr:sp macro="[0]!PedContIV_SetRate_06" textlink="">
      <xdr:nvSpPr>
        <xdr:cNvPr id="177" name="Rectangle 115"/>
        <xdr:cNvSpPr>
          <a:spLocks noChangeArrowheads="1"/>
        </xdr:cNvSpPr>
      </xdr:nvSpPr>
      <xdr:spPr bwMode="auto">
        <a:xfrm flipV="1">
          <a:off x="7162800" y="26479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9525</xdr:colOff>
      <xdr:row>14</xdr:row>
      <xdr:rowOff>238125</xdr:rowOff>
    </xdr:to>
    <xdr:sp macro="[0]!PedContIV_SetRate_07" textlink="">
      <xdr:nvSpPr>
        <xdr:cNvPr id="178" name="Rectangle 115"/>
        <xdr:cNvSpPr>
          <a:spLocks noChangeArrowheads="1"/>
        </xdr:cNvSpPr>
      </xdr:nvSpPr>
      <xdr:spPr bwMode="auto">
        <a:xfrm flipV="1">
          <a:off x="7162800" y="28956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9525</xdr:colOff>
      <xdr:row>15</xdr:row>
      <xdr:rowOff>238125</xdr:rowOff>
    </xdr:to>
    <xdr:sp macro="[0]!PedContIV_SetRate_08" textlink="">
      <xdr:nvSpPr>
        <xdr:cNvPr id="179" name="Rectangle 115"/>
        <xdr:cNvSpPr>
          <a:spLocks noChangeArrowheads="1"/>
        </xdr:cNvSpPr>
      </xdr:nvSpPr>
      <xdr:spPr bwMode="auto">
        <a:xfrm flipV="1">
          <a:off x="7162800" y="31432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9525</xdr:colOff>
      <xdr:row>16</xdr:row>
      <xdr:rowOff>238125</xdr:rowOff>
    </xdr:to>
    <xdr:sp macro="[0]!PedContIV_SetRate_09" textlink="">
      <xdr:nvSpPr>
        <xdr:cNvPr id="180" name="Rectangle 115"/>
        <xdr:cNvSpPr>
          <a:spLocks noChangeArrowheads="1"/>
        </xdr:cNvSpPr>
      </xdr:nvSpPr>
      <xdr:spPr bwMode="auto">
        <a:xfrm flipV="1">
          <a:off x="7162800" y="33909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9525</xdr:colOff>
      <xdr:row>17</xdr:row>
      <xdr:rowOff>238125</xdr:rowOff>
    </xdr:to>
    <xdr:sp macro="[0]!PedContIV_SetRate_10" textlink="">
      <xdr:nvSpPr>
        <xdr:cNvPr id="181" name="Rectangle 115"/>
        <xdr:cNvSpPr>
          <a:spLocks noChangeArrowheads="1"/>
        </xdr:cNvSpPr>
      </xdr:nvSpPr>
      <xdr:spPr bwMode="auto">
        <a:xfrm flipV="1">
          <a:off x="7162800" y="36385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9525</xdr:colOff>
      <xdr:row>18</xdr:row>
      <xdr:rowOff>238125</xdr:rowOff>
    </xdr:to>
    <xdr:sp macro="[0]!PedContIV_SetRate_11" textlink="">
      <xdr:nvSpPr>
        <xdr:cNvPr id="182" name="Rectangle 115"/>
        <xdr:cNvSpPr>
          <a:spLocks noChangeArrowheads="1"/>
        </xdr:cNvSpPr>
      </xdr:nvSpPr>
      <xdr:spPr bwMode="auto">
        <a:xfrm flipV="1">
          <a:off x="7162800" y="38862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9525</xdr:colOff>
      <xdr:row>19</xdr:row>
      <xdr:rowOff>238125</xdr:rowOff>
    </xdr:to>
    <xdr:sp macro="[0]!PedContIV_SetRate_12" textlink="">
      <xdr:nvSpPr>
        <xdr:cNvPr id="183" name="Rectangle 115"/>
        <xdr:cNvSpPr>
          <a:spLocks noChangeArrowheads="1"/>
        </xdr:cNvSpPr>
      </xdr:nvSpPr>
      <xdr:spPr bwMode="auto">
        <a:xfrm flipV="1">
          <a:off x="7162800" y="41338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9525</xdr:colOff>
      <xdr:row>20</xdr:row>
      <xdr:rowOff>238125</xdr:rowOff>
    </xdr:to>
    <xdr:sp macro="[0]!PedContIV_SetRate_13" textlink="">
      <xdr:nvSpPr>
        <xdr:cNvPr id="184" name="Rectangle 115"/>
        <xdr:cNvSpPr>
          <a:spLocks noChangeArrowheads="1"/>
        </xdr:cNvSpPr>
      </xdr:nvSpPr>
      <xdr:spPr bwMode="auto">
        <a:xfrm flipV="1">
          <a:off x="7162800" y="43815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9525</xdr:colOff>
      <xdr:row>21</xdr:row>
      <xdr:rowOff>238125</xdr:rowOff>
    </xdr:to>
    <xdr:sp macro="[0]!PedContIV_SetRate_14" textlink="">
      <xdr:nvSpPr>
        <xdr:cNvPr id="185" name="Rectangle 115"/>
        <xdr:cNvSpPr>
          <a:spLocks noChangeArrowheads="1"/>
        </xdr:cNvSpPr>
      </xdr:nvSpPr>
      <xdr:spPr bwMode="auto">
        <a:xfrm flipV="1">
          <a:off x="7162800" y="46291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9525</xdr:colOff>
      <xdr:row>22</xdr:row>
      <xdr:rowOff>238125</xdr:rowOff>
    </xdr:to>
    <xdr:sp macro="[0]!PedContIV_SetRate_15" textlink="">
      <xdr:nvSpPr>
        <xdr:cNvPr id="186" name="Rectangle 115"/>
        <xdr:cNvSpPr>
          <a:spLocks noChangeArrowheads="1"/>
        </xdr:cNvSpPr>
      </xdr:nvSpPr>
      <xdr:spPr bwMode="auto">
        <a:xfrm flipV="1">
          <a:off x="7162800" y="48768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9525</xdr:rowOff>
        </xdr:from>
        <xdr:to>
          <xdr:col>6</xdr:col>
          <xdr:colOff>142875</xdr:colOff>
          <xdr:row>22</xdr:row>
          <xdr:rowOff>0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3600500" y="4591151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1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MgCl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19050</xdr:rowOff>
        </xdr:from>
        <xdr:to>
          <xdr:col>4</xdr:col>
          <xdr:colOff>1343025</xdr:colOff>
          <xdr:row>35</xdr:row>
          <xdr:rowOff>9525</xdr:rowOff>
        </xdr:to>
        <xdr:sp macro="" textlink="">
          <xdr:nvSpPr>
            <xdr:cNvPr id="5" name="Drop Down 77" hidden="1">
              <a:extLst>
                <a:ext uri="{63B3BB69-23CF-44E3-9099-C40C66FF867C}">
                  <a14:compatExt spid="_x0000_s8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16</xdr:row>
          <xdr:rowOff>9525</xdr:rowOff>
        </xdr:from>
        <xdr:to>
          <xdr:col>7</xdr:col>
          <xdr:colOff>933450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16</xdr:row>
          <xdr:rowOff>9525</xdr:rowOff>
        </xdr:from>
        <xdr:to>
          <xdr:col>9</xdr:col>
          <xdr:colOff>923925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800100</xdr:colOff>
          <xdr:row>14</xdr:row>
          <xdr:rowOff>9525</xdr:rowOff>
        </xdr:from>
        <xdr:to>
          <xdr:col>5</xdr:col>
          <xdr:colOff>923925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942975</xdr:colOff>
          <xdr:row>51</xdr:row>
          <xdr:rowOff>0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51</xdr:row>
          <xdr:rowOff>0</xdr:rowOff>
        </xdr:from>
        <xdr:to>
          <xdr:col>10</xdr:col>
          <xdr:colOff>942975</xdr:colOff>
          <xdr:row>52</xdr:row>
          <xdr:rowOff>0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52</xdr:row>
          <xdr:rowOff>0</xdr:rowOff>
        </xdr:from>
        <xdr:to>
          <xdr:col>10</xdr:col>
          <xdr:colOff>942975</xdr:colOff>
          <xdr:row>53</xdr:row>
          <xdr:rowOff>0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53</xdr:row>
          <xdr:rowOff>0</xdr:rowOff>
        </xdr:from>
        <xdr:to>
          <xdr:col>10</xdr:col>
          <xdr:colOff>942975</xdr:colOff>
          <xdr:row>54</xdr:row>
          <xdr:rowOff>0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54</xdr:row>
          <xdr:rowOff>0</xdr:rowOff>
        </xdr:from>
        <xdr:to>
          <xdr:col>10</xdr:col>
          <xdr:colOff>942975</xdr:colOff>
          <xdr:row>55</xdr:row>
          <xdr:rowOff>0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55</xdr:row>
          <xdr:rowOff>0</xdr:rowOff>
        </xdr:from>
        <xdr:to>
          <xdr:col>10</xdr:col>
          <xdr:colOff>942975</xdr:colOff>
          <xdr:row>55</xdr:row>
          <xdr:rowOff>238125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82942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1104900" y="3914784"/>
              <a:ext cx="1362075" cy="695325"/>
              <a:chOff x="266700" y="4287328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7328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7</xdr:col>
      <xdr:colOff>209550</xdr:colOff>
      <xdr:row>28</xdr:row>
      <xdr:rowOff>47625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819525" y="59340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7</xdr:col>
      <xdr:colOff>209550</xdr:colOff>
      <xdr:row>29</xdr:row>
      <xdr:rowOff>47625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819525" y="61817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7</xdr:col>
      <xdr:colOff>209550</xdr:colOff>
      <xdr:row>30</xdr:row>
      <xdr:rowOff>47625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819525" y="64293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7</xdr:col>
      <xdr:colOff>209550</xdr:colOff>
      <xdr:row>31</xdr:row>
      <xdr:rowOff>47625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819525" y="66770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7</xdr:col>
      <xdr:colOff>209550</xdr:colOff>
      <xdr:row>32</xdr:row>
      <xdr:rowOff>47625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819525" y="69246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7</xdr:col>
      <xdr:colOff>209550</xdr:colOff>
      <xdr:row>33</xdr:row>
      <xdr:rowOff>47625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819525" y="71723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7</xdr:col>
      <xdr:colOff>209550</xdr:colOff>
      <xdr:row>34</xdr:row>
      <xdr:rowOff>47625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819525" y="74199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7</xdr:col>
      <xdr:colOff>209550</xdr:colOff>
      <xdr:row>35</xdr:row>
      <xdr:rowOff>47625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819525" y="76676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17</xdr:row>
          <xdr:rowOff>9525</xdr:rowOff>
        </xdr:from>
        <xdr:to>
          <xdr:col>7</xdr:col>
          <xdr:colOff>933450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17</xdr:row>
          <xdr:rowOff>9525</xdr:rowOff>
        </xdr:from>
        <xdr:to>
          <xdr:col>9</xdr:col>
          <xdr:colOff>923925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7</xdr:col>
      <xdr:colOff>209550</xdr:colOff>
      <xdr:row>36</xdr:row>
      <xdr:rowOff>47625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819525" y="79152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NeoLab_EnterText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7</xdr:col>
      <xdr:colOff>209550</xdr:colOff>
      <xdr:row>37</xdr:row>
      <xdr:rowOff>47625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819525" y="81629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21</xdr:row>
          <xdr:rowOff>0</xdr:rowOff>
        </xdr:from>
        <xdr:to>
          <xdr:col>17</xdr:col>
          <xdr:colOff>914400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18</xdr:row>
          <xdr:rowOff>9525</xdr:rowOff>
        </xdr:from>
        <xdr:to>
          <xdr:col>17</xdr:col>
          <xdr:colOff>914400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19</xdr:row>
          <xdr:rowOff>9525</xdr:rowOff>
        </xdr:from>
        <xdr:to>
          <xdr:col>17</xdr:col>
          <xdr:colOff>914400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20</xdr:row>
          <xdr:rowOff>9525</xdr:rowOff>
        </xdr:from>
        <xdr:to>
          <xdr:col>17</xdr:col>
          <xdr:colOff>914400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25</xdr:row>
      <xdr:rowOff>0</xdr:rowOff>
    </xdr:from>
    <xdr:to>
      <xdr:col>1</xdr:col>
      <xdr:colOff>0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260748" y="55816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27</xdr:row>
      <xdr:rowOff>0</xdr:rowOff>
    </xdr:from>
    <xdr:to>
      <xdr:col>1</xdr:col>
      <xdr:colOff>0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260748" y="59245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28</xdr:row>
      <xdr:rowOff>0</xdr:rowOff>
    </xdr:from>
    <xdr:to>
      <xdr:col>1</xdr:col>
      <xdr:colOff>0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260748" y="6172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29</xdr:row>
      <xdr:rowOff>0</xdr:rowOff>
    </xdr:from>
    <xdr:to>
      <xdr:col>1</xdr:col>
      <xdr:colOff>0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260748" y="64198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30</xdr:row>
      <xdr:rowOff>0</xdr:rowOff>
    </xdr:from>
    <xdr:to>
      <xdr:col>1</xdr:col>
      <xdr:colOff>0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260748" y="66675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31</xdr:row>
      <xdr:rowOff>0</xdr:rowOff>
    </xdr:from>
    <xdr:to>
      <xdr:col>1</xdr:col>
      <xdr:colOff>0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260748" y="69151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32</xdr:row>
      <xdr:rowOff>0</xdr:rowOff>
    </xdr:from>
    <xdr:to>
      <xdr:col>1</xdr:col>
      <xdr:colOff>0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260748" y="71628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33</xdr:row>
      <xdr:rowOff>0</xdr:rowOff>
    </xdr:from>
    <xdr:to>
      <xdr:col>1</xdr:col>
      <xdr:colOff>0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260748" y="74104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34</xdr:row>
      <xdr:rowOff>0</xdr:rowOff>
    </xdr:from>
    <xdr:to>
      <xdr:col>1</xdr:col>
      <xdr:colOff>0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260748" y="76581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35</xdr:row>
      <xdr:rowOff>0</xdr:rowOff>
    </xdr:from>
    <xdr:to>
      <xdr:col>1</xdr:col>
      <xdr:colOff>0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260748" y="79057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36</xdr:row>
      <xdr:rowOff>0</xdr:rowOff>
    </xdr:from>
    <xdr:to>
      <xdr:col>1</xdr:col>
      <xdr:colOff>0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260748" y="81534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38</xdr:row>
      <xdr:rowOff>0</xdr:rowOff>
    </xdr:from>
    <xdr:to>
      <xdr:col>1</xdr:col>
      <xdr:colOff>0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260748" y="8524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39</xdr:row>
      <xdr:rowOff>0</xdr:rowOff>
    </xdr:from>
    <xdr:to>
      <xdr:col>1</xdr:col>
      <xdr:colOff>0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260748" y="8772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40</xdr:row>
      <xdr:rowOff>0</xdr:rowOff>
    </xdr:from>
    <xdr:to>
      <xdr:col>1</xdr:col>
      <xdr:colOff>0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260748" y="9020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41</xdr:row>
      <xdr:rowOff>0</xdr:rowOff>
    </xdr:from>
    <xdr:to>
      <xdr:col>1</xdr:col>
      <xdr:colOff>0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260748" y="9267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42</xdr:row>
      <xdr:rowOff>0</xdr:rowOff>
    </xdr:from>
    <xdr:to>
      <xdr:col>1</xdr:col>
      <xdr:colOff>0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260748" y="9515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16</xdr:row>
      <xdr:rowOff>0</xdr:rowOff>
    </xdr:from>
    <xdr:to>
      <xdr:col>1</xdr:col>
      <xdr:colOff>0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260748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14</xdr:row>
      <xdr:rowOff>0</xdr:rowOff>
    </xdr:from>
    <xdr:to>
      <xdr:col>1</xdr:col>
      <xdr:colOff>0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260748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46</xdr:row>
      <xdr:rowOff>0</xdr:rowOff>
    </xdr:from>
    <xdr:to>
      <xdr:col>1</xdr:col>
      <xdr:colOff>0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260748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260748</xdr:colOff>
      <xdr:row>48</xdr:row>
      <xdr:rowOff>0</xdr:rowOff>
    </xdr:from>
    <xdr:to>
      <xdr:col>1</xdr:col>
      <xdr:colOff>0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260748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13</xdr:row>
      <xdr:rowOff>247649</xdr:rowOff>
    </xdr:from>
    <xdr:to>
      <xdr:col>5</xdr:col>
      <xdr:colOff>676274</xdr:colOff>
      <xdr:row>14</xdr:row>
      <xdr:rowOff>238125</xdr:rowOff>
    </xdr:to>
    <xdr:sp macro="[0]!NeoInfB_IntakePerKg" textlink="">
      <xdr:nvSpPr>
        <xdr:cNvPr id="199" name="Rectangle 142"/>
        <xdr:cNvSpPr>
          <a:spLocks noChangeArrowheads="1"/>
        </xdr:cNvSpPr>
      </xdr:nvSpPr>
      <xdr:spPr bwMode="auto">
        <a:xfrm>
          <a:off x="819150" y="3162299"/>
          <a:ext cx="2686049" cy="2381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952499</xdr:colOff>
      <xdr:row>14</xdr:row>
      <xdr:rowOff>0</xdr:rowOff>
    </xdr:from>
    <xdr:to>
      <xdr:col>13</xdr:col>
      <xdr:colOff>66674</xdr:colOff>
      <xdr:row>14</xdr:row>
      <xdr:rowOff>238125</xdr:rowOff>
    </xdr:to>
    <xdr:sp macro="[0]!NeoInfB_IntakeAdvies" textlink="">
      <xdr:nvSpPr>
        <xdr:cNvPr id="200" name="Rectangle 143"/>
        <xdr:cNvSpPr>
          <a:spLocks noChangeArrowheads="1"/>
        </xdr:cNvSpPr>
      </xdr:nvSpPr>
      <xdr:spPr bwMode="auto">
        <a:xfrm>
          <a:off x="8439149" y="3162300"/>
          <a:ext cx="1971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55</xdr:row>
          <xdr:rowOff>9525</xdr:rowOff>
        </xdr:from>
        <xdr:to>
          <xdr:col>7</xdr:col>
          <xdr:colOff>19050</xdr:colOff>
          <xdr:row>56</xdr:row>
          <xdr:rowOff>9525</xdr:rowOff>
        </xdr:to>
        <xdr:sp macro="" textlink="">
          <xdr:nvSpPr>
            <xdr:cNvPr id="22702" name="Spinner 174" hidden="1">
              <a:extLst>
                <a:ext uri="{63B3BB69-23CF-44E3-9099-C40C66FF867C}">
                  <a14:compatExt spid="_x0000_s22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54</xdr:row>
          <xdr:rowOff>228600</xdr:rowOff>
        </xdr:from>
        <xdr:to>
          <xdr:col>9</xdr:col>
          <xdr:colOff>95250</xdr:colOff>
          <xdr:row>55</xdr:row>
          <xdr:rowOff>228600</xdr:rowOff>
        </xdr:to>
        <xdr:sp macro="" textlink="">
          <xdr:nvSpPr>
            <xdr:cNvPr id="22703" name="Spinner 175" hidden="1">
              <a:extLst>
                <a:ext uri="{63B3BB69-23CF-44E3-9099-C40C66FF867C}">
                  <a14:compatExt spid="_x0000_s22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266700</xdr:colOff>
      <xdr:row>27</xdr:row>
      <xdr:rowOff>19050</xdr:rowOff>
    </xdr:from>
    <xdr:to>
      <xdr:col>12</xdr:col>
      <xdr:colOff>95250</xdr:colOff>
      <xdr:row>27</xdr:row>
      <xdr:rowOff>228600</xdr:rowOff>
    </xdr:to>
    <xdr:sp macro="[0]!NeoInfB_SetDose_01" textlink="">
      <xdr:nvSpPr>
        <xdr:cNvPr id="201" name="Rectangle 142"/>
        <xdr:cNvSpPr>
          <a:spLocks noChangeArrowheads="1"/>
        </xdr:cNvSpPr>
      </xdr:nvSpPr>
      <xdr:spPr bwMode="auto">
        <a:xfrm>
          <a:off x="8705850" y="59436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28</xdr:row>
      <xdr:rowOff>0</xdr:rowOff>
    </xdr:from>
    <xdr:to>
      <xdr:col>12</xdr:col>
      <xdr:colOff>95250</xdr:colOff>
      <xdr:row>28</xdr:row>
      <xdr:rowOff>209550</xdr:rowOff>
    </xdr:to>
    <xdr:sp macro="[0]!NeoInfB_SetDose_02" textlink="">
      <xdr:nvSpPr>
        <xdr:cNvPr id="202" name="Rectangle 142"/>
        <xdr:cNvSpPr>
          <a:spLocks noChangeArrowheads="1"/>
        </xdr:cNvSpPr>
      </xdr:nvSpPr>
      <xdr:spPr bwMode="auto">
        <a:xfrm>
          <a:off x="8705850" y="61722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29</xdr:row>
      <xdr:rowOff>0</xdr:rowOff>
    </xdr:from>
    <xdr:to>
      <xdr:col>12</xdr:col>
      <xdr:colOff>95250</xdr:colOff>
      <xdr:row>29</xdr:row>
      <xdr:rowOff>209550</xdr:rowOff>
    </xdr:to>
    <xdr:sp macro="[0]!NeoInfB_SetDose_03" textlink="">
      <xdr:nvSpPr>
        <xdr:cNvPr id="203" name="Rectangle 142"/>
        <xdr:cNvSpPr>
          <a:spLocks noChangeArrowheads="1"/>
        </xdr:cNvSpPr>
      </xdr:nvSpPr>
      <xdr:spPr bwMode="auto">
        <a:xfrm>
          <a:off x="8705850" y="64198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30</xdr:row>
      <xdr:rowOff>0</xdr:rowOff>
    </xdr:from>
    <xdr:to>
      <xdr:col>12</xdr:col>
      <xdr:colOff>95250</xdr:colOff>
      <xdr:row>30</xdr:row>
      <xdr:rowOff>209550</xdr:rowOff>
    </xdr:to>
    <xdr:sp macro="[0]!NeoInfB_SetDose_04" textlink="">
      <xdr:nvSpPr>
        <xdr:cNvPr id="204" name="Rectangle 142"/>
        <xdr:cNvSpPr>
          <a:spLocks noChangeArrowheads="1"/>
        </xdr:cNvSpPr>
      </xdr:nvSpPr>
      <xdr:spPr bwMode="auto">
        <a:xfrm>
          <a:off x="8705850" y="66675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31</xdr:row>
      <xdr:rowOff>0</xdr:rowOff>
    </xdr:from>
    <xdr:to>
      <xdr:col>12</xdr:col>
      <xdr:colOff>95250</xdr:colOff>
      <xdr:row>31</xdr:row>
      <xdr:rowOff>209550</xdr:rowOff>
    </xdr:to>
    <xdr:sp macro="[0]!NeoInfB_SetDose_05" textlink="">
      <xdr:nvSpPr>
        <xdr:cNvPr id="205" name="Rectangle 142"/>
        <xdr:cNvSpPr>
          <a:spLocks noChangeArrowheads="1"/>
        </xdr:cNvSpPr>
      </xdr:nvSpPr>
      <xdr:spPr bwMode="auto">
        <a:xfrm>
          <a:off x="8705850" y="69151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32</xdr:row>
      <xdr:rowOff>0</xdr:rowOff>
    </xdr:from>
    <xdr:to>
      <xdr:col>12</xdr:col>
      <xdr:colOff>95250</xdr:colOff>
      <xdr:row>32</xdr:row>
      <xdr:rowOff>209550</xdr:rowOff>
    </xdr:to>
    <xdr:sp macro="[0]!NeoInfB_SetDose_06" textlink="">
      <xdr:nvSpPr>
        <xdr:cNvPr id="206" name="Rectangle 142"/>
        <xdr:cNvSpPr>
          <a:spLocks noChangeArrowheads="1"/>
        </xdr:cNvSpPr>
      </xdr:nvSpPr>
      <xdr:spPr bwMode="auto">
        <a:xfrm>
          <a:off x="8705850" y="71628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33</xdr:row>
      <xdr:rowOff>0</xdr:rowOff>
    </xdr:from>
    <xdr:to>
      <xdr:col>12</xdr:col>
      <xdr:colOff>95250</xdr:colOff>
      <xdr:row>33</xdr:row>
      <xdr:rowOff>209550</xdr:rowOff>
    </xdr:to>
    <xdr:sp macro="[0]!NeoInfB_SetDose_07" textlink="">
      <xdr:nvSpPr>
        <xdr:cNvPr id="207" name="Rectangle 142"/>
        <xdr:cNvSpPr>
          <a:spLocks noChangeArrowheads="1"/>
        </xdr:cNvSpPr>
      </xdr:nvSpPr>
      <xdr:spPr bwMode="auto">
        <a:xfrm>
          <a:off x="8705850" y="74104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34</xdr:row>
      <xdr:rowOff>0</xdr:rowOff>
    </xdr:from>
    <xdr:to>
      <xdr:col>12</xdr:col>
      <xdr:colOff>95250</xdr:colOff>
      <xdr:row>34</xdr:row>
      <xdr:rowOff>209550</xdr:rowOff>
    </xdr:to>
    <xdr:sp macro="[0]!NeoInfB_SetDose_08" textlink="">
      <xdr:nvSpPr>
        <xdr:cNvPr id="208" name="Rectangle 142"/>
        <xdr:cNvSpPr>
          <a:spLocks noChangeArrowheads="1"/>
        </xdr:cNvSpPr>
      </xdr:nvSpPr>
      <xdr:spPr bwMode="auto">
        <a:xfrm>
          <a:off x="8705850" y="76581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35</xdr:row>
      <xdr:rowOff>0</xdr:rowOff>
    </xdr:from>
    <xdr:to>
      <xdr:col>12</xdr:col>
      <xdr:colOff>95250</xdr:colOff>
      <xdr:row>35</xdr:row>
      <xdr:rowOff>209550</xdr:rowOff>
    </xdr:to>
    <xdr:sp macro="[0]!NeoInfB_SetDose_09" textlink="">
      <xdr:nvSpPr>
        <xdr:cNvPr id="209" name="Rectangle 142"/>
        <xdr:cNvSpPr>
          <a:spLocks noChangeArrowheads="1"/>
        </xdr:cNvSpPr>
      </xdr:nvSpPr>
      <xdr:spPr bwMode="auto">
        <a:xfrm>
          <a:off x="8705850" y="79057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36</xdr:row>
      <xdr:rowOff>0</xdr:rowOff>
    </xdr:from>
    <xdr:to>
      <xdr:col>12</xdr:col>
      <xdr:colOff>95250</xdr:colOff>
      <xdr:row>36</xdr:row>
      <xdr:rowOff>209550</xdr:rowOff>
    </xdr:to>
    <xdr:sp macro="[0]!NeoInfB_SetDose_10" textlink="">
      <xdr:nvSpPr>
        <xdr:cNvPr id="210" name="Rectangle 142"/>
        <xdr:cNvSpPr>
          <a:spLocks noChangeArrowheads="1"/>
        </xdr:cNvSpPr>
      </xdr:nvSpPr>
      <xdr:spPr bwMode="auto">
        <a:xfrm>
          <a:off x="8705850" y="81534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50</xdr:row>
      <xdr:rowOff>0</xdr:rowOff>
    </xdr:from>
    <xdr:to>
      <xdr:col>1</xdr:col>
      <xdr:colOff>0</xdr:colOff>
      <xdr:row>50</xdr:row>
      <xdr:rowOff>205154</xdr:rowOff>
    </xdr:to>
    <xdr:sp macro="[0]!NeoInfB_RemoveTPN_NaCl" textlink="">
      <xdr:nvSpPr>
        <xdr:cNvPr id="211" name="Rectangle 143"/>
        <xdr:cNvSpPr>
          <a:spLocks noChangeArrowheads="1"/>
        </xdr:cNvSpPr>
      </xdr:nvSpPr>
      <xdr:spPr bwMode="auto">
        <a:xfrm>
          <a:off x="260748" y="11191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51</xdr:row>
      <xdr:rowOff>0</xdr:rowOff>
    </xdr:from>
    <xdr:to>
      <xdr:col>1</xdr:col>
      <xdr:colOff>0</xdr:colOff>
      <xdr:row>51</xdr:row>
      <xdr:rowOff>205154</xdr:rowOff>
    </xdr:to>
    <xdr:sp macro="[0]!NeoInfB_RemoveTPN_KAct" textlink="">
      <xdr:nvSpPr>
        <xdr:cNvPr id="212" name="Rectangle 143"/>
        <xdr:cNvSpPr>
          <a:spLocks noChangeArrowheads="1"/>
        </xdr:cNvSpPr>
      </xdr:nvSpPr>
      <xdr:spPr bwMode="auto">
        <a:xfrm>
          <a:off x="260748" y="11439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52</xdr:row>
      <xdr:rowOff>0</xdr:rowOff>
    </xdr:from>
    <xdr:to>
      <xdr:col>1</xdr:col>
      <xdr:colOff>0</xdr:colOff>
      <xdr:row>52</xdr:row>
      <xdr:rowOff>205154</xdr:rowOff>
    </xdr:to>
    <xdr:sp macro="[0]!NeoInfB_RemoveTPN_CaCl" textlink="">
      <xdr:nvSpPr>
        <xdr:cNvPr id="215" name="Rectangle 143"/>
        <xdr:cNvSpPr>
          <a:spLocks noChangeArrowheads="1"/>
        </xdr:cNvSpPr>
      </xdr:nvSpPr>
      <xdr:spPr bwMode="auto">
        <a:xfrm>
          <a:off x="260748" y="11687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53</xdr:row>
      <xdr:rowOff>0</xdr:rowOff>
    </xdr:from>
    <xdr:to>
      <xdr:col>1</xdr:col>
      <xdr:colOff>0</xdr:colOff>
      <xdr:row>53</xdr:row>
      <xdr:rowOff>205154</xdr:rowOff>
    </xdr:to>
    <xdr:sp macro="[0]!NeoInfB_RemoveTPN_MgCl" textlink="">
      <xdr:nvSpPr>
        <xdr:cNvPr id="216" name="Rectangle 143"/>
        <xdr:cNvSpPr>
          <a:spLocks noChangeArrowheads="1"/>
        </xdr:cNvSpPr>
      </xdr:nvSpPr>
      <xdr:spPr bwMode="auto">
        <a:xfrm>
          <a:off x="260748" y="11934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54</xdr:row>
      <xdr:rowOff>0</xdr:rowOff>
    </xdr:from>
    <xdr:to>
      <xdr:col>1</xdr:col>
      <xdr:colOff>0</xdr:colOff>
      <xdr:row>54</xdr:row>
      <xdr:rowOff>205154</xdr:rowOff>
    </xdr:to>
    <xdr:sp macro="[0]!NeoInfB_RemoveTPN_Solu" textlink="">
      <xdr:nvSpPr>
        <xdr:cNvPr id="217" name="Rectangle 143"/>
        <xdr:cNvSpPr>
          <a:spLocks noChangeArrowheads="1"/>
        </xdr:cNvSpPr>
      </xdr:nvSpPr>
      <xdr:spPr bwMode="auto">
        <a:xfrm>
          <a:off x="260748" y="12182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55</xdr:row>
      <xdr:rowOff>0</xdr:rowOff>
    </xdr:from>
    <xdr:to>
      <xdr:col>1</xdr:col>
      <xdr:colOff>0</xdr:colOff>
      <xdr:row>55</xdr:row>
      <xdr:rowOff>205154</xdr:rowOff>
    </xdr:to>
    <xdr:sp macro="[0]!NeoInfB_RemoveTPN_Prim" textlink="">
      <xdr:nvSpPr>
        <xdr:cNvPr id="218" name="Rectangle 143"/>
        <xdr:cNvSpPr>
          <a:spLocks noChangeArrowheads="1"/>
        </xdr:cNvSpPr>
      </xdr:nvSpPr>
      <xdr:spPr bwMode="auto">
        <a:xfrm>
          <a:off x="260748" y="12430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56</xdr:row>
      <xdr:rowOff>0</xdr:rowOff>
    </xdr:from>
    <xdr:to>
      <xdr:col>0</xdr:col>
      <xdr:colOff>339327</xdr:colOff>
      <xdr:row>56</xdr:row>
      <xdr:rowOff>205154</xdr:rowOff>
    </xdr:to>
    <xdr:sp macro="[0]!NeoInfB_RemoveTPN_NICUMix" textlink="">
      <xdr:nvSpPr>
        <xdr:cNvPr id="219" name="Rectangle 143"/>
        <xdr:cNvSpPr>
          <a:spLocks noChangeArrowheads="1"/>
        </xdr:cNvSpPr>
      </xdr:nvSpPr>
      <xdr:spPr bwMode="auto">
        <a:xfrm>
          <a:off x="0" y="126777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57</xdr:row>
      <xdr:rowOff>0</xdr:rowOff>
    </xdr:from>
    <xdr:to>
      <xdr:col>0</xdr:col>
      <xdr:colOff>339327</xdr:colOff>
      <xdr:row>57</xdr:row>
      <xdr:rowOff>205154</xdr:rowOff>
    </xdr:to>
    <xdr:sp macro="[0]!NeoInfB_RemoveTPN_SSTB" textlink="">
      <xdr:nvSpPr>
        <xdr:cNvPr id="220" name="Rectangle 143"/>
        <xdr:cNvSpPr>
          <a:spLocks noChangeArrowheads="1"/>
        </xdr:cNvSpPr>
      </xdr:nvSpPr>
      <xdr:spPr bwMode="auto">
        <a:xfrm>
          <a:off x="0" y="129254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466725</xdr:colOff>
      <xdr:row>1</xdr:row>
      <xdr:rowOff>38100</xdr:rowOff>
    </xdr:from>
    <xdr:to>
      <xdr:col>9</xdr:col>
      <xdr:colOff>952500</xdr:colOff>
      <xdr:row>2</xdr:row>
      <xdr:rowOff>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9048750" y="2000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85725</xdr:rowOff>
    </xdr:from>
    <xdr:to>
      <xdr:col>9</xdr:col>
      <xdr:colOff>914400</xdr:colOff>
      <xdr:row>2</xdr:row>
      <xdr:rowOff>209550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9096375" y="466725"/>
          <a:ext cx="8858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1409700</xdr:colOff>
          <xdr:row>12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afhangend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1228725</xdr:colOff>
          <xdr:row>14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1666875</xdr:colOff>
          <xdr:row>15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19050</xdr:rowOff>
        </xdr:from>
        <xdr:to>
          <xdr:col>9</xdr:col>
          <xdr:colOff>1228725</xdr:colOff>
          <xdr:row>23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19050</xdr:rowOff>
        </xdr:from>
        <xdr:to>
          <xdr:col>9</xdr:col>
          <xdr:colOff>1228725</xdr:colOff>
          <xdr:row>19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17</xdr:row>
          <xdr:rowOff>38100</xdr:rowOff>
        </xdr:from>
        <xdr:to>
          <xdr:col>10</xdr:col>
          <xdr:colOff>933450</xdr:colOff>
          <xdr:row>17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17</xdr:row>
          <xdr:rowOff>19050</xdr:rowOff>
        </xdr:from>
        <xdr:to>
          <xdr:col>11</xdr:col>
          <xdr:colOff>809625</xdr:colOff>
          <xdr:row>17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7124700" y="6648450"/>
          <a:ext cx="14573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27</xdr:row>
          <xdr:rowOff>19050</xdr:rowOff>
        </xdr:from>
        <xdr:to>
          <xdr:col>10</xdr:col>
          <xdr:colOff>1019175</xdr:colOff>
          <xdr:row>27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19</xdr:row>
          <xdr:rowOff>28575</xdr:rowOff>
        </xdr:from>
        <xdr:to>
          <xdr:col>10</xdr:col>
          <xdr:colOff>809625</xdr:colOff>
          <xdr:row>19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945" name="Check Box 1273" hidden="1">
              <a:extLst>
                <a:ext uri="{63B3BB69-23CF-44E3-9099-C40C66FF867C}">
                  <a14:compatExt spid="_x0000_s157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30</xdr:row>
      <xdr:rowOff>0</xdr:rowOff>
    </xdr:from>
    <xdr:to>
      <xdr:col>12</xdr:col>
      <xdr:colOff>9525</xdr:colOff>
      <xdr:row>32</xdr:row>
      <xdr:rowOff>171450</xdr:rowOff>
    </xdr:to>
    <xdr:sp macro="[0]!NeoAfspr_OverigText" textlink="">
      <xdr:nvSpPr>
        <xdr:cNvPr id="127" name="Rectangle 165"/>
        <xdr:cNvSpPr>
          <a:spLocks noChangeArrowheads="1"/>
        </xdr:cNvSpPr>
      </xdr:nvSpPr>
      <xdr:spPr bwMode="auto">
        <a:xfrm>
          <a:off x="9067800" y="6629400"/>
          <a:ext cx="380047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19</xdr:col>
      <xdr:colOff>695325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2249150"/>
          <a:ext cx="12973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9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399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799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57150</xdr:rowOff>
    </xdr:from>
    <xdr:to>
      <xdr:col>14</xdr:col>
      <xdr:colOff>167640</xdr:colOff>
      <xdr:row>2</xdr:row>
      <xdr:rowOff>19050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52400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9525</xdr:colOff>
      <xdr:row>2</xdr:row>
      <xdr:rowOff>76200</xdr:rowOff>
    </xdr:from>
    <xdr:to>
      <xdr:col>14</xdr:col>
      <xdr:colOff>158115</xdr:colOff>
      <xdr:row>3</xdr:row>
      <xdr:rowOff>9525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15300" y="39052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4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26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31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2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35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34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49" Type="http://schemas.openxmlformats.org/officeDocument/2006/relationships/ctrlProp" Target="../ctrlProps/ctrlProp390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Relationship Id="rId8" Type="http://schemas.openxmlformats.org/officeDocument/2006/relationships/ctrlProp" Target="../ctrlProps/ctrlProp349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rinterSettings" Target="../printerSettings/printerSettings3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3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3.xml"/><Relationship Id="rId117" Type="http://schemas.openxmlformats.org/officeDocument/2006/relationships/ctrlProp" Target="../ctrlProps/ctrlProp504.xml"/><Relationship Id="rId21" Type="http://schemas.openxmlformats.org/officeDocument/2006/relationships/ctrlProp" Target="../ctrlProps/ctrlProp408.xml"/><Relationship Id="rId42" Type="http://schemas.openxmlformats.org/officeDocument/2006/relationships/ctrlProp" Target="../ctrlProps/ctrlProp429.xml"/><Relationship Id="rId47" Type="http://schemas.openxmlformats.org/officeDocument/2006/relationships/ctrlProp" Target="../ctrlProps/ctrlProp434.xml"/><Relationship Id="rId63" Type="http://schemas.openxmlformats.org/officeDocument/2006/relationships/ctrlProp" Target="../ctrlProps/ctrlProp450.xml"/><Relationship Id="rId68" Type="http://schemas.openxmlformats.org/officeDocument/2006/relationships/ctrlProp" Target="../ctrlProps/ctrlProp455.xml"/><Relationship Id="rId84" Type="http://schemas.openxmlformats.org/officeDocument/2006/relationships/ctrlProp" Target="../ctrlProps/ctrlProp471.xml"/><Relationship Id="rId89" Type="http://schemas.openxmlformats.org/officeDocument/2006/relationships/ctrlProp" Target="../ctrlProps/ctrlProp476.xml"/><Relationship Id="rId112" Type="http://schemas.openxmlformats.org/officeDocument/2006/relationships/ctrlProp" Target="../ctrlProps/ctrlProp499.xml"/><Relationship Id="rId133" Type="http://schemas.openxmlformats.org/officeDocument/2006/relationships/ctrlProp" Target="../ctrlProps/ctrlProp520.xml"/><Relationship Id="rId138" Type="http://schemas.openxmlformats.org/officeDocument/2006/relationships/ctrlProp" Target="../ctrlProps/ctrlProp525.xml"/><Relationship Id="rId154" Type="http://schemas.openxmlformats.org/officeDocument/2006/relationships/ctrlProp" Target="../ctrlProps/ctrlProp541.xml"/><Relationship Id="rId159" Type="http://schemas.openxmlformats.org/officeDocument/2006/relationships/ctrlProp" Target="../ctrlProps/ctrlProp546.xml"/><Relationship Id="rId16" Type="http://schemas.openxmlformats.org/officeDocument/2006/relationships/ctrlProp" Target="../ctrlProps/ctrlProp403.xml"/><Relationship Id="rId107" Type="http://schemas.openxmlformats.org/officeDocument/2006/relationships/ctrlProp" Target="../ctrlProps/ctrlProp494.xml"/><Relationship Id="rId11" Type="http://schemas.openxmlformats.org/officeDocument/2006/relationships/ctrlProp" Target="../ctrlProps/ctrlProp398.xml"/><Relationship Id="rId32" Type="http://schemas.openxmlformats.org/officeDocument/2006/relationships/ctrlProp" Target="../ctrlProps/ctrlProp419.xml"/><Relationship Id="rId37" Type="http://schemas.openxmlformats.org/officeDocument/2006/relationships/ctrlProp" Target="../ctrlProps/ctrlProp424.xml"/><Relationship Id="rId53" Type="http://schemas.openxmlformats.org/officeDocument/2006/relationships/ctrlProp" Target="../ctrlProps/ctrlProp440.xml"/><Relationship Id="rId58" Type="http://schemas.openxmlformats.org/officeDocument/2006/relationships/ctrlProp" Target="../ctrlProps/ctrlProp445.xml"/><Relationship Id="rId74" Type="http://schemas.openxmlformats.org/officeDocument/2006/relationships/ctrlProp" Target="../ctrlProps/ctrlProp461.xml"/><Relationship Id="rId79" Type="http://schemas.openxmlformats.org/officeDocument/2006/relationships/ctrlProp" Target="../ctrlProps/ctrlProp466.xml"/><Relationship Id="rId102" Type="http://schemas.openxmlformats.org/officeDocument/2006/relationships/ctrlProp" Target="../ctrlProps/ctrlProp489.xml"/><Relationship Id="rId123" Type="http://schemas.openxmlformats.org/officeDocument/2006/relationships/ctrlProp" Target="../ctrlProps/ctrlProp510.xml"/><Relationship Id="rId128" Type="http://schemas.openxmlformats.org/officeDocument/2006/relationships/ctrlProp" Target="../ctrlProps/ctrlProp515.xml"/><Relationship Id="rId144" Type="http://schemas.openxmlformats.org/officeDocument/2006/relationships/ctrlProp" Target="../ctrlProps/ctrlProp531.xml"/><Relationship Id="rId149" Type="http://schemas.openxmlformats.org/officeDocument/2006/relationships/ctrlProp" Target="../ctrlProps/ctrlProp536.xml"/><Relationship Id="rId5" Type="http://schemas.openxmlformats.org/officeDocument/2006/relationships/ctrlProp" Target="../ctrlProps/ctrlProp392.xml"/><Relationship Id="rId90" Type="http://schemas.openxmlformats.org/officeDocument/2006/relationships/ctrlProp" Target="../ctrlProps/ctrlProp477.xml"/><Relationship Id="rId95" Type="http://schemas.openxmlformats.org/officeDocument/2006/relationships/ctrlProp" Target="../ctrlProps/ctrlProp482.xml"/><Relationship Id="rId22" Type="http://schemas.openxmlformats.org/officeDocument/2006/relationships/ctrlProp" Target="../ctrlProps/ctrlProp409.xml"/><Relationship Id="rId27" Type="http://schemas.openxmlformats.org/officeDocument/2006/relationships/ctrlProp" Target="../ctrlProps/ctrlProp414.xml"/><Relationship Id="rId43" Type="http://schemas.openxmlformats.org/officeDocument/2006/relationships/ctrlProp" Target="../ctrlProps/ctrlProp430.xml"/><Relationship Id="rId48" Type="http://schemas.openxmlformats.org/officeDocument/2006/relationships/ctrlProp" Target="../ctrlProps/ctrlProp435.xml"/><Relationship Id="rId64" Type="http://schemas.openxmlformats.org/officeDocument/2006/relationships/ctrlProp" Target="../ctrlProps/ctrlProp451.xml"/><Relationship Id="rId69" Type="http://schemas.openxmlformats.org/officeDocument/2006/relationships/ctrlProp" Target="../ctrlProps/ctrlProp456.xml"/><Relationship Id="rId113" Type="http://schemas.openxmlformats.org/officeDocument/2006/relationships/ctrlProp" Target="../ctrlProps/ctrlProp500.xml"/><Relationship Id="rId118" Type="http://schemas.openxmlformats.org/officeDocument/2006/relationships/ctrlProp" Target="../ctrlProps/ctrlProp505.xml"/><Relationship Id="rId134" Type="http://schemas.openxmlformats.org/officeDocument/2006/relationships/ctrlProp" Target="../ctrlProps/ctrlProp521.xml"/><Relationship Id="rId139" Type="http://schemas.openxmlformats.org/officeDocument/2006/relationships/ctrlProp" Target="../ctrlProps/ctrlProp526.xml"/><Relationship Id="rId80" Type="http://schemas.openxmlformats.org/officeDocument/2006/relationships/ctrlProp" Target="../ctrlProps/ctrlProp467.xml"/><Relationship Id="rId85" Type="http://schemas.openxmlformats.org/officeDocument/2006/relationships/ctrlProp" Target="../ctrlProps/ctrlProp472.xml"/><Relationship Id="rId150" Type="http://schemas.openxmlformats.org/officeDocument/2006/relationships/ctrlProp" Target="../ctrlProps/ctrlProp537.xml"/><Relationship Id="rId155" Type="http://schemas.openxmlformats.org/officeDocument/2006/relationships/ctrlProp" Target="../ctrlProps/ctrlProp542.xml"/><Relationship Id="rId12" Type="http://schemas.openxmlformats.org/officeDocument/2006/relationships/ctrlProp" Target="../ctrlProps/ctrlProp399.xml"/><Relationship Id="rId17" Type="http://schemas.openxmlformats.org/officeDocument/2006/relationships/ctrlProp" Target="../ctrlProps/ctrlProp404.xml"/><Relationship Id="rId33" Type="http://schemas.openxmlformats.org/officeDocument/2006/relationships/ctrlProp" Target="../ctrlProps/ctrlProp420.xml"/><Relationship Id="rId38" Type="http://schemas.openxmlformats.org/officeDocument/2006/relationships/ctrlProp" Target="../ctrlProps/ctrlProp425.xml"/><Relationship Id="rId59" Type="http://schemas.openxmlformats.org/officeDocument/2006/relationships/ctrlProp" Target="../ctrlProps/ctrlProp446.xml"/><Relationship Id="rId103" Type="http://schemas.openxmlformats.org/officeDocument/2006/relationships/ctrlProp" Target="../ctrlProps/ctrlProp490.xml"/><Relationship Id="rId108" Type="http://schemas.openxmlformats.org/officeDocument/2006/relationships/ctrlProp" Target="../ctrlProps/ctrlProp495.xml"/><Relationship Id="rId124" Type="http://schemas.openxmlformats.org/officeDocument/2006/relationships/ctrlProp" Target="../ctrlProps/ctrlProp511.xml"/><Relationship Id="rId129" Type="http://schemas.openxmlformats.org/officeDocument/2006/relationships/ctrlProp" Target="../ctrlProps/ctrlProp516.xml"/><Relationship Id="rId20" Type="http://schemas.openxmlformats.org/officeDocument/2006/relationships/ctrlProp" Target="../ctrlProps/ctrlProp407.xml"/><Relationship Id="rId41" Type="http://schemas.openxmlformats.org/officeDocument/2006/relationships/ctrlProp" Target="../ctrlProps/ctrlProp428.xml"/><Relationship Id="rId54" Type="http://schemas.openxmlformats.org/officeDocument/2006/relationships/ctrlProp" Target="../ctrlProps/ctrlProp441.xml"/><Relationship Id="rId62" Type="http://schemas.openxmlformats.org/officeDocument/2006/relationships/ctrlProp" Target="../ctrlProps/ctrlProp449.xml"/><Relationship Id="rId70" Type="http://schemas.openxmlformats.org/officeDocument/2006/relationships/ctrlProp" Target="../ctrlProps/ctrlProp457.xml"/><Relationship Id="rId75" Type="http://schemas.openxmlformats.org/officeDocument/2006/relationships/ctrlProp" Target="../ctrlProps/ctrlProp462.xml"/><Relationship Id="rId83" Type="http://schemas.openxmlformats.org/officeDocument/2006/relationships/ctrlProp" Target="../ctrlProps/ctrlProp470.xml"/><Relationship Id="rId88" Type="http://schemas.openxmlformats.org/officeDocument/2006/relationships/ctrlProp" Target="../ctrlProps/ctrlProp475.xml"/><Relationship Id="rId91" Type="http://schemas.openxmlformats.org/officeDocument/2006/relationships/ctrlProp" Target="../ctrlProps/ctrlProp478.xml"/><Relationship Id="rId96" Type="http://schemas.openxmlformats.org/officeDocument/2006/relationships/ctrlProp" Target="../ctrlProps/ctrlProp483.xml"/><Relationship Id="rId111" Type="http://schemas.openxmlformats.org/officeDocument/2006/relationships/ctrlProp" Target="../ctrlProps/ctrlProp498.xml"/><Relationship Id="rId132" Type="http://schemas.openxmlformats.org/officeDocument/2006/relationships/ctrlProp" Target="../ctrlProps/ctrlProp519.xml"/><Relationship Id="rId140" Type="http://schemas.openxmlformats.org/officeDocument/2006/relationships/ctrlProp" Target="../ctrlProps/ctrlProp527.xml"/><Relationship Id="rId145" Type="http://schemas.openxmlformats.org/officeDocument/2006/relationships/ctrlProp" Target="../ctrlProps/ctrlProp532.xml"/><Relationship Id="rId153" Type="http://schemas.openxmlformats.org/officeDocument/2006/relationships/ctrlProp" Target="../ctrlProps/ctrlProp540.xml"/><Relationship Id="rId1" Type="http://schemas.openxmlformats.org/officeDocument/2006/relationships/printerSettings" Target="../printerSettings/printerSettings44.bin"/><Relationship Id="rId6" Type="http://schemas.openxmlformats.org/officeDocument/2006/relationships/ctrlProp" Target="../ctrlProps/ctrlProp393.xml"/><Relationship Id="rId15" Type="http://schemas.openxmlformats.org/officeDocument/2006/relationships/ctrlProp" Target="../ctrlProps/ctrlProp402.xml"/><Relationship Id="rId23" Type="http://schemas.openxmlformats.org/officeDocument/2006/relationships/ctrlProp" Target="../ctrlProps/ctrlProp410.xml"/><Relationship Id="rId28" Type="http://schemas.openxmlformats.org/officeDocument/2006/relationships/ctrlProp" Target="../ctrlProps/ctrlProp415.xml"/><Relationship Id="rId36" Type="http://schemas.openxmlformats.org/officeDocument/2006/relationships/ctrlProp" Target="../ctrlProps/ctrlProp423.xml"/><Relationship Id="rId49" Type="http://schemas.openxmlformats.org/officeDocument/2006/relationships/ctrlProp" Target="../ctrlProps/ctrlProp436.xml"/><Relationship Id="rId57" Type="http://schemas.openxmlformats.org/officeDocument/2006/relationships/ctrlProp" Target="../ctrlProps/ctrlProp444.xml"/><Relationship Id="rId106" Type="http://schemas.openxmlformats.org/officeDocument/2006/relationships/ctrlProp" Target="../ctrlProps/ctrlProp493.xml"/><Relationship Id="rId114" Type="http://schemas.openxmlformats.org/officeDocument/2006/relationships/ctrlProp" Target="../ctrlProps/ctrlProp501.xml"/><Relationship Id="rId119" Type="http://schemas.openxmlformats.org/officeDocument/2006/relationships/ctrlProp" Target="../ctrlProps/ctrlProp506.xml"/><Relationship Id="rId127" Type="http://schemas.openxmlformats.org/officeDocument/2006/relationships/ctrlProp" Target="../ctrlProps/ctrlProp514.xml"/><Relationship Id="rId10" Type="http://schemas.openxmlformats.org/officeDocument/2006/relationships/ctrlProp" Target="../ctrlProps/ctrlProp397.xml"/><Relationship Id="rId31" Type="http://schemas.openxmlformats.org/officeDocument/2006/relationships/ctrlProp" Target="../ctrlProps/ctrlProp418.xml"/><Relationship Id="rId44" Type="http://schemas.openxmlformats.org/officeDocument/2006/relationships/ctrlProp" Target="../ctrlProps/ctrlProp431.xml"/><Relationship Id="rId52" Type="http://schemas.openxmlformats.org/officeDocument/2006/relationships/ctrlProp" Target="../ctrlProps/ctrlProp439.xml"/><Relationship Id="rId60" Type="http://schemas.openxmlformats.org/officeDocument/2006/relationships/ctrlProp" Target="../ctrlProps/ctrlProp447.xml"/><Relationship Id="rId65" Type="http://schemas.openxmlformats.org/officeDocument/2006/relationships/ctrlProp" Target="../ctrlProps/ctrlProp452.xml"/><Relationship Id="rId73" Type="http://schemas.openxmlformats.org/officeDocument/2006/relationships/ctrlProp" Target="../ctrlProps/ctrlProp460.xml"/><Relationship Id="rId78" Type="http://schemas.openxmlformats.org/officeDocument/2006/relationships/ctrlProp" Target="../ctrlProps/ctrlProp465.xml"/><Relationship Id="rId81" Type="http://schemas.openxmlformats.org/officeDocument/2006/relationships/ctrlProp" Target="../ctrlProps/ctrlProp468.xml"/><Relationship Id="rId86" Type="http://schemas.openxmlformats.org/officeDocument/2006/relationships/ctrlProp" Target="../ctrlProps/ctrlProp473.xml"/><Relationship Id="rId94" Type="http://schemas.openxmlformats.org/officeDocument/2006/relationships/ctrlProp" Target="../ctrlProps/ctrlProp481.xml"/><Relationship Id="rId99" Type="http://schemas.openxmlformats.org/officeDocument/2006/relationships/ctrlProp" Target="../ctrlProps/ctrlProp486.xml"/><Relationship Id="rId101" Type="http://schemas.openxmlformats.org/officeDocument/2006/relationships/ctrlProp" Target="../ctrlProps/ctrlProp488.xml"/><Relationship Id="rId122" Type="http://schemas.openxmlformats.org/officeDocument/2006/relationships/ctrlProp" Target="../ctrlProps/ctrlProp509.xml"/><Relationship Id="rId130" Type="http://schemas.openxmlformats.org/officeDocument/2006/relationships/ctrlProp" Target="../ctrlProps/ctrlProp517.xml"/><Relationship Id="rId135" Type="http://schemas.openxmlformats.org/officeDocument/2006/relationships/ctrlProp" Target="../ctrlProps/ctrlProp522.xml"/><Relationship Id="rId143" Type="http://schemas.openxmlformats.org/officeDocument/2006/relationships/ctrlProp" Target="../ctrlProps/ctrlProp530.xml"/><Relationship Id="rId148" Type="http://schemas.openxmlformats.org/officeDocument/2006/relationships/ctrlProp" Target="../ctrlProps/ctrlProp535.xml"/><Relationship Id="rId151" Type="http://schemas.openxmlformats.org/officeDocument/2006/relationships/ctrlProp" Target="../ctrlProps/ctrlProp538.xml"/><Relationship Id="rId156" Type="http://schemas.openxmlformats.org/officeDocument/2006/relationships/ctrlProp" Target="../ctrlProps/ctrlProp543.xml"/><Relationship Id="rId4" Type="http://schemas.openxmlformats.org/officeDocument/2006/relationships/ctrlProp" Target="../ctrlProps/ctrlProp391.xml"/><Relationship Id="rId9" Type="http://schemas.openxmlformats.org/officeDocument/2006/relationships/ctrlProp" Target="../ctrlProps/ctrlProp396.xml"/><Relationship Id="rId13" Type="http://schemas.openxmlformats.org/officeDocument/2006/relationships/ctrlProp" Target="../ctrlProps/ctrlProp400.xml"/><Relationship Id="rId18" Type="http://schemas.openxmlformats.org/officeDocument/2006/relationships/ctrlProp" Target="../ctrlProps/ctrlProp405.xml"/><Relationship Id="rId39" Type="http://schemas.openxmlformats.org/officeDocument/2006/relationships/ctrlProp" Target="../ctrlProps/ctrlProp426.xml"/><Relationship Id="rId109" Type="http://schemas.openxmlformats.org/officeDocument/2006/relationships/ctrlProp" Target="../ctrlProps/ctrlProp496.xml"/><Relationship Id="rId34" Type="http://schemas.openxmlformats.org/officeDocument/2006/relationships/ctrlProp" Target="../ctrlProps/ctrlProp421.xml"/><Relationship Id="rId50" Type="http://schemas.openxmlformats.org/officeDocument/2006/relationships/ctrlProp" Target="../ctrlProps/ctrlProp437.xml"/><Relationship Id="rId55" Type="http://schemas.openxmlformats.org/officeDocument/2006/relationships/ctrlProp" Target="../ctrlProps/ctrlProp442.xml"/><Relationship Id="rId76" Type="http://schemas.openxmlformats.org/officeDocument/2006/relationships/ctrlProp" Target="../ctrlProps/ctrlProp463.xml"/><Relationship Id="rId97" Type="http://schemas.openxmlformats.org/officeDocument/2006/relationships/ctrlProp" Target="../ctrlProps/ctrlProp484.xml"/><Relationship Id="rId104" Type="http://schemas.openxmlformats.org/officeDocument/2006/relationships/ctrlProp" Target="../ctrlProps/ctrlProp491.xml"/><Relationship Id="rId120" Type="http://schemas.openxmlformats.org/officeDocument/2006/relationships/ctrlProp" Target="../ctrlProps/ctrlProp507.xml"/><Relationship Id="rId125" Type="http://schemas.openxmlformats.org/officeDocument/2006/relationships/ctrlProp" Target="../ctrlProps/ctrlProp512.xml"/><Relationship Id="rId141" Type="http://schemas.openxmlformats.org/officeDocument/2006/relationships/ctrlProp" Target="../ctrlProps/ctrlProp528.xml"/><Relationship Id="rId146" Type="http://schemas.openxmlformats.org/officeDocument/2006/relationships/ctrlProp" Target="../ctrlProps/ctrlProp533.xml"/><Relationship Id="rId7" Type="http://schemas.openxmlformats.org/officeDocument/2006/relationships/ctrlProp" Target="../ctrlProps/ctrlProp394.xml"/><Relationship Id="rId71" Type="http://schemas.openxmlformats.org/officeDocument/2006/relationships/ctrlProp" Target="../ctrlProps/ctrlProp458.xml"/><Relationship Id="rId92" Type="http://schemas.openxmlformats.org/officeDocument/2006/relationships/ctrlProp" Target="../ctrlProps/ctrlProp4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6.xml"/><Relationship Id="rId24" Type="http://schemas.openxmlformats.org/officeDocument/2006/relationships/ctrlProp" Target="../ctrlProps/ctrlProp411.xml"/><Relationship Id="rId40" Type="http://schemas.openxmlformats.org/officeDocument/2006/relationships/ctrlProp" Target="../ctrlProps/ctrlProp427.xml"/><Relationship Id="rId45" Type="http://schemas.openxmlformats.org/officeDocument/2006/relationships/ctrlProp" Target="../ctrlProps/ctrlProp432.xml"/><Relationship Id="rId66" Type="http://schemas.openxmlformats.org/officeDocument/2006/relationships/ctrlProp" Target="../ctrlProps/ctrlProp453.xml"/><Relationship Id="rId87" Type="http://schemas.openxmlformats.org/officeDocument/2006/relationships/ctrlProp" Target="../ctrlProps/ctrlProp474.xml"/><Relationship Id="rId110" Type="http://schemas.openxmlformats.org/officeDocument/2006/relationships/ctrlProp" Target="../ctrlProps/ctrlProp497.xml"/><Relationship Id="rId115" Type="http://schemas.openxmlformats.org/officeDocument/2006/relationships/ctrlProp" Target="../ctrlProps/ctrlProp502.xml"/><Relationship Id="rId131" Type="http://schemas.openxmlformats.org/officeDocument/2006/relationships/ctrlProp" Target="../ctrlProps/ctrlProp518.xml"/><Relationship Id="rId136" Type="http://schemas.openxmlformats.org/officeDocument/2006/relationships/ctrlProp" Target="../ctrlProps/ctrlProp523.xml"/><Relationship Id="rId157" Type="http://schemas.openxmlformats.org/officeDocument/2006/relationships/ctrlProp" Target="../ctrlProps/ctrlProp544.xml"/><Relationship Id="rId61" Type="http://schemas.openxmlformats.org/officeDocument/2006/relationships/ctrlProp" Target="../ctrlProps/ctrlProp448.xml"/><Relationship Id="rId82" Type="http://schemas.openxmlformats.org/officeDocument/2006/relationships/ctrlProp" Target="../ctrlProps/ctrlProp469.xml"/><Relationship Id="rId152" Type="http://schemas.openxmlformats.org/officeDocument/2006/relationships/ctrlProp" Target="../ctrlProps/ctrlProp539.xml"/><Relationship Id="rId19" Type="http://schemas.openxmlformats.org/officeDocument/2006/relationships/ctrlProp" Target="../ctrlProps/ctrlProp406.xml"/><Relationship Id="rId14" Type="http://schemas.openxmlformats.org/officeDocument/2006/relationships/ctrlProp" Target="../ctrlProps/ctrlProp401.xml"/><Relationship Id="rId30" Type="http://schemas.openxmlformats.org/officeDocument/2006/relationships/ctrlProp" Target="../ctrlProps/ctrlProp417.xml"/><Relationship Id="rId35" Type="http://schemas.openxmlformats.org/officeDocument/2006/relationships/ctrlProp" Target="../ctrlProps/ctrlProp422.xml"/><Relationship Id="rId56" Type="http://schemas.openxmlformats.org/officeDocument/2006/relationships/ctrlProp" Target="../ctrlProps/ctrlProp443.xml"/><Relationship Id="rId77" Type="http://schemas.openxmlformats.org/officeDocument/2006/relationships/ctrlProp" Target="../ctrlProps/ctrlProp464.xml"/><Relationship Id="rId100" Type="http://schemas.openxmlformats.org/officeDocument/2006/relationships/ctrlProp" Target="../ctrlProps/ctrlProp487.xml"/><Relationship Id="rId105" Type="http://schemas.openxmlformats.org/officeDocument/2006/relationships/ctrlProp" Target="../ctrlProps/ctrlProp492.xml"/><Relationship Id="rId126" Type="http://schemas.openxmlformats.org/officeDocument/2006/relationships/ctrlProp" Target="../ctrlProps/ctrlProp513.xml"/><Relationship Id="rId147" Type="http://schemas.openxmlformats.org/officeDocument/2006/relationships/ctrlProp" Target="../ctrlProps/ctrlProp534.xml"/><Relationship Id="rId8" Type="http://schemas.openxmlformats.org/officeDocument/2006/relationships/ctrlProp" Target="../ctrlProps/ctrlProp395.xml"/><Relationship Id="rId51" Type="http://schemas.openxmlformats.org/officeDocument/2006/relationships/ctrlProp" Target="../ctrlProps/ctrlProp438.xml"/><Relationship Id="rId72" Type="http://schemas.openxmlformats.org/officeDocument/2006/relationships/ctrlProp" Target="../ctrlProps/ctrlProp459.xml"/><Relationship Id="rId93" Type="http://schemas.openxmlformats.org/officeDocument/2006/relationships/ctrlProp" Target="../ctrlProps/ctrlProp480.xml"/><Relationship Id="rId98" Type="http://schemas.openxmlformats.org/officeDocument/2006/relationships/ctrlProp" Target="../ctrlProps/ctrlProp485.xml"/><Relationship Id="rId121" Type="http://schemas.openxmlformats.org/officeDocument/2006/relationships/ctrlProp" Target="../ctrlProps/ctrlProp508.xml"/><Relationship Id="rId142" Type="http://schemas.openxmlformats.org/officeDocument/2006/relationships/ctrlProp" Target="../ctrlProps/ctrlProp529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2.xml"/><Relationship Id="rId46" Type="http://schemas.openxmlformats.org/officeDocument/2006/relationships/ctrlProp" Target="../ctrlProps/ctrlProp433.xml"/><Relationship Id="rId67" Type="http://schemas.openxmlformats.org/officeDocument/2006/relationships/ctrlProp" Target="../ctrlProps/ctrlProp454.xml"/><Relationship Id="rId116" Type="http://schemas.openxmlformats.org/officeDocument/2006/relationships/ctrlProp" Target="../ctrlProps/ctrlProp503.xml"/><Relationship Id="rId137" Type="http://schemas.openxmlformats.org/officeDocument/2006/relationships/ctrlProp" Target="../ctrlProps/ctrlProp524.xml"/><Relationship Id="rId158" Type="http://schemas.openxmlformats.org/officeDocument/2006/relationships/ctrlProp" Target="../ctrlProps/ctrlProp545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3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6.xml"/><Relationship Id="rId18" Type="http://schemas.openxmlformats.org/officeDocument/2006/relationships/ctrlProp" Target="../ctrlProps/ctrlProp561.xml"/><Relationship Id="rId26" Type="http://schemas.openxmlformats.org/officeDocument/2006/relationships/ctrlProp" Target="../ctrlProps/ctrlProp569.xml"/><Relationship Id="rId39" Type="http://schemas.openxmlformats.org/officeDocument/2006/relationships/ctrlProp" Target="../ctrlProps/ctrlProp582.xml"/><Relationship Id="rId21" Type="http://schemas.openxmlformats.org/officeDocument/2006/relationships/ctrlProp" Target="../ctrlProps/ctrlProp564.xml"/><Relationship Id="rId34" Type="http://schemas.openxmlformats.org/officeDocument/2006/relationships/ctrlProp" Target="../ctrlProps/ctrlProp577.xml"/><Relationship Id="rId42" Type="http://schemas.openxmlformats.org/officeDocument/2006/relationships/ctrlProp" Target="../ctrlProps/ctrlProp585.xml"/><Relationship Id="rId47" Type="http://schemas.openxmlformats.org/officeDocument/2006/relationships/ctrlProp" Target="../ctrlProps/ctrlProp590.xml"/><Relationship Id="rId50" Type="http://schemas.openxmlformats.org/officeDocument/2006/relationships/ctrlProp" Target="../ctrlProps/ctrlProp593.xml"/><Relationship Id="rId55" Type="http://schemas.openxmlformats.org/officeDocument/2006/relationships/ctrlProp" Target="../ctrlProps/ctrlProp598.xml"/><Relationship Id="rId63" Type="http://schemas.openxmlformats.org/officeDocument/2006/relationships/ctrlProp" Target="../ctrlProps/ctrlProp606.xml"/><Relationship Id="rId68" Type="http://schemas.openxmlformats.org/officeDocument/2006/relationships/ctrlProp" Target="../ctrlProps/ctrlProp611.xml"/><Relationship Id="rId7" Type="http://schemas.openxmlformats.org/officeDocument/2006/relationships/ctrlProp" Target="../ctrlProps/ctrlProp550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9.xml"/><Relationship Id="rId29" Type="http://schemas.openxmlformats.org/officeDocument/2006/relationships/ctrlProp" Target="../ctrlProps/ctrlProp572.xml"/><Relationship Id="rId1" Type="http://schemas.openxmlformats.org/officeDocument/2006/relationships/printerSettings" Target="../printerSettings/printerSettings46.bin"/><Relationship Id="rId6" Type="http://schemas.openxmlformats.org/officeDocument/2006/relationships/ctrlProp" Target="../ctrlProps/ctrlProp549.xml"/><Relationship Id="rId11" Type="http://schemas.openxmlformats.org/officeDocument/2006/relationships/ctrlProp" Target="../ctrlProps/ctrlProp554.xml"/><Relationship Id="rId24" Type="http://schemas.openxmlformats.org/officeDocument/2006/relationships/ctrlProp" Target="../ctrlProps/ctrlProp567.xml"/><Relationship Id="rId32" Type="http://schemas.openxmlformats.org/officeDocument/2006/relationships/ctrlProp" Target="../ctrlProps/ctrlProp575.xml"/><Relationship Id="rId37" Type="http://schemas.openxmlformats.org/officeDocument/2006/relationships/ctrlProp" Target="../ctrlProps/ctrlProp580.xml"/><Relationship Id="rId40" Type="http://schemas.openxmlformats.org/officeDocument/2006/relationships/ctrlProp" Target="../ctrlProps/ctrlProp583.xml"/><Relationship Id="rId45" Type="http://schemas.openxmlformats.org/officeDocument/2006/relationships/ctrlProp" Target="../ctrlProps/ctrlProp588.xml"/><Relationship Id="rId53" Type="http://schemas.openxmlformats.org/officeDocument/2006/relationships/ctrlProp" Target="../ctrlProps/ctrlProp596.xml"/><Relationship Id="rId58" Type="http://schemas.openxmlformats.org/officeDocument/2006/relationships/ctrlProp" Target="../ctrlProps/ctrlProp601.xml"/><Relationship Id="rId66" Type="http://schemas.openxmlformats.org/officeDocument/2006/relationships/ctrlProp" Target="../ctrlProps/ctrlProp609.xml"/><Relationship Id="rId5" Type="http://schemas.openxmlformats.org/officeDocument/2006/relationships/ctrlProp" Target="../ctrlProps/ctrlProp548.xml"/><Relationship Id="rId15" Type="http://schemas.openxmlformats.org/officeDocument/2006/relationships/ctrlProp" Target="../ctrlProps/ctrlProp558.xml"/><Relationship Id="rId23" Type="http://schemas.openxmlformats.org/officeDocument/2006/relationships/ctrlProp" Target="../ctrlProps/ctrlProp566.xml"/><Relationship Id="rId28" Type="http://schemas.openxmlformats.org/officeDocument/2006/relationships/ctrlProp" Target="../ctrlProps/ctrlProp571.xml"/><Relationship Id="rId36" Type="http://schemas.openxmlformats.org/officeDocument/2006/relationships/ctrlProp" Target="../ctrlProps/ctrlProp579.xml"/><Relationship Id="rId49" Type="http://schemas.openxmlformats.org/officeDocument/2006/relationships/ctrlProp" Target="../ctrlProps/ctrlProp592.xml"/><Relationship Id="rId57" Type="http://schemas.openxmlformats.org/officeDocument/2006/relationships/ctrlProp" Target="../ctrlProps/ctrlProp600.xml"/><Relationship Id="rId61" Type="http://schemas.openxmlformats.org/officeDocument/2006/relationships/ctrlProp" Target="../ctrlProps/ctrlProp604.xml"/><Relationship Id="rId10" Type="http://schemas.openxmlformats.org/officeDocument/2006/relationships/ctrlProp" Target="../ctrlProps/ctrlProp553.xml"/><Relationship Id="rId19" Type="http://schemas.openxmlformats.org/officeDocument/2006/relationships/ctrlProp" Target="../ctrlProps/ctrlProp562.xml"/><Relationship Id="rId31" Type="http://schemas.openxmlformats.org/officeDocument/2006/relationships/ctrlProp" Target="../ctrlProps/ctrlProp574.xml"/><Relationship Id="rId44" Type="http://schemas.openxmlformats.org/officeDocument/2006/relationships/ctrlProp" Target="../ctrlProps/ctrlProp587.xml"/><Relationship Id="rId52" Type="http://schemas.openxmlformats.org/officeDocument/2006/relationships/ctrlProp" Target="../ctrlProps/ctrlProp595.xml"/><Relationship Id="rId60" Type="http://schemas.openxmlformats.org/officeDocument/2006/relationships/ctrlProp" Target="../ctrlProps/ctrlProp603.xml"/><Relationship Id="rId65" Type="http://schemas.openxmlformats.org/officeDocument/2006/relationships/ctrlProp" Target="../ctrlProps/ctrlProp608.xml"/><Relationship Id="rId4" Type="http://schemas.openxmlformats.org/officeDocument/2006/relationships/ctrlProp" Target="../ctrlProps/ctrlProp547.xml"/><Relationship Id="rId9" Type="http://schemas.openxmlformats.org/officeDocument/2006/relationships/ctrlProp" Target="../ctrlProps/ctrlProp552.xml"/><Relationship Id="rId14" Type="http://schemas.openxmlformats.org/officeDocument/2006/relationships/ctrlProp" Target="../ctrlProps/ctrlProp557.xml"/><Relationship Id="rId22" Type="http://schemas.openxmlformats.org/officeDocument/2006/relationships/ctrlProp" Target="../ctrlProps/ctrlProp565.xml"/><Relationship Id="rId27" Type="http://schemas.openxmlformats.org/officeDocument/2006/relationships/ctrlProp" Target="../ctrlProps/ctrlProp570.xml"/><Relationship Id="rId30" Type="http://schemas.openxmlformats.org/officeDocument/2006/relationships/ctrlProp" Target="../ctrlProps/ctrlProp573.xml"/><Relationship Id="rId35" Type="http://schemas.openxmlformats.org/officeDocument/2006/relationships/ctrlProp" Target="../ctrlProps/ctrlProp578.xml"/><Relationship Id="rId43" Type="http://schemas.openxmlformats.org/officeDocument/2006/relationships/ctrlProp" Target="../ctrlProps/ctrlProp586.xml"/><Relationship Id="rId48" Type="http://schemas.openxmlformats.org/officeDocument/2006/relationships/ctrlProp" Target="../ctrlProps/ctrlProp591.xml"/><Relationship Id="rId56" Type="http://schemas.openxmlformats.org/officeDocument/2006/relationships/ctrlProp" Target="../ctrlProps/ctrlProp599.xml"/><Relationship Id="rId64" Type="http://schemas.openxmlformats.org/officeDocument/2006/relationships/ctrlProp" Target="../ctrlProps/ctrlProp607.xml"/><Relationship Id="rId69" Type="http://schemas.openxmlformats.org/officeDocument/2006/relationships/ctrlProp" Target="../ctrlProps/ctrlProp612.xml"/><Relationship Id="rId8" Type="http://schemas.openxmlformats.org/officeDocument/2006/relationships/ctrlProp" Target="../ctrlProps/ctrlProp551.xml"/><Relationship Id="rId51" Type="http://schemas.openxmlformats.org/officeDocument/2006/relationships/ctrlProp" Target="../ctrlProps/ctrlProp594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5.xml"/><Relationship Id="rId17" Type="http://schemas.openxmlformats.org/officeDocument/2006/relationships/ctrlProp" Target="../ctrlProps/ctrlProp560.xml"/><Relationship Id="rId25" Type="http://schemas.openxmlformats.org/officeDocument/2006/relationships/ctrlProp" Target="../ctrlProps/ctrlProp568.xml"/><Relationship Id="rId33" Type="http://schemas.openxmlformats.org/officeDocument/2006/relationships/ctrlProp" Target="../ctrlProps/ctrlProp576.xml"/><Relationship Id="rId38" Type="http://schemas.openxmlformats.org/officeDocument/2006/relationships/ctrlProp" Target="../ctrlProps/ctrlProp581.xml"/><Relationship Id="rId46" Type="http://schemas.openxmlformats.org/officeDocument/2006/relationships/ctrlProp" Target="../ctrlProps/ctrlProp589.xml"/><Relationship Id="rId59" Type="http://schemas.openxmlformats.org/officeDocument/2006/relationships/ctrlProp" Target="../ctrlProps/ctrlProp602.xml"/><Relationship Id="rId67" Type="http://schemas.openxmlformats.org/officeDocument/2006/relationships/ctrlProp" Target="../ctrlProps/ctrlProp610.xml"/><Relationship Id="rId20" Type="http://schemas.openxmlformats.org/officeDocument/2006/relationships/ctrlProp" Target="../ctrlProps/ctrlProp563.xml"/><Relationship Id="rId41" Type="http://schemas.openxmlformats.org/officeDocument/2006/relationships/ctrlProp" Target="../ctrlProps/ctrlProp584.xml"/><Relationship Id="rId54" Type="http://schemas.openxmlformats.org/officeDocument/2006/relationships/ctrlProp" Target="../ctrlProps/ctrlProp597.xml"/><Relationship Id="rId62" Type="http://schemas.openxmlformats.org/officeDocument/2006/relationships/ctrlProp" Target="../ctrlProps/ctrlProp60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50.bin"/><Relationship Id="rId1" Type="http://schemas.openxmlformats.org/officeDocument/2006/relationships/printerSettings" Target="../printerSettings/printerSettings49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54.bin"/><Relationship Id="rId1" Type="http://schemas.openxmlformats.org/officeDocument/2006/relationships/printerSettings" Target="../printerSettings/printerSettings53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printerSettings" Target="../printerSettings/printerSettings55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rinterSettings" Target="../printerSettings/printerSettings57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rinterSettings" Target="../printerSettings/printerSettings59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rinterSettings" Target="../printerSettings/printerSettings61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rinterSettings" Target="../printerSettings/printerSettings63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rinterSettings" Target="../printerSettings/printerSettings6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4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5.xml"/><Relationship Id="rId117" Type="http://schemas.openxmlformats.org/officeDocument/2006/relationships/ctrlProp" Target="../ctrlProps/ctrlProp726.xml"/><Relationship Id="rId21" Type="http://schemas.openxmlformats.org/officeDocument/2006/relationships/ctrlProp" Target="../ctrlProps/ctrlProp630.xml"/><Relationship Id="rId42" Type="http://schemas.openxmlformats.org/officeDocument/2006/relationships/ctrlProp" Target="../ctrlProps/ctrlProp651.xml"/><Relationship Id="rId47" Type="http://schemas.openxmlformats.org/officeDocument/2006/relationships/ctrlProp" Target="../ctrlProps/ctrlProp656.xml"/><Relationship Id="rId63" Type="http://schemas.openxmlformats.org/officeDocument/2006/relationships/ctrlProp" Target="../ctrlProps/ctrlProp672.xml"/><Relationship Id="rId68" Type="http://schemas.openxmlformats.org/officeDocument/2006/relationships/ctrlProp" Target="../ctrlProps/ctrlProp677.xml"/><Relationship Id="rId84" Type="http://schemas.openxmlformats.org/officeDocument/2006/relationships/ctrlProp" Target="../ctrlProps/ctrlProp693.xml"/><Relationship Id="rId89" Type="http://schemas.openxmlformats.org/officeDocument/2006/relationships/ctrlProp" Target="../ctrlProps/ctrlProp698.xml"/><Relationship Id="rId112" Type="http://schemas.openxmlformats.org/officeDocument/2006/relationships/ctrlProp" Target="../ctrlProps/ctrlProp721.xml"/><Relationship Id="rId16" Type="http://schemas.openxmlformats.org/officeDocument/2006/relationships/ctrlProp" Target="../ctrlProps/ctrlProp625.xml"/><Relationship Id="rId107" Type="http://schemas.openxmlformats.org/officeDocument/2006/relationships/ctrlProp" Target="../ctrlProps/ctrlProp716.xml"/><Relationship Id="rId11" Type="http://schemas.openxmlformats.org/officeDocument/2006/relationships/ctrlProp" Target="../ctrlProps/ctrlProp620.xml"/><Relationship Id="rId32" Type="http://schemas.openxmlformats.org/officeDocument/2006/relationships/ctrlProp" Target="../ctrlProps/ctrlProp641.xml"/><Relationship Id="rId37" Type="http://schemas.openxmlformats.org/officeDocument/2006/relationships/ctrlProp" Target="../ctrlProps/ctrlProp646.xml"/><Relationship Id="rId53" Type="http://schemas.openxmlformats.org/officeDocument/2006/relationships/ctrlProp" Target="../ctrlProps/ctrlProp662.xml"/><Relationship Id="rId58" Type="http://schemas.openxmlformats.org/officeDocument/2006/relationships/ctrlProp" Target="../ctrlProps/ctrlProp667.xml"/><Relationship Id="rId74" Type="http://schemas.openxmlformats.org/officeDocument/2006/relationships/ctrlProp" Target="../ctrlProps/ctrlProp683.xml"/><Relationship Id="rId79" Type="http://schemas.openxmlformats.org/officeDocument/2006/relationships/ctrlProp" Target="../ctrlProps/ctrlProp688.xml"/><Relationship Id="rId102" Type="http://schemas.openxmlformats.org/officeDocument/2006/relationships/ctrlProp" Target="../ctrlProps/ctrlProp711.xml"/><Relationship Id="rId123" Type="http://schemas.openxmlformats.org/officeDocument/2006/relationships/ctrlProp" Target="../ctrlProps/ctrlProp732.xml"/><Relationship Id="rId5" Type="http://schemas.openxmlformats.org/officeDocument/2006/relationships/ctrlProp" Target="../ctrlProps/ctrlProp614.xml"/><Relationship Id="rId61" Type="http://schemas.openxmlformats.org/officeDocument/2006/relationships/ctrlProp" Target="../ctrlProps/ctrlProp670.xml"/><Relationship Id="rId82" Type="http://schemas.openxmlformats.org/officeDocument/2006/relationships/ctrlProp" Target="../ctrlProps/ctrlProp691.xml"/><Relationship Id="rId90" Type="http://schemas.openxmlformats.org/officeDocument/2006/relationships/ctrlProp" Target="../ctrlProps/ctrlProp699.xml"/><Relationship Id="rId95" Type="http://schemas.openxmlformats.org/officeDocument/2006/relationships/ctrlProp" Target="../ctrlProps/ctrlProp704.xml"/><Relationship Id="rId19" Type="http://schemas.openxmlformats.org/officeDocument/2006/relationships/ctrlProp" Target="../ctrlProps/ctrlProp628.xml"/><Relationship Id="rId14" Type="http://schemas.openxmlformats.org/officeDocument/2006/relationships/ctrlProp" Target="../ctrlProps/ctrlProp623.xml"/><Relationship Id="rId22" Type="http://schemas.openxmlformats.org/officeDocument/2006/relationships/ctrlProp" Target="../ctrlProps/ctrlProp631.xml"/><Relationship Id="rId27" Type="http://schemas.openxmlformats.org/officeDocument/2006/relationships/ctrlProp" Target="../ctrlProps/ctrlProp636.xml"/><Relationship Id="rId30" Type="http://schemas.openxmlformats.org/officeDocument/2006/relationships/ctrlProp" Target="../ctrlProps/ctrlProp639.xml"/><Relationship Id="rId35" Type="http://schemas.openxmlformats.org/officeDocument/2006/relationships/ctrlProp" Target="../ctrlProps/ctrlProp644.xml"/><Relationship Id="rId43" Type="http://schemas.openxmlformats.org/officeDocument/2006/relationships/ctrlProp" Target="../ctrlProps/ctrlProp652.xml"/><Relationship Id="rId48" Type="http://schemas.openxmlformats.org/officeDocument/2006/relationships/ctrlProp" Target="../ctrlProps/ctrlProp657.xml"/><Relationship Id="rId56" Type="http://schemas.openxmlformats.org/officeDocument/2006/relationships/ctrlProp" Target="../ctrlProps/ctrlProp665.xml"/><Relationship Id="rId64" Type="http://schemas.openxmlformats.org/officeDocument/2006/relationships/ctrlProp" Target="../ctrlProps/ctrlProp673.xml"/><Relationship Id="rId69" Type="http://schemas.openxmlformats.org/officeDocument/2006/relationships/ctrlProp" Target="../ctrlProps/ctrlProp678.xml"/><Relationship Id="rId77" Type="http://schemas.openxmlformats.org/officeDocument/2006/relationships/ctrlProp" Target="../ctrlProps/ctrlProp686.xml"/><Relationship Id="rId100" Type="http://schemas.openxmlformats.org/officeDocument/2006/relationships/ctrlProp" Target="../ctrlProps/ctrlProp709.xml"/><Relationship Id="rId105" Type="http://schemas.openxmlformats.org/officeDocument/2006/relationships/ctrlProp" Target="../ctrlProps/ctrlProp714.xml"/><Relationship Id="rId113" Type="http://schemas.openxmlformats.org/officeDocument/2006/relationships/ctrlProp" Target="../ctrlProps/ctrlProp722.xml"/><Relationship Id="rId118" Type="http://schemas.openxmlformats.org/officeDocument/2006/relationships/ctrlProp" Target="../ctrlProps/ctrlProp727.xml"/><Relationship Id="rId8" Type="http://schemas.openxmlformats.org/officeDocument/2006/relationships/ctrlProp" Target="../ctrlProps/ctrlProp617.xml"/><Relationship Id="rId51" Type="http://schemas.openxmlformats.org/officeDocument/2006/relationships/ctrlProp" Target="../ctrlProps/ctrlProp660.xml"/><Relationship Id="rId72" Type="http://schemas.openxmlformats.org/officeDocument/2006/relationships/ctrlProp" Target="../ctrlProps/ctrlProp681.xml"/><Relationship Id="rId80" Type="http://schemas.openxmlformats.org/officeDocument/2006/relationships/ctrlProp" Target="../ctrlProps/ctrlProp689.xml"/><Relationship Id="rId85" Type="http://schemas.openxmlformats.org/officeDocument/2006/relationships/ctrlProp" Target="../ctrlProps/ctrlProp694.xml"/><Relationship Id="rId93" Type="http://schemas.openxmlformats.org/officeDocument/2006/relationships/ctrlProp" Target="../ctrlProps/ctrlProp702.xml"/><Relationship Id="rId98" Type="http://schemas.openxmlformats.org/officeDocument/2006/relationships/ctrlProp" Target="../ctrlProps/ctrlProp707.xml"/><Relationship Id="rId121" Type="http://schemas.openxmlformats.org/officeDocument/2006/relationships/ctrlProp" Target="../ctrlProps/ctrlProp730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1.xml"/><Relationship Id="rId17" Type="http://schemas.openxmlformats.org/officeDocument/2006/relationships/ctrlProp" Target="../ctrlProps/ctrlProp626.xml"/><Relationship Id="rId25" Type="http://schemas.openxmlformats.org/officeDocument/2006/relationships/ctrlProp" Target="../ctrlProps/ctrlProp634.xml"/><Relationship Id="rId33" Type="http://schemas.openxmlformats.org/officeDocument/2006/relationships/ctrlProp" Target="../ctrlProps/ctrlProp642.xml"/><Relationship Id="rId38" Type="http://schemas.openxmlformats.org/officeDocument/2006/relationships/ctrlProp" Target="../ctrlProps/ctrlProp647.xml"/><Relationship Id="rId46" Type="http://schemas.openxmlformats.org/officeDocument/2006/relationships/ctrlProp" Target="../ctrlProps/ctrlProp655.xml"/><Relationship Id="rId59" Type="http://schemas.openxmlformats.org/officeDocument/2006/relationships/ctrlProp" Target="../ctrlProps/ctrlProp668.xml"/><Relationship Id="rId67" Type="http://schemas.openxmlformats.org/officeDocument/2006/relationships/ctrlProp" Target="../ctrlProps/ctrlProp676.xml"/><Relationship Id="rId103" Type="http://schemas.openxmlformats.org/officeDocument/2006/relationships/ctrlProp" Target="../ctrlProps/ctrlProp712.xml"/><Relationship Id="rId108" Type="http://schemas.openxmlformats.org/officeDocument/2006/relationships/ctrlProp" Target="../ctrlProps/ctrlProp717.xml"/><Relationship Id="rId116" Type="http://schemas.openxmlformats.org/officeDocument/2006/relationships/ctrlProp" Target="../ctrlProps/ctrlProp725.xml"/><Relationship Id="rId124" Type="http://schemas.openxmlformats.org/officeDocument/2006/relationships/ctrlProp" Target="../ctrlProps/ctrlProp733.xml"/><Relationship Id="rId20" Type="http://schemas.openxmlformats.org/officeDocument/2006/relationships/ctrlProp" Target="../ctrlProps/ctrlProp629.xml"/><Relationship Id="rId41" Type="http://schemas.openxmlformats.org/officeDocument/2006/relationships/ctrlProp" Target="../ctrlProps/ctrlProp650.xml"/><Relationship Id="rId54" Type="http://schemas.openxmlformats.org/officeDocument/2006/relationships/ctrlProp" Target="../ctrlProps/ctrlProp663.xml"/><Relationship Id="rId62" Type="http://schemas.openxmlformats.org/officeDocument/2006/relationships/ctrlProp" Target="../ctrlProps/ctrlProp671.xml"/><Relationship Id="rId70" Type="http://schemas.openxmlformats.org/officeDocument/2006/relationships/ctrlProp" Target="../ctrlProps/ctrlProp679.xml"/><Relationship Id="rId75" Type="http://schemas.openxmlformats.org/officeDocument/2006/relationships/ctrlProp" Target="../ctrlProps/ctrlProp684.xml"/><Relationship Id="rId83" Type="http://schemas.openxmlformats.org/officeDocument/2006/relationships/ctrlProp" Target="../ctrlProps/ctrlProp692.xml"/><Relationship Id="rId88" Type="http://schemas.openxmlformats.org/officeDocument/2006/relationships/ctrlProp" Target="../ctrlProps/ctrlProp697.xml"/><Relationship Id="rId91" Type="http://schemas.openxmlformats.org/officeDocument/2006/relationships/ctrlProp" Target="../ctrlProps/ctrlProp700.xml"/><Relationship Id="rId96" Type="http://schemas.openxmlformats.org/officeDocument/2006/relationships/ctrlProp" Target="../ctrlProps/ctrlProp705.xml"/><Relationship Id="rId111" Type="http://schemas.openxmlformats.org/officeDocument/2006/relationships/ctrlProp" Target="../ctrlProps/ctrlProp720.xml"/><Relationship Id="rId1" Type="http://schemas.openxmlformats.org/officeDocument/2006/relationships/printerSettings" Target="../printerSettings/printerSettings68.bin"/><Relationship Id="rId6" Type="http://schemas.openxmlformats.org/officeDocument/2006/relationships/ctrlProp" Target="../ctrlProps/ctrlProp615.xml"/><Relationship Id="rId15" Type="http://schemas.openxmlformats.org/officeDocument/2006/relationships/ctrlProp" Target="../ctrlProps/ctrlProp624.xml"/><Relationship Id="rId23" Type="http://schemas.openxmlformats.org/officeDocument/2006/relationships/ctrlProp" Target="../ctrlProps/ctrlProp632.xml"/><Relationship Id="rId28" Type="http://schemas.openxmlformats.org/officeDocument/2006/relationships/ctrlProp" Target="../ctrlProps/ctrlProp637.xml"/><Relationship Id="rId36" Type="http://schemas.openxmlformats.org/officeDocument/2006/relationships/ctrlProp" Target="../ctrlProps/ctrlProp645.xml"/><Relationship Id="rId49" Type="http://schemas.openxmlformats.org/officeDocument/2006/relationships/ctrlProp" Target="../ctrlProps/ctrlProp658.xml"/><Relationship Id="rId57" Type="http://schemas.openxmlformats.org/officeDocument/2006/relationships/ctrlProp" Target="../ctrlProps/ctrlProp666.xml"/><Relationship Id="rId106" Type="http://schemas.openxmlformats.org/officeDocument/2006/relationships/ctrlProp" Target="../ctrlProps/ctrlProp715.xml"/><Relationship Id="rId114" Type="http://schemas.openxmlformats.org/officeDocument/2006/relationships/ctrlProp" Target="../ctrlProps/ctrlProp723.xml"/><Relationship Id="rId119" Type="http://schemas.openxmlformats.org/officeDocument/2006/relationships/ctrlProp" Target="../ctrlProps/ctrlProp728.xml"/><Relationship Id="rId10" Type="http://schemas.openxmlformats.org/officeDocument/2006/relationships/ctrlProp" Target="../ctrlProps/ctrlProp619.xml"/><Relationship Id="rId31" Type="http://schemas.openxmlformats.org/officeDocument/2006/relationships/ctrlProp" Target="../ctrlProps/ctrlProp640.xml"/><Relationship Id="rId44" Type="http://schemas.openxmlformats.org/officeDocument/2006/relationships/ctrlProp" Target="../ctrlProps/ctrlProp653.xml"/><Relationship Id="rId52" Type="http://schemas.openxmlformats.org/officeDocument/2006/relationships/ctrlProp" Target="../ctrlProps/ctrlProp661.xml"/><Relationship Id="rId60" Type="http://schemas.openxmlformats.org/officeDocument/2006/relationships/ctrlProp" Target="../ctrlProps/ctrlProp669.xml"/><Relationship Id="rId65" Type="http://schemas.openxmlformats.org/officeDocument/2006/relationships/ctrlProp" Target="../ctrlProps/ctrlProp674.xml"/><Relationship Id="rId73" Type="http://schemas.openxmlformats.org/officeDocument/2006/relationships/ctrlProp" Target="../ctrlProps/ctrlProp682.xml"/><Relationship Id="rId78" Type="http://schemas.openxmlformats.org/officeDocument/2006/relationships/ctrlProp" Target="../ctrlProps/ctrlProp687.xml"/><Relationship Id="rId81" Type="http://schemas.openxmlformats.org/officeDocument/2006/relationships/ctrlProp" Target="../ctrlProps/ctrlProp690.xml"/><Relationship Id="rId86" Type="http://schemas.openxmlformats.org/officeDocument/2006/relationships/ctrlProp" Target="../ctrlProps/ctrlProp695.xml"/><Relationship Id="rId94" Type="http://schemas.openxmlformats.org/officeDocument/2006/relationships/ctrlProp" Target="../ctrlProps/ctrlProp703.xml"/><Relationship Id="rId99" Type="http://schemas.openxmlformats.org/officeDocument/2006/relationships/ctrlProp" Target="../ctrlProps/ctrlProp708.xml"/><Relationship Id="rId101" Type="http://schemas.openxmlformats.org/officeDocument/2006/relationships/ctrlProp" Target="../ctrlProps/ctrlProp710.xml"/><Relationship Id="rId122" Type="http://schemas.openxmlformats.org/officeDocument/2006/relationships/ctrlProp" Target="../ctrlProps/ctrlProp731.xml"/><Relationship Id="rId4" Type="http://schemas.openxmlformats.org/officeDocument/2006/relationships/ctrlProp" Target="../ctrlProps/ctrlProp613.xml"/><Relationship Id="rId9" Type="http://schemas.openxmlformats.org/officeDocument/2006/relationships/ctrlProp" Target="../ctrlProps/ctrlProp618.xml"/><Relationship Id="rId13" Type="http://schemas.openxmlformats.org/officeDocument/2006/relationships/ctrlProp" Target="../ctrlProps/ctrlProp622.xml"/><Relationship Id="rId18" Type="http://schemas.openxmlformats.org/officeDocument/2006/relationships/ctrlProp" Target="../ctrlProps/ctrlProp627.xml"/><Relationship Id="rId39" Type="http://schemas.openxmlformats.org/officeDocument/2006/relationships/ctrlProp" Target="../ctrlProps/ctrlProp648.xml"/><Relationship Id="rId109" Type="http://schemas.openxmlformats.org/officeDocument/2006/relationships/ctrlProp" Target="../ctrlProps/ctrlProp718.xml"/><Relationship Id="rId34" Type="http://schemas.openxmlformats.org/officeDocument/2006/relationships/ctrlProp" Target="../ctrlProps/ctrlProp643.xml"/><Relationship Id="rId50" Type="http://schemas.openxmlformats.org/officeDocument/2006/relationships/ctrlProp" Target="../ctrlProps/ctrlProp659.xml"/><Relationship Id="rId55" Type="http://schemas.openxmlformats.org/officeDocument/2006/relationships/ctrlProp" Target="../ctrlProps/ctrlProp664.xml"/><Relationship Id="rId76" Type="http://schemas.openxmlformats.org/officeDocument/2006/relationships/ctrlProp" Target="../ctrlProps/ctrlProp685.xml"/><Relationship Id="rId97" Type="http://schemas.openxmlformats.org/officeDocument/2006/relationships/ctrlProp" Target="../ctrlProps/ctrlProp706.xml"/><Relationship Id="rId104" Type="http://schemas.openxmlformats.org/officeDocument/2006/relationships/ctrlProp" Target="../ctrlProps/ctrlProp713.xml"/><Relationship Id="rId120" Type="http://schemas.openxmlformats.org/officeDocument/2006/relationships/ctrlProp" Target="../ctrlProps/ctrlProp729.xml"/><Relationship Id="rId125" Type="http://schemas.openxmlformats.org/officeDocument/2006/relationships/ctrlProp" Target="../ctrlProps/ctrlProp734.xml"/><Relationship Id="rId7" Type="http://schemas.openxmlformats.org/officeDocument/2006/relationships/ctrlProp" Target="../ctrlProps/ctrlProp616.xml"/><Relationship Id="rId71" Type="http://schemas.openxmlformats.org/officeDocument/2006/relationships/ctrlProp" Target="../ctrlProps/ctrlProp680.xml"/><Relationship Id="rId92" Type="http://schemas.openxmlformats.org/officeDocument/2006/relationships/ctrlProp" Target="../ctrlProps/ctrlProp701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8.xml"/><Relationship Id="rId24" Type="http://schemas.openxmlformats.org/officeDocument/2006/relationships/ctrlProp" Target="../ctrlProps/ctrlProp633.xml"/><Relationship Id="rId40" Type="http://schemas.openxmlformats.org/officeDocument/2006/relationships/ctrlProp" Target="../ctrlProps/ctrlProp649.xml"/><Relationship Id="rId45" Type="http://schemas.openxmlformats.org/officeDocument/2006/relationships/ctrlProp" Target="../ctrlProps/ctrlProp654.xml"/><Relationship Id="rId66" Type="http://schemas.openxmlformats.org/officeDocument/2006/relationships/ctrlProp" Target="../ctrlProps/ctrlProp675.xml"/><Relationship Id="rId87" Type="http://schemas.openxmlformats.org/officeDocument/2006/relationships/ctrlProp" Target="../ctrlProps/ctrlProp696.xml"/><Relationship Id="rId110" Type="http://schemas.openxmlformats.org/officeDocument/2006/relationships/ctrlProp" Target="../ctrlProps/ctrlProp719.xml"/><Relationship Id="rId115" Type="http://schemas.openxmlformats.org/officeDocument/2006/relationships/ctrlProp" Target="../ctrlProps/ctrlProp724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3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5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7.xml"/><Relationship Id="rId117" Type="http://schemas.openxmlformats.org/officeDocument/2006/relationships/ctrlProp" Target="../ctrlProps/ctrlProp848.xml"/><Relationship Id="rId21" Type="http://schemas.openxmlformats.org/officeDocument/2006/relationships/ctrlProp" Target="../ctrlProps/ctrlProp752.xml"/><Relationship Id="rId42" Type="http://schemas.openxmlformats.org/officeDocument/2006/relationships/ctrlProp" Target="../ctrlProps/ctrlProp773.xml"/><Relationship Id="rId47" Type="http://schemas.openxmlformats.org/officeDocument/2006/relationships/ctrlProp" Target="../ctrlProps/ctrlProp778.xml"/><Relationship Id="rId63" Type="http://schemas.openxmlformats.org/officeDocument/2006/relationships/ctrlProp" Target="../ctrlProps/ctrlProp794.xml"/><Relationship Id="rId68" Type="http://schemas.openxmlformats.org/officeDocument/2006/relationships/ctrlProp" Target="../ctrlProps/ctrlProp799.xml"/><Relationship Id="rId84" Type="http://schemas.openxmlformats.org/officeDocument/2006/relationships/ctrlProp" Target="../ctrlProps/ctrlProp815.xml"/><Relationship Id="rId89" Type="http://schemas.openxmlformats.org/officeDocument/2006/relationships/ctrlProp" Target="../ctrlProps/ctrlProp820.xml"/><Relationship Id="rId112" Type="http://schemas.openxmlformats.org/officeDocument/2006/relationships/ctrlProp" Target="../ctrlProps/ctrlProp843.xml"/><Relationship Id="rId16" Type="http://schemas.openxmlformats.org/officeDocument/2006/relationships/ctrlProp" Target="../ctrlProps/ctrlProp747.xml"/><Relationship Id="rId107" Type="http://schemas.openxmlformats.org/officeDocument/2006/relationships/ctrlProp" Target="../ctrlProps/ctrlProp838.xml"/><Relationship Id="rId11" Type="http://schemas.openxmlformats.org/officeDocument/2006/relationships/ctrlProp" Target="../ctrlProps/ctrlProp742.xml"/><Relationship Id="rId32" Type="http://schemas.openxmlformats.org/officeDocument/2006/relationships/ctrlProp" Target="../ctrlProps/ctrlProp763.xml"/><Relationship Id="rId37" Type="http://schemas.openxmlformats.org/officeDocument/2006/relationships/ctrlProp" Target="../ctrlProps/ctrlProp768.xml"/><Relationship Id="rId53" Type="http://schemas.openxmlformats.org/officeDocument/2006/relationships/ctrlProp" Target="../ctrlProps/ctrlProp784.xml"/><Relationship Id="rId58" Type="http://schemas.openxmlformats.org/officeDocument/2006/relationships/ctrlProp" Target="../ctrlProps/ctrlProp789.xml"/><Relationship Id="rId74" Type="http://schemas.openxmlformats.org/officeDocument/2006/relationships/ctrlProp" Target="../ctrlProps/ctrlProp805.xml"/><Relationship Id="rId79" Type="http://schemas.openxmlformats.org/officeDocument/2006/relationships/ctrlProp" Target="../ctrlProps/ctrlProp810.xml"/><Relationship Id="rId102" Type="http://schemas.openxmlformats.org/officeDocument/2006/relationships/ctrlProp" Target="../ctrlProps/ctrlProp833.xml"/><Relationship Id="rId123" Type="http://schemas.openxmlformats.org/officeDocument/2006/relationships/ctrlProp" Target="../ctrlProps/ctrlProp854.xml"/><Relationship Id="rId5" Type="http://schemas.openxmlformats.org/officeDocument/2006/relationships/ctrlProp" Target="../ctrlProps/ctrlProp736.xml"/><Relationship Id="rId61" Type="http://schemas.openxmlformats.org/officeDocument/2006/relationships/ctrlProp" Target="../ctrlProps/ctrlProp792.xml"/><Relationship Id="rId82" Type="http://schemas.openxmlformats.org/officeDocument/2006/relationships/ctrlProp" Target="../ctrlProps/ctrlProp813.xml"/><Relationship Id="rId90" Type="http://schemas.openxmlformats.org/officeDocument/2006/relationships/ctrlProp" Target="../ctrlProps/ctrlProp821.xml"/><Relationship Id="rId95" Type="http://schemas.openxmlformats.org/officeDocument/2006/relationships/ctrlProp" Target="../ctrlProps/ctrlProp826.xml"/><Relationship Id="rId19" Type="http://schemas.openxmlformats.org/officeDocument/2006/relationships/ctrlProp" Target="../ctrlProps/ctrlProp750.xml"/><Relationship Id="rId14" Type="http://schemas.openxmlformats.org/officeDocument/2006/relationships/ctrlProp" Target="../ctrlProps/ctrlProp745.xml"/><Relationship Id="rId22" Type="http://schemas.openxmlformats.org/officeDocument/2006/relationships/ctrlProp" Target="../ctrlProps/ctrlProp753.xml"/><Relationship Id="rId27" Type="http://schemas.openxmlformats.org/officeDocument/2006/relationships/ctrlProp" Target="../ctrlProps/ctrlProp758.xml"/><Relationship Id="rId30" Type="http://schemas.openxmlformats.org/officeDocument/2006/relationships/ctrlProp" Target="../ctrlProps/ctrlProp761.xml"/><Relationship Id="rId35" Type="http://schemas.openxmlformats.org/officeDocument/2006/relationships/ctrlProp" Target="../ctrlProps/ctrlProp766.xml"/><Relationship Id="rId43" Type="http://schemas.openxmlformats.org/officeDocument/2006/relationships/ctrlProp" Target="../ctrlProps/ctrlProp774.xml"/><Relationship Id="rId48" Type="http://schemas.openxmlformats.org/officeDocument/2006/relationships/ctrlProp" Target="../ctrlProps/ctrlProp779.xml"/><Relationship Id="rId56" Type="http://schemas.openxmlformats.org/officeDocument/2006/relationships/ctrlProp" Target="../ctrlProps/ctrlProp787.xml"/><Relationship Id="rId64" Type="http://schemas.openxmlformats.org/officeDocument/2006/relationships/ctrlProp" Target="../ctrlProps/ctrlProp795.xml"/><Relationship Id="rId69" Type="http://schemas.openxmlformats.org/officeDocument/2006/relationships/ctrlProp" Target="../ctrlProps/ctrlProp800.xml"/><Relationship Id="rId77" Type="http://schemas.openxmlformats.org/officeDocument/2006/relationships/ctrlProp" Target="../ctrlProps/ctrlProp808.xml"/><Relationship Id="rId100" Type="http://schemas.openxmlformats.org/officeDocument/2006/relationships/ctrlProp" Target="../ctrlProps/ctrlProp831.xml"/><Relationship Id="rId105" Type="http://schemas.openxmlformats.org/officeDocument/2006/relationships/ctrlProp" Target="../ctrlProps/ctrlProp836.xml"/><Relationship Id="rId113" Type="http://schemas.openxmlformats.org/officeDocument/2006/relationships/ctrlProp" Target="../ctrlProps/ctrlProp844.xml"/><Relationship Id="rId118" Type="http://schemas.openxmlformats.org/officeDocument/2006/relationships/ctrlProp" Target="../ctrlProps/ctrlProp849.xml"/><Relationship Id="rId8" Type="http://schemas.openxmlformats.org/officeDocument/2006/relationships/ctrlProp" Target="../ctrlProps/ctrlProp739.xml"/><Relationship Id="rId51" Type="http://schemas.openxmlformats.org/officeDocument/2006/relationships/ctrlProp" Target="../ctrlProps/ctrlProp782.xml"/><Relationship Id="rId72" Type="http://schemas.openxmlformats.org/officeDocument/2006/relationships/ctrlProp" Target="../ctrlProps/ctrlProp803.xml"/><Relationship Id="rId80" Type="http://schemas.openxmlformats.org/officeDocument/2006/relationships/ctrlProp" Target="../ctrlProps/ctrlProp811.xml"/><Relationship Id="rId85" Type="http://schemas.openxmlformats.org/officeDocument/2006/relationships/ctrlProp" Target="../ctrlProps/ctrlProp816.xml"/><Relationship Id="rId93" Type="http://schemas.openxmlformats.org/officeDocument/2006/relationships/ctrlProp" Target="../ctrlProps/ctrlProp824.xml"/><Relationship Id="rId98" Type="http://schemas.openxmlformats.org/officeDocument/2006/relationships/ctrlProp" Target="../ctrlProps/ctrlProp829.xml"/><Relationship Id="rId121" Type="http://schemas.openxmlformats.org/officeDocument/2006/relationships/ctrlProp" Target="../ctrlProps/ctrlProp852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43.xml"/><Relationship Id="rId17" Type="http://schemas.openxmlformats.org/officeDocument/2006/relationships/ctrlProp" Target="../ctrlProps/ctrlProp748.xml"/><Relationship Id="rId25" Type="http://schemas.openxmlformats.org/officeDocument/2006/relationships/ctrlProp" Target="../ctrlProps/ctrlProp756.xml"/><Relationship Id="rId33" Type="http://schemas.openxmlformats.org/officeDocument/2006/relationships/ctrlProp" Target="../ctrlProps/ctrlProp764.xml"/><Relationship Id="rId38" Type="http://schemas.openxmlformats.org/officeDocument/2006/relationships/ctrlProp" Target="../ctrlProps/ctrlProp769.xml"/><Relationship Id="rId46" Type="http://schemas.openxmlformats.org/officeDocument/2006/relationships/ctrlProp" Target="../ctrlProps/ctrlProp777.xml"/><Relationship Id="rId59" Type="http://schemas.openxmlformats.org/officeDocument/2006/relationships/ctrlProp" Target="../ctrlProps/ctrlProp790.xml"/><Relationship Id="rId67" Type="http://schemas.openxmlformats.org/officeDocument/2006/relationships/ctrlProp" Target="../ctrlProps/ctrlProp798.xml"/><Relationship Id="rId103" Type="http://schemas.openxmlformats.org/officeDocument/2006/relationships/ctrlProp" Target="../ctrlProps/ctrlProp834.xml"/><Relationship Id="rId108" Type="http://schemas.openxmlformats.org/officeDocument/2006/relationships/ctrlProp" Target="../ctrlProps/ctrlProp839.xml"/><Relationship Id="rId116" Type="http://schemas.openxmlformats.org/officeDocument/2006/relationships/ctrlProp" Target="../ctrlProps/ctrlProp847.xml"/><Relationship Id="rId124" Type="http://schemas.openxmlformats.org/officeDocument/2006/relationships/ctrlProp" Target="../ctrlProps/ctrlProp855.xml"/><Relationship Id="rId20" Type="http://schemas.openxmlformats.org/officeDocument/2006/relationships/ctrlProp" Target="../ctrlProps/ctrlProp751.xml"/><Relationship Id="rId41" Type="http://schemas.openxmlformats.org/officeDocument/2006/relationships/ctrlProp" Target="../ctrlProps/ctrlProp772.xml"/><Relationship Id="rId54" Type="http://schemas.openxmlformats.org/officeDocument/2006/relationships/ctrlProp" Target="../ctrlProps/ctrlProp785.xml"/><Relationship Id="rId62" Type="http://schemas.openxmlformats.org/officeDocument/2006/relationships/ctrlProp" Target="../ctrlProps/ctrlProp793.xml"/><Relationship Id="rId70" Type="http://schemas.openxmlformats.org/officeDocument/2006/relationships/ctrlProp" Target="../ctrlProps/ctrlProp801.xml"/><Relationship Id="rId75" Type="http://schemas.openxmlformats.org/officeDocument/2006/relationships/ctrlProp" Target="../ctrlProps/ctrlProp806.xml"/><Relationship Id="rId83" Type="http://schemas.openxmlformats.org/officeDocument/2006/relationships/ctrlProp" Target="../ctrlProps/ctrlProp814.xml"/><Relationship Id="rId88" Type="http://schemas.openxmlformats.org/officeDocument/2006/relationships/ctrlProp" Target="../ctrlProps/ctrlProp819.xml"/><Relationship Id="rId91" Type="http://schemas.openxmlformats.org/officeDocument/2006/relationships/ctrlProp" Target="../ctrlProps/ctrlProp822.xml"/><Relationship Id="rId96" Type="http://schemas.openxmlformats.org/officeDocument/2006/relationships/ctrlProp" Target="../ctrlProps/ctrlProp827.xml"/><Relationship Id="rId111" Type="http://schemas.openxmlformats.org/officeDocument/2006/relationships/ctrlProp" Target="../ctrlProps/ctrlProp842.xml"/><Relationship Id="rId1" Type="http://schemas.openxmlformats.org/officeDocument/2006/relationships/printerSettings" Target="../printerSettings/printerSettings76.bin"/><Relationship Id="rId6" Type="http://schemas.openxmlformats.org/officeDocument/2006/relationships/ctrlProp" Target="../ctrlProps/ctrlProp737.xml"/><Relationship Id="rId15" Type="http://schemas.openxmlformats.org/officeDocument/2006/relationships/ctrlProp" Target="../ctrlProps/ctrlProp746.xml"/><Relationship Id="rId23" Type="http://schemas.openxmlformats.org/officeDocument/2006/relationships/ctrlProp" Target="../ctrlProps/ctrlProp754.xml"/><Relationship Id="rId28" Type="http://schemas.openxmlformats.org/officeDocument/2006/relationships/ctrlProp" Target="../ctrlProps/ctrlProp759.xml"/><Relationship Id="rId36" Type="http://schemas.openxmlformats.org/officeDocument/2006/relationships/ctrlProp" Target="../ctrlProps/ctrlProp767.xml"/><Relationship Id="rId49" Type="http://schemas.openxmlformats.org/officeDocument/2006/relationships/ctrlProp" Target="../ctrlProps/ctrlProp780.xml"/><Relationship Id="rId57" Type="http://schemas.openxmlformats.org/officeDocument/2006/relationships/ctrlProp" Target="../ctrlProps/ctrlProp788.xml"/><Relationship Id="rId106" Type="http://schemas.openxmlformats.org/officeDocument/2006/relationships/ctrlProp" Target="../ctrlProps/ctrlProp837.xml"/><Relationship Id="rId114" Type="http://schemas.openxmlformats.org/officeDocument/2006/relationships/ctrlProp" Target="../ctrlProps/ctrlProp845.xml"/><Relationship Id="rId119" Type="http://schemas.openxmlformats.org/officeDocument/2006/relationships/ctrlProp" Target="../ctrlProps/ctrlProp850.xml"/><Relationship Id="rId10" Type="http://schemas.openxmlformats.org/officeDocument/2006/relationships/ctrlProp" Target="../ctrlProps/ctrlProp741.xml"/><Relationship Id="rId31" Type="http://schemas.openxmlformats.org/officeDocument/2006/relationships/ctrlProp" Target="../ctrlProps/ctrlProp762.xml"/><Relationship Id="rId44" Type="http://schemas.openxmlformats.org/officeDocument/2006/relationships/ctrlProp" Target="../ctrlProps/ctrlProp775.xml"/><Relationship Id="rId52" Type="http://schemas.openxmlformats.org/officeDocument/2006/relationships/ctrlProp" Target="../ctrlProps/ctrlProp783.xml"/><Relationship Id="rId60" Type="http://schemas.openxmlformats.org/officeDocument/2006/relationships/ctrlProp" Target="../ctrlProps/ctrlProp791.xml"/><Relationship Id="rId65" Type="http://schemas.openxmlformats.org/officeDocument/2006/relationships/ctrlProp" Target="../ctrlProps/ctrlProp796.xml"/><Relationship Id="rId73" Type="http://schemas.openxmlformats.org/officeDocument/2006/relationships/ctrlProp" Target="../ctrlProps/ctrlProp804.xml"/><Relationship Id="rId78" Type="http://schemas.openxmlformats.org/officeDocument/2006/relationships/ctrlProp" Target="../ctrlProps/ctrlProp809.xml"/><Relationship Id="rId81" Type="http://schemas.openxmlformats.org/officeDocument/2006/relationships/ctrlProp" Target="../ctrlProps/ctrlProp812.xml"/><Relationship Id="rId86" Type="http://schemas.openxmlformats.org/officeDocument/2006/relationships/ctrlProp" Target="../ctrlProps/ctrlProp817.xml"/><Relationship Id="rId94" Type="http://schemas.openxmlformats.org/officeDocument/2006/relationships/ctrlProp" Target="../ctrlProps/ctrlProp825.xml"/><Relationship Id="rId99" Type="http://schemas.openxmlformats.org/officeDocument/2006/relationships/ctrlProp" Target="../ctrlProps/ctrlProp830.xml"/><Relationship Id="rId101" Type="http://schemas.openxmlformats.org/officeDocument/2006/relationships/ctrlProp" Target="../ctrlProps/ctrlProp832.xml"/><Relationship Id="rId122" Type="http://schemas.openxmlformats.org/officeDocument/2006/relationships/ctrlProp" Target="../ctrlProps/ctrlProp853.xml"/><Relationship Id="rId4" Type="http://schemas.openxmlformats.org/officeDocument/2006/relationships/ctrlProp" Target="../ctrlProps/ctrlProp735.xml"/><Relationship Id="rId9" Type="http://schemas.openxmlformats.org/officeDocument/2006/relationships/ctrlProp" Target="../ctrlProps/ctrlProp740.xml"/><Relationship Id="rId13" Type="http://schemas.openxmlformats.org/officeDocument/2006/relationships/ctrlProp" Target="../ctrlProps/ctrlProp744.xml"/><Relationship Id="rId18" Type="http://schemas.openxmlformats.org/officeDocument/2006/relationships/ctrlProp" Target="../ctrlProps/ctrlProp749.xml"/><Relationship Id="rId39" Type="http://schemas.openxmlformats.org/officeDocument/2006/relationships/ctrlProp" Target="../ctrlProps/ctrlProp770.xml"/><Relationship Id="rId109" Type="http://schemas.openxmlformats.org/officeDocument/2006/relationships/ctrlProp" Target="../ctrlProps/ctrlProp840.xml"/><Relationship Id="rId34" Type="http://schemas.openxmlformats.org/officeDocument/2006/relationships/ctrlProp" Target="../ctrlProps/ctrlProp765.xml"/><Relationship Id="rId50" Type="http://schemas.openxmlformats.org/officeDocument/2006/relationships/ctrlProp" Target="../ctrlProps/ctrlProp781.xml"/><Relationship Id="rId55" Type="http://schemas.openxmlformats.org/officeDocument/2006/relationships/ctrlProp" Target="../ctrlProps/ctrlProp786.xml"/><Relationship Id="rId76" Type="http://schemas.openxmlformats.org/officeDocument/2006/relationships/ctrlProp" Target="../ctrlProps/ctrlProp807.xml"/><Relationship Id="rId97" Type="http://schemas.openxmlformats.org/officeDocument/2006/relationships/ctrlProp" Target="../ctrlProps/ctrlProp828.xml"/><Relationship Id="rId104" Type="http://schemas.openxmlformats.org/officeDocument/2006/relationships/ctrlProp" Target="../ctrlProps/ctrlProp835.xml"/><Relationship Id="rId120" Type="http://schemas.openxmlformats.org/officeDocument/2006/relationships/ctrlProp" Target="../ctrlProps/ctrlProp851.xml"/><Relationship Id="rId7" Type="http://schemas.openxmlformats.org/officeDocument/2006/relationships/ctrlProp" Target="../ctrlProps/ctrlProp738.xml"/><Relationship Id="rId71" Type="http://schemas.openxmlformats.org/officeDocument/2006/relationships/ctrlProp" Target="../ctrlProps/ctrlProp802.xml"/><Relationship Id="rId92" Type="http://schemas.openxmlformats.org/officeDocument/2006/relationships/ctrlProp" Target="../ctrlProps/ctrlProp823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60.xml"/><Relationship Id="rId24" Type="http://schemas.openxmlformats.org/officeDocument/2006/relationships/ctrlProp" Target="../ctrlProps/ctrlProp755.xml"/><Relationship Id="rId40" Type="http://schemas.openxmlformats.org/officeDocument/2006/relationships/ctrlProp" Target="../ctrlProps/ctrlProp771.xml"/><Relationship Id="rId45" Type="http://schemas.openxmlformats.org/officeDocument/2006/relationships/ctrlProp" Target="../ctrlProps/ctrlProp776.xml"/><Relationship Id="rId66" Type="http://schemas.openxmlformats.org/officeDocument/2006/relationships/ctrlProp" Target="../ctrlProps/ctrlProp797.xml"/><Relationship Id="rId87" Type="http://schemas.openxmlformats.org/officeDocument/2006/relationships/ctrlProp" Target="../ctrlProps/ctrlProp818.xml"/><Relationship Id="rId110" Type="http://schemas.openxmlformats.org/officeDocument/2006/relationships/ctrlProp" Target="../ctrlProps/ctrlProp841.xml"/><Relationship Id="rId115" Type="http://schemas.openxmlformats.org/officeDocument/2006/relationships/ctrlProp" Target="../ctrlProps/ctrlProp846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5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69.xml"/><Relationship Id="rId21" Type="http://schemas.openxmlformats.org/officeDocument/2006/relationships/ctrlProp" Target="../ctrlProps/ctrlProp873.xml"/><Relationship Id="rId42" Type="http://schemas.openxmlformats.org/officeDocument/2006/relationships/ctrlProp" Target="../ctrlProps/ctrlProp894.xml"/><Relationship Id="rId63" Type="http://schemas.openxmlformats.org/officeDocument/2006/relationships/ctrlProp" Target="../ctrlProps/ctrlProp915.xml"/><Relationship Id="rId84" Type="http://schemas.openxmlformats.org/officeDocument/2006/relationships/ctrlProp" Target="../ctrlProps/ctrlProp936.xml"/><Relationship Id="rId138" Type="http://schemas.openxmlformats.org/officeDocument/2006/relationships/ctrlProp" Target="../ctrlProps/ctrlProp990.xml"/><Relationship Id="rId159" Type="http://schemas.openxmlformats.org/officeDocument/2006/relationships/ctrlProp" Target="../ctrlProps/ctrlProp1011.xml"/><Relationship Id="rId170" Type="http://schemas.openxmlformats.org/officeDocument/2006/relationships/ctrlProp" Target="../ctrlProps/ctrlProp1022.xml"/><Relationship Id="rId191" Type="http://schemas.openxmlformats.org/officeDocument/2006/relationships/ctrlProp" Target="../ctrlProps/ctrlProp1043.xml"/><Relationship Id="rId205" Type="http://schemas.openxmlformats.org/officeDocument/2006/relationships/ctrlProp" Target="../ctrlProps/ctrlProp1057.xml"/><Relationship Id="rId226" Type="http://schemas.openxmlformats.org/officeDocument/2006/relationships/ctrlProp" Target="../ctrlProps/ctrlProp1078.xml"/><Relationship Id="rId247" Type="http://schemas.openxmlformats.org/officeDocument/2006/relationships/ctrlProp" Target="../ctrlProps/ctrlProp1099.xml"/><Relationship Id="rId107" Type="http://schemas.openxmlformats.org/officeDocument/2006/relationships/ctrlProp" Target="../ctrlProps/ctrlProp959.xml"/><Relationship Id="rId268" Type="http://schemas.openxmlformats.org/officeDocument/2006/relationships/ctrlProp" Target="../ctrlProps/ctrlProp1120.xml"/><Relationship Id="rId11" Type="http://schemas.openxmlformats.org/officeDocument/2006/relationships/ctrlProp" Target="../ctrlProps/ctrlProp863.xml"/><Relationship Id="rId32" Type="http://schemas.openxmlformats.org/officeDocument/2006/relationships/ctrlProp" Target="../ctrlProps/ctrlProp884.xml"/><Relationship Id="rId53" Type="http://schemas.openxmlformats.org/officeDocument/2006/relationships/ctrlProp" Target="../ctrlProps/ctrlProp905.xml"/><Relationship Id="rId74" Type="http://schemas.openxmlformats.org/officeDocument/2006/relationships/ctrlProp" Target="../ctrlProps/ctrlProp926.xml"/><Relationship Id="rId128" Type="http://schemas.openxmlformats.org/officeDocument/2006/relationships/ctrlProp" Target="../ctrlProps/ctrlProp980.xml"/><Relationship Id="rId149" Type="http://schemas.openxmlformats.org/officeDocument/2006/relationships/ctrlProp" Target="../ctrlProps/ctrlProp1001.xml"/><Relationship Id="rId5" Type="http://schemas.openxmlformats.org/officeDocument/2006/relationships/ctrlProp" Target="../ctrlProps/ctrlProp857.xml"/><Relationship Id="rId95" Type="http://schemas.openxmlformats.org/officeDocument/2006/relationships/ctrlProp" Target="../ctrlProps/ctrlProp947.xml"/><Relationship Id="rId160" Type="http://schemas.openxmlformats.org/officeDocument/2006/relationships/ctrlProp" Target="../ctrlProps/ctrlProp1012.xml"/><Relationship Id="rId181" Type="http://schemas.openxmlformats.org/officeDocument/2006/relationships/ctrlProp" Target="../ctrlProps/ctrlProp1033.xml"/><Relationship Id="rId216" Type="http://schemas.openxmlformats.org/officeDocument/2006/relationships/ctrlProp" Target="../ctrlProps/ctrlProp1068.xml"/><Relationship Id="rId237" Type="http://schemas.openxmlformats.org/officeDocument/2006/relationships/ctrlProp" Target="../ctrlProps/ctrlProp1089.xml"/><Relationship Id="rId258" Type="http://schemas.openxmlformats.org/officeDocument/2006/relationships/ctrlProp" Target="../ctrlProps/ctrlProp1110.xml"/><Relationship Id="rId279" Type="http://schemas.openxmlformats.org/officeDocument/2006/relationships/ctrlProp" Target="../ctrlProps/ctrlProp1131.xml"/><Relationship Id="rId22" Type="http://schemas.openxmlformats.org/officeDocument/2006/relationships/ctrlProp" Target="../ctrlProps/ctrlProp874.xml"/><Relationship Id="rId43" Type="http://schemas.openxmlformats.org/officeDocument/2006/relationships/ctrlProp" Target="../ctrlProps/ctrlProp895.xml"/><Relationship Id="rId64" Type="http://schemas.openxmlformats.org/officeDocument/2006/relationships/ctrlProp" Target="../ctrlProps/ctrlProp916.xml"/><Relationship Id="rId118" Type="http://schemas.openxmlformats.org/officeDocument/2006/relationships/ctrlProp" Target="../ctrlProps/ctrlProp970.xml"/><Relationship Id="rId139" Type="http://schemas.openxmlformats.org/officeDocument/2006/relationships/ctrlProp" Target="../ctrlProps/ctrlProp991.xml"/><Relationship Id="rId85" Type="http://schemas.openxmlformats.org/officeDocument/2006/relationships/ctrlProp" Target="../ctrlProps/ctrlProp937.xml"/><Relationship Id="rId150" Type="http://schemas.openxmlformats.org/officeDocument/2006/relationships/ctrlProp" Target="../ctrlProps/ctrlProp1002.xml"/><Relationship Id="rId171" Type="http://schemas.openxmlformats.org/officeDocument/2006/relationships/ctrlProp" Target="../ctrlProps/ctrlProp1023.xml"/><Relationship Id="rId192" Type="http://schemas.openxmlformats.org/officeDocument/2006/relationships/ctrlProp" Target="../ctrlProps/ctrlProp1044.xml"/><Relationship Id="rId206" Type="http://schemas.openxmlformats.org/officeDocument/2006/relationships/ctrlProp" Target="../ctrlProps/ctrlProp1058.xml"/><Relationship Id="rId227" Type="http://schemas.openxmlformats.org/officeDocument/2006/relationships/ctrlProp" Target="../ctrlProps/ctrlProp1079.xml"/><Relationship Id="rId248" Type="http://schemas.openxmlformats.org/officeDocument/2006/relationships/ctrlProp" Target="../ctrlProps/ctrlProp1100.xml"/><Relationship Id="rId269" Type="http://schemas.openxmlformats.org/officeDocument/2006/relationships/ctrlProp" Target="../ctrlProps/ctrlProp1121.xml"/><Relationship Id="rId12" Type="http://schemas.openxmlformats.org/officeDocument/2006/relationships/ctrlProp" Target="../ctrlProps/ctrlProp864.xml"/><Relationship Id="rId33" Type="http://schemas.openxmlformats.org/officeDocument/2006/relationships/ctrlProp" Target="../ctrlProps/ctrlProp885.xml"/><Relationship Id="rId108" Type="http://schemas.openxmlformats.org/officeDocument/2006/relationships/ctrlProp" Target="../ctrlProps/ctrlProp960.xml"/><Relationship Id="rId129" Type="http://schemas.openxmlformats.org/officeDocument/2006/relationships/ctrlProp" Target="../ctrlProps/ctrlProp981.xml"/><Relationship Id="rId280" Type="http://schemas.openxmlformats.org/officeDocument/2006/relationships/ctrlProp" Target="../ctrlProps/ctrlProp1132.xml"/><Relationship Id="rId54" Type="http://schemas.openxmlformats.org/officeDocument/2006/relationships/ctrlProp" Target="../ctrlProps/ctrlProp906.xml"/><Relationship Id="rId75" Type="http://schemas.openxmlformats.org/officeDocument/2006/relationships/ctrlProp" Target="../ctrlProps/ctrlProp927.xml"/><Relationship Id="rId96" Type="http://schemas.openxmlformats.org/officeDocument/2006/relationships/ctrlProp" Target="../ctrlProps/ctrlProp948.xml"/><Relationship Id="rId140" Type="http://schemas.openxmlformats.org/officeDocument/2006/relationships/ctrlProp" Target="../ctrlProps/ctrlProp992.xml"/><Relationship Id="rId161" Type="http://schemas.openxmlformats.org/officeDocument/2006/relationships/ctrlProp" Target="../ctrlProps/ctrlProp1013.xml"/><Relationship Id="rId182" Type="http://schemas.openxmlformats.org/officeDocument/2006/relationships/ctrlProp" Target="../ctrlProps/ctrlProp1034.xml"/><Relationship Id="rId217" Type="http://schemas.openxmlformats.org/officeDocument/2006/relationships/ctrlProp" Target="../ctrlProps/ctrlProp1069.xml"/><Relationship Id="rId6" Type="http://schemas.openxmlformats.org/officeDocument/2006/relationships/ctrlProp" Target="../ctrlProps/ctrlProp858.xml"/><Relationship Id="rId238" Type="http://schemas.openxmlformats.org/officeDocument/2006/relationships/ctrlProp" Target="../ctrlProps/ctrlProp1090.xml"/><Relationship Id="rId259" Type="http://schemas.openxmlformats.org/officeDocument/2006/relationships/ctrlProp" Target="../ctrlProps/ctrlProp1111.xml"/><Relationship Id="rId23" Type="http://schemas.openxmlformats.org/officeDocument/2006/relationships/ctrlProp" Target="../ctrlProps/ctrlProp875.xml"/><Relationship Id="rId119" Type="http://schemas.openxmlformats.org/officeDocument/2006/relationships/ctrlProp" Target="../ctrlProps/ctrlProp971.xml"/><Relationship Id="rId270" Type="http://schemas.openxmlformats.org/officeDocument/2006/relationships/ctrlProp" Target="../ctrlProps/ctrlProp1122.xml"/><Relationship Id="rId44" Type="http://schemas.openxmlformats.org/officeDocument/2006/relationships/ctrlProp" Target="../ctrlProps/ctrlProp896.xml"/><Relationship Id="rId65" Type="http://schemas.openxmlformats.org/officeDocument/2006/relationships/ctrlProp" Target="../ctrlProps/ctrlProp917.xml"/><Relationship Id="rId86" Type="http://schemas.openxmlformats.org/officeDocument/2006/relationships/ctrlProp" Target="../ctrlProps/ctrlProp938.xml"/><Relationship Id="rId130" Type="http://schemas.openxmlformats.org/officeDocument/2006/relationships/ctrlProp" Target="../ctrlProps/ctrlProp982.xml"/><Relationship Id="rId151" Type="http://schemas.openxmlformats.org/officeDocument/2006/relationships/ctrlProp" Target="../ctrlProps/ctrlProp1003.xml"/><Relationship Id="rId172" Type="http://schemas.openxmlformats.org/officeDocument/2006/relationships/ctrlProp" Target="../ctrlProps/ctrlProp1024.xml"/><Relationship Id="rId193" Type="http://schemas.openxmlformats.org/officeDocument/2006/relationships/ctrlProp" Target="../ctrlProps/ctrlProp1045.xml"/><Relationship Id="rId207" Type="http://schemas.openxmlformats.org/officeDocument/2006/relationships/ctrlProp" Target="../ctrlProps/ctrlProp1059.xml"/><Relationship Id="rId228" Type="http://schemas.openxmlformats.org/officeDocument/2006/relationships/ctrlProp" Target="../ctrlProps/ctrlProp1080.xml"/><Relationship Id="rId249" Type="http://schemas.openxmlformats.org/officeDocument/2006/relationships/ctrlProp" Target="../ctrlProps/ctrlProp1101.xml"/><Relationship Id="rId13" Type="http://schemas.openxmlformats.org/officeDocument/2006/relationships/ctrlProp" Target="../ctrlProps/ctrlProp865.xml"/><Relationship Id="rId18" Type="http://schemas.openxmlformats.org/officeDocument/2006/relationships/ctrlProp" Target="../ctrlProps/ctrlProp870.xml"/><Relationship Id="rId39" Type="http://schemas.openxmlformats.org/officeDocument/2006/relationships/ctrlProp" Target="../ctrlProps/ctrlProp891.xml"/><Relationship Id="rId109" Type="http://schemas.openxmlformats.org/officeDocument/2006/relationships/ctrlProp" Target="../ctrlProps/ctrlProp961.xml"/><Relationship Id="rId260" Type="http://schemas.openxmlformats.org/officeDocument/2006/relationships/ctrlProp" Target="../ctrlProps/ctrlProp1112.xml"/><Relationship Id="rId265" Type="http://schemas.openxmlformats.org/officeDocument/2006/relationships/ctrlProp" Target="../ctrlProps/ctrlProp1117.xml"/><Relationship Id="rId281" Type="http://schemas.openxmlformats.org/officeDocument/2006/relationships/ctrlProp" Target="../ctrlProps/ctrlProp1133.xml"/><Relationship Id="rId34" Type="http://schemas.openxmlformats.org/officeDocument/2006/relationships/ctrlProp" Target="../ctrlProps/ctrlProp886.xml"/><Relationship Id="rId50" Type="http://schemas.openxmlformats.org/officeDocument/2006/relationships/ctrlProp" Target="../ctrlProps/ctrlProp902.xml"/><Relationship Id="rId55" Type="http://schemas.openxmlformats.org/officeDocument/2006/relationships/ctrlProp" Target="../ctrlProps/ctrlProp907.xml"/><Relationship Id="rId76" Type="http://schemas.openxmlformats.org/officeDocument/2006/relationships/ctrlProp" Target="../ctrlProps/ctrlProp928.xml"/><Relationship Id="rId97" Type="http://schemas.openxmlformats.org/officeDocument/2006/relationships/ctrlProp" Target="../ctrlProps/ctrlProp949.xml"/><Relationship Id="rId104" Type="http://schemas.openxmlformats.org/officeDocument/2006/relationships/ctrlProp" Target="../ctrlProps/ctrlProp956.xml"/><Relationship Id="rId120" Type="http://schemas.openxmlformats.org/officeDocument/2006/relationships/ctrlProp" Target="../ctrlProps/ctrlProp972.xml"/><Relationship Id="rId125" Type="http://schemas.openxmlformats.org/officeDocument/2006/relationships/ctrlProp" Target="../ctrlProps/ctrlProp977.xml"/><Relationship Id="rId141" Type="http://schemas.openxmlformats.org/officeDocument/2006/relationships/ctrlProp" Target="../ctrlProps/ctrlProp993.xml"/><Relationship Id="rId146" Type="http://schemas.openxmlformats.org/officeDocument/2006/relationships/ctrlProp" Target="../ctrlProps/ctrlProp998.xml"/><Relationship Id="rId167" Type="http://schemas.openxmlformats.org/officeDocument/2006/relationships/ctrlProp" Target="../ctrlProps/ctrlProp1019.xml"/><Relationship Id="rId188" Type="http://schemas.openxmlformats.org/officeDocument/2006/relationships/ctrlProp" Target="../ctrlProps/ctrlProp1040.xml"/><Relationship Id="rId7" Type="http://schemas.openxmlformats.org/officeDocument/2006/relationships/ctrlProp" Target="../ctrlProps/ctrlProp859.xml"/><Relationship Id="rId71" Type="http://schemas.openxmlformats.org/officeDocument/2006/relationships/ctrlProp" Target="../ctrlProps/ctrlProp923.xml"/><Relationship Id="rId92" Type="http://schemas.openxmlformats.org/officeDocument/2006/relationships/ctrlProp" Target="../ctrlProps/ctrlProp944.xml"/><Relationship Id="rId162" Type="http://schemas.openxmlformats.org/officeDocument/2006/relationships/ctrlProp" Target="../ctrlProps/ctrlProp1014.xml"/><Relationship Id="rId183" Type="http://schemas.openxmlformats.org/officeDocument/2006/relationships/ctrlProp" Target="../ctrlProps/ctrlProp1035.xml"/><Relationship Id="rId213" Type="http://schemas.openxmlformats.org/officeDocument/2006/relationships/ctrlProp" Target="../ctrlProps/ctrlProp1065.xml"/><Relationship Id="rId218" Type="http://schemas.openxmlformats.org/officeDocument/2006/relationships/ctrlProp" Target="../ctrlProps/ctrlProp1070.xml"/><Relationship Id="rId234" Type="http://schemas.openxmlformats.org/officeDocument/2006/relationships/ctrlProp" Target="../ctrlProps/ctrlProp1086.xml"/><Relationship Id="rId239" Type="http://schemas.openxmlformats.org/officeDocument/2006/relationships/ctrlProp" Target="../ctrlProps/ctrlProp1091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1.xml"/><Relationship Id="rId250" Type="http://schemas.openxmlformats.org/officeDocument/2006/relationships/ctrlProp" Target="../ctrlProps/ctrlProp1102.xml"/><Relationship Id="rId255" Type="http://schemas.openxmlformats.org/officeDocument/2006/relationships/ctrlProp" Target="../ctrlProps/ctrlProp1107.xml"/><Relationship Id="rId271" Type="http://schemas.openxmlformats.org/officeDocument/2006/relationships/ctrlProp" Target="../ctrlProps/ctrlProp1123.xml"/><Relationship Id="rId276" Type="http://schemas.openxmlformats.org/officeDocument/2006/relationships/ctrlProp" Target="../ctrlProps/ctrlProp1128.xml"/><Relationship Id="rId24" Type="http://schemas.openxmlformats.org/officeDocument/2006/relationships/ctrlProp" Target="../ctrlProps/ctrlProp876.xml"/><Relationship Id="rId40" Type="http://schemas.openxmlformats.org/officeDocument/2006/relationships/ctrlProp" Target="../ctrlProps/ctrlProp892.xml"/><Relationship Id="rId45" Type="http://schemas.openxmlformats.org/officeDocument/2006/relationships/ctrlProp" Target="../ctrlProps/ctrlProp897.xml"/><Relationship Id="rId66" Type="http://schemas.openxmlformats.org/officeDocument/2006/relationships/ctrlProp" Target="../ctrlProps/ctrlProp918.xml"/><Relationship Id="rId87" Type="http://schemas.openxmlformats.org/officeDocument/2006/relationships/ctrlProp" Target="../ctrlProps/ctrlProp939.xml"/><Relationship Id="rId110" Type="http://schemas.openxmlformats.org/officeDocument/2006/relationships/ctrlProp" Target="../ctrlProps/ctrlProp962.xml"/><Relationship Id="rId115" Type="http://schemas.openxmlformats.org/officeDocument/2006/relationships/ctrlProp" Target="../ctrlProps/ctrlProp967.xml"/><Relationship Id="rId131" Type="http://schemas.openxmlformats.org/officeDocument/2006/relationships/ctrlProp" Target="../ctrlProps/ctrlProp983.xml"/><Relationship Id="rId136" Type="http://schemas.openxmlformats.org/officeDocument/2006/relationships/ctrlProp" Target="../ctrlProps/ctrlProp988.xml"/><Relationship Id="rId157" Type="http://schemas.openxmlformats.org/officeDocument/2006/relationships/ctrlProp" Target="../ctrlProps/ctrlProp1009.xml"/><Relationship Id="rId178" Type="http://schemas.openxmlformats.org/officeDocument/2006/relationships/ctrlProp" Target="../ctrlProps/ctrlProp1030.xml"/><Relationship Id="rId61" Type="http://schemas.openxmlformats.org/officeDocument/2006/relationships/ctrlProp" Target="../ctrlProps/ctrlProp913.xml"/><Relationship Id="rId82" Type="http://schemas.openxmlformats.org/officeDocument/2006/relationships/ctrlProp" Target="../ctrlProps/ctrlProp934.xml"/><Relationship Id="rId152" Type="http://schemas.openxmlformats.org/officeDocument/2006/relationships/ctrlProp" Target="../ctrlProps/ctrlProp1004.xml"/><Relationship Id="rId173" Type="http://schemas.openxmlformats.org/officeDocument/2006/relationships/ctrlProp" Target="../ctrlProps/ctrlProp1025.xml"/><Relationship Id="rId194" Type="http://schemas.openxmlformats.org/officeDocument/2006/relationships/ctrlProp" Target="../ctrlProps/ctrlProp1046.xml"/><Relationship Id="rId199" Type="http://schemas.openxmlformats.org/officeDocument/2006/relationships/ctrlProp" Target="../ctrlProps/ctrlProp1051.xml"/><Relationship Id="rId203" Type="http://schemas.openxmlformats.org/officeDocument/2006/relationships/ctrlProp" Target="../ctrlProps/ctrlProp1055.xml"/><Relationship Id="rId208" Type="http://schemas.openxmlformats.org/officeDocument/2006/relationships/ctrlProp" Target="../ctrlProps/ctrlProp1060.xml"/><Relationship Id="rId229" Type="http://schemas.openxmlformats.org/officeDocument/2006/relationships/ctrlProp" Target="../ctrlProps/ctrlProp1081.xml"/><Relationship Id="rId19" Type="http://schemas.openxmlformats.org/officeDocument/2006/relationships/ctrlProp" Target="../ctrlProps/ctrlProp871.xml"/><Relationship Id="rId224" Type="http://schemas.openxmlformats.org/officeDocument/2006/relationships/ctrlProp" Target="../ctrlProps/ctrlProp1076.xml"/><Relationship Id="rId240" Type="http://schemas.openxmlformats.org/officeDocument/2006/relationships/ctrlProp" Target="../ctrlProps/ctrlProp1092.xml"/><Relationship Id="rId245" Type="http://schemas.openxmlformats.org/officeDocument/2006/relationships/ctrlProp" Target="../ctrlProps/ctrlProp1097.xml"/><Relationship Id="rId261" Type="http://schemas.openxmlformats.org/officeDocument/2006/relationships/ctrlProp" Target="../ctrlProps/ctrlProp1113.xml"/><Relationship Id="rId266" Type="http://schemas.openxmlformats.org/officeDocument/2006/relationships/ctrlProp" Target="../ctrlProps/ctrlProp1118.xml"/><Relationship Id="rId14" Type="http://schemas.openxmlformats.org/officeDocument/2006/relationships/ctrlProp" Target="../ctrlProps/ctrlProp866.xml"/><Relationship Id="rId30" Type="http://schemas.openxmlformats.org/officeDocument/2006/relationships/ctrlProp" Target="../ctrlProps/ctrlProp882.xml"/><Relationship Id="rId35" Type="http://schemas.openxmlformats.org/officeDocument/2006/relationships/ctrlProp" Target="../ctrlProps/ctrlProp887.xml"/><Relationship Id="rId56" Type="http://schemas.openxmlformats.org/officeDocument/2006/relationships/ctrlProp" Target="../ctrlProps/ctrlProp908.xml"/><Relationship Id="rId77" Type="http://schemas.openxmlformats.org/officeDocument/2006/relationships/ctrlProp" Target="../ctrlProps/ctrlProp929.xml"/><Relationship Id="rId100" Type="http://schemas.openxmlformats.org/officeDocument/2006/relationships/ctrlProp" Target="../ctrlProps/ctrlProp952.xml"/><Relationship Id="rId105" Type="http://schemas.openxmlformats.org/officeDocument/2006/relationships/ctrlProp" Target="../ctrlProps/ctrlProp957.xml"/><Relationship Id="rId126" Type="http://schemas.openxmlformats.org/officeDocument/2006/relationships/ctrlProp" Target="../ctrlProps/ctrlProp978.xml"/><Relationship Id="rId147" Type="http://schemas.openxmlformats.org/officeDocument/2006/relationships/ctrlProp" Target="../ctrlProps/ctrlProp999.xml"/><Relationship Id="rId168" Type="http://schemas.openxmlformats.org/officeDocument/2006/relationships/ctrlProp" Target="../ctrlProps/ctrlProp1020.xml"/><Relationship Id="rId282" Type="http://schemas.openxmlformats.org/officeDocument/2006/relationships/ctrlProp" Target="../ctrlProps/ctrlProp1134.xml"/><Relationship Id="rId8" Type="http://schemas.openxmlformats.org/officeDocument/2006/relationships/ctrlProp" Target="../ctrlProps/ctrlProp860.xml"/><Relationship Id="rId51" Type="http://schemas.openxmlformats.org/officeDocument/2006/relationships/ctrlProp" Target="../ctrlProps/ctrlProp903.xml"/><Relationship Id="rId72" Type="http://schemas.openxmlformats.org/officeDocument/2006/relationships/ctrlProp" Target="../ctrlProps/ctrlProp924.xml"/><Relationship Id="rId93" Type="http://schemas.openxmlformats.org/officeDocument/2006/relationships/ctrlProp" Target="../ctrlProps/ctrlProp945.xml"/><Relationship Id="rId98" Type="http://schemas.openxmlformats.org/officeDocument/2006/relationships/ctrlProp" Target="../ctrlProps/ctrlProp950.xml"/><Relationship Id="rId121" Type="http://schemas.openxmlformats.org/officeDocument/2006/relationships/ctrlProp" Target="../ctrlProps/ctrlProp973.xml"/><Relationship Id="rId142" Type="http://schemas.openxmlformats.org/officeDocument/2006/relationships/ctrlProp" Target="../ctrlProps/ctrlProp994.xml"/><Relationship Id="rId163" Type="http://schemas.openxmlformats.org/officeDocument/2006/relationships/ctrlProp" Target="../ctrlProps/ctrlProp1015.xml"/><Relationship Id="rId184" Type="http://schemas.openxmlformats.org/officeDocument/2006/relationships/ctrlProp" Target="../ctrlProps/ctrlProp1036.xml"/><Relationship Id="rId189" Type="http://schemas.openxmlformats.org/officeDocument/2006/relationships/ctrlProp" Target="../ctrlProps/ctrlProp1041.xml"/><Relationship Id="rId219" Type="http://schemas.openxmlformats.org/officeDocument/2006/relationships/ctrlProp" Target="../ctrlProps/ctrlProp1071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66.xml"/><Relationship Id="rId230" Type="http://schemas.openxmlformats.org/officeDocument/2006/relationships/ctrlProp" Target="../ctrlProps/ctrlProp1082.xml"/><Relationship Id="rId235" Type="http://schemas.openxmlformats.org/officeDocument/2006/relationships/ctrlProp" Target="../ctrlProps/ctrlProp1087.xml"/><Relationship Id="rId251" Type="http://schemas.openxmlformats.org/officeDocument/2006/relationships/ctrlProp" Target="../ctrlProps/ctrlProp1103.xml"/><Relationship Id="rId256" Type="http://schemas.openxmlformats.org/officeDocument/2006/relationships/ctrlProp" Target="../ctrlProps/ctrlProp1108.xml"/><Relationship Id="rId277" Type="http://schemas.openxmlformats.org/officeDocument/2006/relationships/ctrlProp" Target="../ctrlProps/ctrlProp1129.xml"/><Relationship Id="rId25" Type="http://schemas.openxmlformats.org/officeDocument/2006/relationships/ctrlProp" Target="../ctrlProps/ctrlProp877.xml"/><Relationship Id="rId46" Type="http://schemas.openxmlformats.org/officeDocument/2006/relationships/ctrlProp" Target="../ctrlProps/ctrlProp898.xml"/><Relationship Id="rId67" Type="http://schemas.openxmlformats.org/officeDocument/2006/relationships/ctrlProp" Target="../ctrlProps/ctrlProp919.xml"/><Relationship Id="rId116" Type="http://schemas.openxmlformats.org/officeDocument/2006/relationships/ctrlProp" Target="../ctrlProps/ctrlProp968.xml"/><Relationship Id="rId137" Type="http://schemas.openxmlformats.org/officeDocument/2006/relationships/ctrlProp" Target="../ctrlProps/ctrlProp989.xml"/><Relationship Id="rId158" Type="http://schemas.openxmlformats.org/officeDocument/2006/relationships/ctrlProp" Target="../ctrlProps/ctrlProp1010.xml"/><Relationship Id="rId272" Type="http://schemas.openxmlformats.org/officeDocument/2006/relationships/ctrlProp" Target="../ctrlProps/ctrlProp1124.xml"/><Relationship Id="rId20" Type="http://schemas.openxmlformats.org/officeDocument/2006/relationships/ctrlProp" Target="../ctrlProps/ctrlProp872.xml"/><Relationship Id="rId41" Type="http://schemas.openxmlformats.org/officeDocument/2006/relationships/ctrlProp" Target="../ctrlProps/ctrlProp893.xml"/><Relationship Id="rId62" Type="http://schemas.openxmlformats.org/officeDocument/2006/relationships/ctrlProp" Target="../ctrlProps/ctrlProp914.xml"/><Relationship Id="rId83" Type="http://schemas.openxmlformats.org/officeDocument/2006/relationships/ctrlProp" Target="../ctrlProps/ctrlProp935.xml"/><Relationship Id="rId88" Type="http://schemas.openxmlformats.org/officeDocument/2006/relationships/ctrlProp" Target="../ctrlProps/ctrlProp940.xml"/><Relationship Id="rId111" Type="http://schemas.openxmlformats.org/officeDocument/2006/relationships/ctrlProp" Target="../ctrlProps/ctrlProp963.xml"/><Relationship Id="rId132" Type="http://schemas.openxmlformats.org/officeDocument/2006/relationships/ctrlProp" Target="../ctrlProps/ctrlProp984.xml"/><Relationship Id="rId153" Type="http://schemas.openxmlformats.org/officeDocument/2006/relationships/ctrlProp" Target="../ctrlProps/ctrlProp1005.xml"/><Relationship Id="rId174" Type="http://schemas.openxmlformats.org/officeDocument/2006/relationships/ctrlProp" Target="../ctrlProps/ctrlProp1026.xml"/><Relationship Id="rId179" Type="http://schemas.openxmlformats.org/officeDocument/2006/relationships/ctrlProp" Target="../ctrlProps/ctrlProp1031.xml"/><Relationship Id="rId195" Type="http://schemas.openxmlformats.org/officeDocument/2006/relationships/ctrlProp" Target="../ctrlProps/ctrlProp1047.xml"/><Relationship Id="rId209" Type="http://schemas.openxmlformats.org/officeDocument/2006/relationships/ctrlProp" Target="../ctrlProps/ctrlProp1061.xml"/><Relationship Id="rId190" Type="http://schemas.openxmlformats.org/officeDocument/2006/relationships/ctrlProp" Target="../ctrlProps/ctrlProp1042.xml"/><Relationship Id="rId204" Type="http://schemas.openxmlformats.org/officeDocument/2006/relationships/ctrlProp" Target="../ctrlProps/ctrlProp1056.xml"/><Relationship Id="rId220" Type="http://schemas.openxmlformats.org/officeDocument/2006/relationships/ctrlProp" Target="../ctrlProps/ctrlProp1072.xml"/><Relationship Id="rId225" Type="http://schemas.openxmlformats.org/officeDocument/2006/relationships/ctrlProp" Target="../ctrlProps/ctrlProp1077.xml"/><Relationship Id="rId241" Type="http://schemas.openxmlformats.org/officeDocument/2006/relationships/ctrlProp" Target="../ctrlProps/ctrlProp1093.xml"/><Relationship Id="rId246" Type="http://schemas.openxmlformats.org/officeDocument/2006/relationships/ctrlProp" Target="../ctrlProps/ctrlProp1098.xml"/><Relationship Id="rId267" Type="http://schemas.openxmlformats.org/officeDocument/2006/relationships/ctrlProp" Target="../ctrlProps/ctrlProp1119.xml"/><Relationship Id="rId15" Type="http://schemas.openxmlformats.org/officeDocument/2006/relationships/ctrlProp" Target="../ctrlProps/ctrlProp867.xml"/><Relationship Id="rId36" Type="http://schemas.openxmlformats.org/officeDocument/2006/relationships/ctrlProp" Target="../ctrlProps/ctrlProp888.xml"/><Relationship Id="rId57" Type="http://schemas.openxmlformats.org/officeDocument/2006/relationships/ctrlProp" Target="../ctrlProps/ctrlProp909.xml"/><Relationship Id="rId106" Type="http://schemas.openxmlformats.org/officeDocument/2006/relationships/ctrlProp" Target="../ctrlProps/ctrlProp958.xml"/><Relationship Id="rId127" Type="http://schemas.openxmlformats.org/officeDocument/2006/relationships/ctrlProp" Target="../ctrlProps/ctrlProp979.xml"/><Relationship Id="rId262" Type="http://schemas.openxmlformats.org/officeDocument/2006/relationships/ctrlProp" Target="../ctrlProps/ctrlProp1114.xml"/><Relationship Id="rId283" Type="http://schemas.openxmlformats.org/officeDocument/2006/relationships/ctrlProp" Target="../ctrlProps/ctrlProp1135.xml"/><Relationship Id="rId10" Type="http://schemas.openxmlformats.org/officeDocument/2006/relationships/ctrlProp" Target="../ctrlProps/ctrlProp862.xml"/><Relationship Id="rId31" Type="http://schemas.openxmlformats.org/officeDocument/2006/relationships/ctrlProp" Target="../ctrlProps/ctrlProp883.xml"/><Relationship Id="rId52" Type="http://schemas.openxmlformats.org/officeDocument/2006/relationships/ctrlProp" Target="../ctrlProps/ctrlProp904.xml"/><Relationship Id="rId73" Type="http://schemas.openxmlformats.org/officeDocument/2006/relationships/ctrlProp" Target="../ctrlProps/ctrlProp925.xml"/><Relationship Id="rId78" Type="http://schemas.openxmlformats.org/officeDocument/2006/relationships/ctrlProp" Target="../ctrlProps/ctrlProp930.xml"/><Relationship Id="rId94" Type="http://schemas.openxmlformats.org/officeDocument/2006/relationships/ctrlProp" Target="../ctrlProps/ctrlProp946.xml"/><Relationship Id="rId99" Type="http://schemas.openxmlformats.org/officeDocument/2006/relationships/ctrlProp" Target="../ctrlProps/ctrlProp951.xml"/><Relationship Id="rId101" Type="http://schemas.openxmlformats.org/officeDocument/2006/relationships/ctrlProp" Target="../ctrlProps/ctrlProp953.xml"/><Relationship Id="rId122" Type="http://schemas.openxmlformats.org/officeDocument/2006/relationships/ctrlProp" Target="../ctrlProps/ctrlProp974.xml"/><Relationship Id="rId143" Type="http://schemas.openxmlformats.org/officeDocument/2006/relationships/ctrlProp" Target="../ctrlProps/ctrlProp995.xml"/><Relationship Id="rId148" Type="http://schemas.openxmlformats.org/officeDocument/2006/relationships/ctrlProp" Target="../ctrlProps/ctrlProp1000.xml"/><Relationship Id="rId164" Type="http://schemas.openxmlformats.org/officeDocument/2006/relationships/ctrlProp" Target="../ctrlProps/ctrlProp1016.xml"/><Relationship Id="rId169" Type="http://schemas.openxmlformats.org/officeDocument/2006/relationships/ctrlProp" Target="../ctrlProps/ctrlProp1021.xml"/><Relationship Id="rId185" Type="http://schemas.openxmlformats.org/officeDocument/2006/relationships/ctrlProp" Target="../ctrlProps/ctrlProp1037.xml"/><Relationship Id="rId4" Type="http://schemas.openxmlformats.org/officeDocument/2006/relationships/ctrlProp" Target="../ctrlProps/ctrlProp856.xml"/><Relationship Id="rId9" Type="http://schemas.openxmlformats.org/officeDocument/2006/relationships/ctrlProp" Target="../ctrlProps/ctrlProp861.xml"/><Relationship Id="rId180" Type="http://schemas.openxmlformats.org/officeDocument/2006/relationships/ctrlProp" Target="../ctrlProps/ctrlProp1032.xml"/><Relationship Id="rId210" Type="http://schemas.openxmlformats.org/officeDocument/2006/relationships/ctrlProp" Target="../ctrlProps/ctrlProp1062.xml"/><Relationship Id="rId215" Type="http://schemas.openxmlformats.org/officeDocument/2006/relationships/ctrlProp" Target="../ctrlProps/ctrlProp1067.xml"/><Relationship Id="rId236" Type="http://schemas.openxmlformats.org/officeDocument/2006/relationships/ctrlProp" Target="../ctrlProps/ctrlProp1088.xml"/><Relationship Id="rId257" Type="http://schemas.openxmlformats.org/officeDocument/2006/relationships/ctrlProp" Target="../ctrlProps/ctrlProp1109.xml"/><Relationship Id="rId278" Type="http://schemas.openxmlformats.org/officeDocument/2006/relationships/ctrlProp" Target="../ctrlProps/ctrlProp1130.xml"/><Relationship Id="rId26" Type="http://schemas.openxmlformats.org/officeDocument/2006/relationships/ctrlProp" Target="../ctrlProps/ctrlProp878.xml"/><Relationship Id="rId231" Type="http://schemas.openxmlformats.org/officeDocument/2006/relationships/ctrlProp" Target="../ctrlProps/ctrlProp1083.xml"/><Relationship Id="rId252" Type="http://schemas.openxmlformats.org/officeDocument/2006/relationships/ctrlProp" Target="../ctrlProps/ctrlProp1104.xml"/><Relationship Id="rId273" Type="http://schemas.openxmlformats.org/officeDocument/2006/relationships/ctrlProp" Target="../ctrlProps/ctrlProp1125.xml"/><Relationship Id="rId47" Type="http://schemas.openxmlformats.org/officeDocument/2006/relationships/ctrlProp" Target="../ctrlProps/ctrlProp899.xml"/><Relationship Id="rId68" Type="http://schemas.openxmlformats.org/officeDocument/2006/relationships/ctrlProp" Target="../ctrlProps/ctrlProp920.xml"/><Relationship Id="rId89" Type="http://schemas.openxmlformats.org/officeDocument/2006/relationships/ctrlProp" Target="../ctrlProps/ctrlProp941.xml"/><Relationship Id="rId112" Type="http://schemas.openxmlformats.org/officeDocument/2006/relationships/ctrlProp" Target="../ctrlProps/ctrlProp964.xml"/><Relationship Id="rId133" Type="http://schemas.openxmlformats.org/officeDocument/2006/relationships/ctrlProp" Target="../ctrlProps/ctrlProp985.xml"/><Relationship Id="rId154" Type="http://schemas.openxmlformats.org/officeDocument/2006/relationships/ctrlProp" Target="../ctrlProps/ctrlProp1006.xml"/><Relationship Id="rId175" Type="http://schemas.openxmlformats.org/officeDocument/2006/relationships/ctrlProp" Target="../ctrlProps/ctrlProp1027.xml"/><Relationship Id="rId196" Type="http://schemas.openxmlformats.org/officeDocument/2006/relationships/ctrlProp" Target="../ctrlProps/ctrlProp1048.xml"/><Relationship Id="rId200" Type="http://schemas.openxmlformats.org/officeDocument/2006/relationships/ctrlProp" Target="../ctrlProps/ctrlProp1052.xml"/><Relationship Id="rId16" Type="http://schemas.openxmlformats.org/officeDocument/2006/relationships/ctrlProp" Target="../ctrlProps/ctrlProp868.xml"/><Relationship Id="rId221" Type="http://schemas.openxmlformats.org/officeDocument/2006/relationships/ctrlProp" Target="../ctrlProps/ctrlProp1073.xml"/><Relationship Id="rId242" Type="http://schemas.openxmlformats.org/officeDocument/2006/relationships/ctrlProp" Target="../ctrlProps/ctrlProp1094.xml"/><Relationship Id="rId263" Type="http://schemas.openxmlformats.org/officeDocument/2006/relationships/ctrlProp" Target="../ctrlProps/ctrlProp1115.xml"/><Relationship Id="rId37" Type="http://schemas.openxmlformats.org/officeDocument/2006/relationships/ctrlProp" Target="../ctrlProps/ctrlProp889.xml"/><Relationship Id="rId58" Type="http://schemas.openxmlformats.org/officeDocument/2006/relationships/ctrlProp" Target="../ctrlProps/ctrlProp910.xml"/><Relationship Id="rId79" Type="http://schemas.openxmlformats.org/officeDocument/2006/relationships/ctrlProp" Target="../ctrlProps/ctrlProp931.xml"/><Relationship Id="rId102" Type="http://schemas.openxmlformats.org/officeDocument/2006/relationships/ctrlProp" Target="../ctrlProps/ctrlProp954.xml"/><Relationship Id="rId123" Type="http://schemas.openxmlformats.org/officeDocument/2006/relationships/ctrlProp" Target="../ctrlProps/ctrlProp975.xml"/><Relationship Id="rId144" Type="http://schemas.openxmlformats.org/officeDocument/2006/relationships/ctrlProp" Target="../ctrlProps/ctrlProp996.xml"/><Relationship Id="rId90" Type="http://schemas.openxmlformats.org/officeDocument/2006/relationships/ctrlProp" Target="../ctrlProps/ctrlProp942.xml"/><Relationship Id="rId165" Type="http://schemas.openxmlformats.org/officeDocument/2006/relationships/ctrlProp" Target="../ctrlProps/ctrlProp1017.xml"/><Relationship Id="rId186" Type="http://schemas.openxmlformats.org/officeDocument/2006/relationships/ctrlProp" Target="../ctrlProps/ctrlProp1038.xml"/><Relationship Id="rId211" Type="http://schemas.openxmlformats.org/officeDocument/2006/relationships/ctrlProp" Target="../ctrlProps/ctrlProp1063.xml"/><Relationship Id="rId232" Type="http://schemas.openxmlformats.org/officeDocument/2006/relationships/ctrlProp" Target="../ctrlProps/ctrlProp1084.xml"/><Relationship Id="rId253" Type="http://schemas.openxmlformats.org/officeDocument/2006/relationships/ctrlProp" Target="../ctrlProps/ctrlProp1105.xml"/><Relationship Id="rId274" Type="http://schemas.openxmlformats.org/officeDocument/2006/relationships/ctrlProp" Target="../ctrlProps/ctrlProp1126.xml"/><Relationship Id="rId27" Type="http://schemas.openxmlformats.org/officeDocument/2006/relationships/ctrlProp" Target="../ctrlProps/ctrlProp879.xml"/><Relationship Id="rId48" Type="http://schemas.openxmlformats.org/officeDocument/2006/relationships/ctrlProp" Target="../ctrlProps/ctrlProp900.xml"/><Relationship Id="rId69" Type="http://schemas.openxmlformats.org/officeDocument/2006/relationships/ctrlProp" Target="../ctrlProps/ctrlProp921.xml"/><Relationship Id="rId113" Type="http://schemas.openxmlformats.org/officeDocument/2006/relationships/ctrlProp" Target="../ctrlProps/ctrlProp965.xml"/><Relationship Id="rId134" Type="http://schemas.openxmlformats.org/officeDocument/2006/relationships/ctrlProp" Target="../ctrlProps/ctrlProp986.xml"/><Relationship Id="rId80" Type="http://schemas.openxmlformats.org/officeDocument/2006/relationships/ctrlProp" Target="../ctrlProps/ctrlProp932.xml"/><Relationship Id="rId155" Type="http://schemas.openxmlformats.org/officeDocument/2006/relationships/ctrlProp" Target="../ctrlProps/ctrlProp1007.xml"/><Relationship Id="rId176" Type="http://schemas.openxmlformats.org/officeDocument/2006/relationships/ctrlProp" Target="../ctrlProps/ctrlProp1028.xml"/><Relationship Id="rId197" Type="http://schemas.openxmlformats.org/officeDocument/2006/relationships/ctrlProp" Target="../ctrlProps/ctrlProp1049.xml"/><Relationship Id="rId201" Type="http://schemas.openxmlformats.org/officeDocument/2006/relationships/ctrlProp" Target="../ctrlProps/ctrlProp1053.xml"/><Relationship Id="rId222" Type="http://schemas.openxmlformats.org/officeDocument/2006/relationships/ctrlProp" Target="../ctrlProps/ctrlProp1074.xml"/><Relationship Id="rId243" Type="http://schemas.openxmlformats.org/officeDocument/2006/relationships/ctrlProp" Target="../ctrlProps/ctrlProp1095.xml"/><Relationship Id="rId264" Type="http://schemas.openxmlformats.org/officeDocument/2006/relationships/ctrlProp" Target="../ctrlProps/ctrlProp1116.xml"/><Relationship Id="rId17" Type="http://schemas.openxmlformats.org/officeDocument/2006/relationships/ctrlProp" Target="../ctrlProps/ctrlProp869.xml"/><Relationship Id="rId38" Type="http://schemas.openxmlformats.org/officeDocument/2006/relationships/ctrlProp" Target="../ctrlProps/ctrlProp890.xml"/><Relationship Id="rId59" Type="http://schemas.openxmlformats.org/officeDocument/2006/relationships/ctrlProp" Target="../ctrlProps/ctrlProp911.xml"/><Relationship Id="rId103" Type="http://schemas.openxmlformats.org/officeDocument/2006/relationships/ctrlProp" Target="../ctrlProps/ctrlProp955.xml"/><Relationship Id="rId124" Type="http://schemas.openxmlformats.org/officeDocument/2006/relationships/ctrlProp" Target="../ctrlProps/ctrlProp976.xml"/><Relationship Id="rId70" Type="http://schemas.openxmlformats.org/officeDocument/2006/relationships/ctrlProp" Target="../ctrlProps/ctrlProp922.xml"/><Relationship Id="rId91" Type="http://schemas.openxmlformats.org/officeDocument/2006/relationships/ctrlProp" Target="../ctrlProps/ctrlProp943.xml"/><Relationship Id="rId145" Type="http://schemas.openxmlformats.org/officeDocument/2006/relationships/ctrlProp" Target="../ctrlProps/ctrlProp997.xml"/><Relationship Id="rId166" Type="http://schemas.openxmlformats.org/officeDocument/2006/relationships/ctrlProp" Target="../ctrlProps/ctrlProp1018.xml"/><Relationship Id="rId187" Type="http://schemas.openxmlformats.org/officeDocument/2006/relationships/ctrlProp" Target="../ctrlProps/ctrlProp1039.xml"/><Relationship Id="rId1" Type="http://schemas.openxmlformats.org/officeDocument/2006/relationships/printerSettings" Target="../printerSettings/printerSettings78.bin"/><Relationship Id="rId212" Type="http://schemas.openxmlformats.org/officeDocument/2006/relationships/ctrlProp" Target="../ctrlProps/ctrlProp1064.xml"/><Relationship Id="rId233" Type="http://schemas.openxmlformats.org/officeDocument/2006/relationships/ctrlProp" Target="../ctrlProps/ctrlProp1085.xml"/><Relationship Id="rId254" Type="http://schemas.openxmlformats.org/officeDocument/2006/relationships/ctrlProp" Target="../ctrlProps/ctrlProp1106.xml"/><Relationship Id="rId28" Type="http://schemas.openxmlformats.org/officeDocument/2006/relationships/ctrlProp" Target="../ctrlProps/ctrlProp880.xml"/><Relationship Id="rId49" Type="http://schemas.openxmlformats.org/officeDocument/2006/relationships/ctrlProp" Target="../ctrlProps/ctrlProp901.xml"/><Relationship Id="rId114" Type="http://schemas.openxmlformats.org/officeDocument/2006/relationships/ctrlProp" Target="../ctrlProps/ctrlProp966.xml"/><Relationship Id="rId275" Type="http://schemas.openxmlformats.org/officeDocument/2006/relationships/ctrlProp" Target="../ctrlProps/ctrlProp1127.xml"/><Relationship Id="rId60" Type="http://schemas.openxmlformats.org/officeDocument/2006/relationships/ctrlProp" Target="../ctrlProps/ctrlProp912.xml"/><Relationship Id="rId81" Type="http://schemas.openxmlformats.org/officeDocument/2006/relationships/ctrlProp" Target="../ctrlProps/ctrlProp933.xml"/><Relationship Id="rId135" Type="http://schemas.openxmlformats.org/officeDocument/2006/relationships/ctrlProp" Target="../ctrlProps/ctrlProp987.xml"/><Relationship Id="rId156" Type="http://schemas.openxmlformats.org/officeDocument/2006/relationships/ctrlProp" Target="../ctrlProps/ctrlProp1008.xml"/><Relationship Id="rId177" Type="http://schemas.openxmlformats.org/officeDocument/2006/relationships/ctrlProp" Target="../ctrlProps/ctrlProp1029.xml"/><Relationship Id="rId198" Type="http://schemas.openxmlformats.org/officeDocument/2006/relationships/ctrlProp" Target="../ctrlProps/ctrlProp1050.xml"/><Relationship Id="rId202" Type="http://schemas.openxmlformats.org/officeDocument/2006/relationships/ctrlProp" Target="../ctrlProps/ctrlProp1054.xml"/><Relationship Id="rId223" Type="http://schemas.openxmlformats.org/officeDocument/2006/relationships/ctrlProp" Target="../ctrlProps/ctrlProp1075.xml"/><Relationship Id="rId244" Type="http://schemas.openxmlformats.org/officeDocument/2006/relationships/ctrlProp" Target="../ctrlProps/ctrlProp1096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0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C56" sqref="C56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/>
  <dimension ref="D7:R202"/>
  <sheetViews>
    <sheetView workbookViewId="0"/>
  </sheetViews>
  <sheetFormatPr defaultColWidth="9.140625" defaultRowHeight="12.75" x14ac:dyDescent="0.2"/>
  <cols>
    <col min="1" max="3" width="9.140625" style="287"/>
    <col min="4" max="4" width="10.140625" style="287" bestFit="1" customWidth="1"/>
    <col min="5" max="5" width="13.140625" style="766" customWidth="1"/>
    <col min="6" max="16384" width="9.140625" style="287"/>
  </cols>
  <sheetData>
    <row r="7" spans="4:18" s="758" customFormat="1" x14ac:dyDescent="0.2">
      <c r="E7" s="761"/>
    </row>
    <row r="8" spans="4:18" s="758" customFormat="1" x14ac:dyDescent="0.2">
      <c r="D8" s="759"/>
      <c r="E8" s="762"/>
      <c r="F8" s="759"/>
      <c r="G8" s="759"/>
      <c r="H8" s="759"/>
      <c r="I8" s="759"/>
      <c r="J8" s="759"/>
      <c r="K8" s="759"/>
      <c r="L8" s="759"/>
      <c r="M8" s="759"/>
      <c r="N8" s="759"/>
      <c r="O8" s="759"/>
      <c r="P8" s="759"/>
      <c r="Q8" s="759"/>
      <c r="R8" s="759"/>
    </row>
    <row r="9" spans="4:18" s="758" customFormat="1" ht="59.25" x14ac:dyDescent="0.75">
      <c r="D9" s="759"/>
      <c r="E9" s="763" t="s">
        <v>4466</v>
      </c>
      <c r="F9" s="759"/>
      <c r="G9" s="759"/>
      <c r="H9" s="759"/>
      <c r="I9" s="759"/>
      <c r="J9" s="759"/>
      <c r="K9" s="759"/>
      <c r="L9" s="759"/>
      <c r="M9" s="759"/>
      <c r="N9" s="759"/>
      <c r="O9" s="759"/>
      <c r="P9" s="759"/>
      <c r="Q9" s="759"/>
      <c r="R9" s="759"/>
    </row>
    <row r="10" spans="4:18" s="758" customFormat="1" ht="19.5" customHeight="1" x14ac:dyDescent="0.75">
      <c r="D10" s="759"/>
      <c r="E10" s="763"/>
      <c r="F10" s="759"/>
      <c r="G10" s="759"/>
      <c r="H10" s="759"/>
      <c r="I10" s="759"/>
      <c r="J10" s="759"/>
      <c r="K10" s="759"/>
      <c r="L10" s="759"/>
      <c r="M10" s="759"/>
      <c r="N10" s="759"/>
      <c r="O10" s="759"/>
      <c r="P10" s="759"/>
      <c r="Q10" s="759"/>
      <c r="R10" s="759"/>
    </row>
    <row r="11" spans="4:18" s="758" customFormat="1" ht="59.25" x14ac:dyDescent="0.75">
      <c r="D11" s="759"/>
      <c r="E11" s="763" t="s">
        <v>4465</v>
      </c>
      <c r="F11" s="759"/>
      <c r="G11" s="759"/>
      <c r="H11" s="759"/>
      <c r="I11" s="759"/>
      <c r="J11" s="759"/>
      <c r="K11" s="759"/>
      <c r="L11" s="759"/>
      <c r="M11" s="759"/>
      <c r="N11" s="759"/>
      <c r="O11" s="759"/>
      <c r="P11" s="759"/>
      <c r="Q11" s="759"/>
      <c r="R11" s="759"/>
    </row>
    <row r="12" spans="4:18" s="758" customFormat="1" ht="59.25" x14ac:dyDescent="0.75">
      <c r="D12" s="759"/>
      <c r="E12" s="763"/>
      <c r="F12" s="759"/>
      <c r="G12" s="759"/>
      <c r="H12" s="759"/>
      <c r="I12" s="759"/>
      <c r="J12" s="759"/>
      <c r="K12" s="759"/>
      <c r="L12" s="759"/>
      <c r="M12" s="759"/>
      <c r="N12" s="759"/>
      <c r="O12" s="759"/>
      <c r="P12" s="759"/>
      <c r="Q12" s="759"/>
      <c r="R12" s="759"/>
    </row>
    <row r="13" spans="4:18" s="758" customFormat="1" ht="33" x14ac:dyDescent="0.45">
      <c r="D13" s="759"/>
      <c r="E13" s="764" t="s">
        <v>3709</v>
      </c>
      <c r="F13" s="759"/>
      <c r="G13" s="760" t="str">
        <f>$G$20</f>
        <v>0.42.01-beta</v>
      </c>
      <c r="H13" s="759"/>
      <c r="I13" s="759"/>
      <c r="J13" s="759"/>
      <c r="K13" s="759"/>
      <c r="L13" s="759"/>
      <c r="M13" s="759"/>
      <c r="N13" s="759"/>
      <c r="O13" s="759"/>
      <c r="P13" s="759"/>
      <c r="Q13" s="759"/>
      <c r="R13" s="759"/>
    </row>
    <row r="14" spans="4:18" s="758" customFormat="1" x14ac:dyDescent="0.2">
      <c r="D14" s="759"/>
      <c r="E14" s="762"/>
      <c r="F14" s="759"/>
      <c r="G14" s="759"/>
      <c r="H14" s="759"/>
      <c r="I14" s="759"/>
      <c r="J14" s="759"/>
      <c r="K14" s="759"/>
      <c r="L14" s="759"/>
      <c r="M14" s="759"/>
      <c r="N14" s="759"/>
      <c r="O14" s="759"/>
      <c r="P14" s="759"/>
      <c r="Q14" s="759"/>
      <c r="R14" s="759"/>
    </row>
    <row r="15" spans="4:18" s="758" customFormat="1" x14ac:dyDescent="0.2">
      <c r="D15" s="759"/>
      <c r="E15" s="762"/>
      <c r="F15" s="759"/>
      <c r="G15" s="759"/>
      <c r="H15" s="759"/>
      <c r="I15" s="759"/>
      <c r="J15" s="759"/>
      <c r="K15" s="759"/>
      <c r="L15" s="759"/>
      <c r="M15" s="759"/>
      <c r="N15" s="759"/>
      <c r="O15" s="759"/>
      <c r="P15" s="759"/>
      <c r="Q15" s="759"/>
      <c r="R15" s="759"/>
    </row>
    <row r="18" spans="5:10" x14ac:dyDescent="0.2">
      <c r="E18" s="765" t="s">
        <v>350</v>
      </c>
      <c r="G18" s="383" t="s">
        <v>3709</v>
      </c>
      <c r="J18" s="383" t="s">
        <v>6959</v>
      </c>
    </row>
    <row r="20" spans="5:10" x14ac:dyDescent="0.2">
      <c r="E20" s="809">
        <v>43418</v>
      </c>
      <c r="G20" s="288" t="s">
        <v>7915</v>
      </c>
      <c r="J20" s="288" t="s">
        <v>7916</v>
      </c>
    </row>
    <row r="21" spans="5:10" x14ac:dyDescent="0.2">
      <c r="E21" s="809">
        <v>43418</v>
      </c>
      <c r="G21" s="288" t="s">
        <v>7913</v>
      </c>
      <c r="J21" s="288" t="s">
        <v>7914</v>
      </c>
    </row>
    <row r="22" spans="5:10" x14ac:dyDescent="0.2">
      <c r="E22" s="809">
        <v>43417</v>
      </c>
      <c r="G22" s="288" t="s">
        <v>7911</v>
      </c>
      <c r="J22" s="288" t="s">
        <v>7912</v>
      </c>
    </row>
    <row r="23" spans="5:10" x14ac:dyDescent="0.2">
      <c r="E23" s="809">
        <v>43417</v>
      </c>
      <c r="G23" s="288" t="s">
        <v>7909</v>
      </c>
      <c r="J23" s="288" t="s">
        <v>7910</v>
      </c>
    </row>
    <row r="24" spans="5:10" x14ac:dyDescent="0.2">
      <c r="E24" s="809">
        <v>43417</v>
      </c>
      <c r="G24" s="288" t="s">
        <v>7907</v>
      </c>
      <c r="J24" s="288" t="s">
        <v>7908</v>
      </c>
    </row>
    <row r="25" spans="5:10" x14ac:dyDescent="0.2">
      <c r="E25" s="809">
        <v>43417</v>
      </c>
      <c r="G25" s="288" t="s">
        <v>7905</v>
      </c>
      <c r="J25" s="288" t="s">
        <v>7906</v>
      </c>
    </row>
    <row r="26" spans="5:10" x14ac:dyDescent="0.2">
      <c r="E26" s="809">
        <v>43404</v>
      </c>
      <c r="G26" s="288" t="s">
        <v>7902</v>
      </c>
      <c r="J26" s="288" t="s">
        <v>7903</v>
      </c>
    </row>
    <row r="27" spans="5:10" x14ac:dyDescent="0.2">
      <c r="E27" s="809">
        <v>43404</v>
      </c>
      <c r="G27" s="288" t="s">
        <v>7901</v>
      </c>
      <c r="J27" s="288" t="s">
        <v>7226</v>
      </c>
    </row>
    <row r="28" spans="5:10" x14ac:dyDescent="0.2">
      <c r="E28" s="809">
        <v>43274</v>
      </c>
      <c r="G28" s="288" t="s">
        <v>7893</v>
      </c>
      <c r="J28" s="288" t="s">
        <v>7894</v>
      </c>
    </row>
    <row r="29" spans="5:10" x14ac:dyDescent="0.2">
      <c r="E29" s="809">
        <v>43244</v>
      </c>
      <c r="G29" s="288" t="s">
        <v>7887</v>
      </c>
      <c r="J29" s="288" t="s">
        <v>7888</v>
      </c>
    </row>
    <row r="30" spans="5:10" x14ac:dyDescent="0.2">
      <c r="E30" s="809">
        <v>43238</v>
      </c>
      <c r="G30" s="288" t="s">
        <v>7884</v>
      </c>
      <c r="J30" s="288" t="s">
        <v>7885</v>
      </c>
    </row>
    <row r="31" spans="5:10" x14ac:dyDescent="0.2">
      <c r="E31" s="809">
        <v>43196</v>
      </c>
      <c r="G31" s="288" t="s">
        <v>7883</v>
      </c>
      <c r="J31" s="288" t="s">
        <v>7882</v>
      </c>
    </row>
    <row r="32" spans="5:10" x14ac:dyDescent="0.2">
      <c r="E32" s="809" t="s">
        <v>7876</v>
      </c>
      <c r="G32" s="288" t="s">
        <v>7881</v>
      </c>
      <c r="J32" s="288" t="s">
        <v>7880</v>
      </c>
    </row>
    <row r="33" spans="5:10" x14ac:dyDescent="0.2">
      <c r="E33" s="809" t="s">
        <v>7876</v>
      </c>
      <c r="G33" s="288" t="s">
        <v>7878</v>
      </c>
      <c r="J33" s="288" t="s">
        <v>7879</v>
      </c>
    </row>
    <row r="34" spans="5:10" x14ac:dyDescent="0.2">
      <c r="E34" s="809" t="s">
        <v>7876</v>
      </c>
      <c r="G34" s="288" t="s">
        <v>7875</v>
      </c>
      <c r="J34" s="288" t="s">
        <v>7877</v>
      </c>
    </row>
    <row r="35" spans="5:10" x14ac:dyDescent="0.2">
      <c r="E35" s="809" t="s">
        <v>7808</v>
      </c>
      <c r="G35" s="288" t="s">
        <v>7809</v>
      </c>
      <c r="J35" s="288" t="s">
        <v>7810</v>
      </c>
    </row>
    <row r="36" spans="5:10" x14ac:dyDescent="0.2">
      <c r="E36" s="809" t="s">
        <v>7805</v>
      </c>
      <c r="G36" s="288" t="s">
        <v>7806</v>
      </c>
      <c r="J36" s="288" t="s">
        <v>7807</v>
      </c>
    </row>
    <row r="37" spans="5:10" x14ac:dyDescent="0.2">
      <c r="E37" s="809" t="s">
        <v>7678</v>
      </c>
      <c r="G37" s="288" t="s">
        <v>7803</v>
      </c>
      <c r="J37" s="288" t="s">
        <v>7804</v>
      </c>
    </row>
    <row r="38" spans="5:10" x14ac:dyDescent="0.2">
      <c r="E38" s="809" t="s">
        <v>7678</v>
      </c>
      <c r="G38" s="288" t="s">
        <v>7679</v>
      </c>
      <c r="J38" s="288" t="s">
        <v>7680</v>
      </c>
    </row>
    <row r="39" spans="5:10" x14ac:dyDescent="0.2">
      <c r="E39" s="809" t="s">
        <v>7675</v>
      </c>
      <c r="G39" s="288" t="s">
        <v>7676</v>
      </c>
      <c r="J39" s="288" t="s">
        <v>7677</v>
      </c>
    </row>
    <row r="40" spans="5:10" x14ac:dyDescent="0.2">
      <c r="E40" s="809" t="s">
        <v>7649</v>
      </c>
      <c r="G40" s="288" t="s">
        <v>7652</v>
      </c>
      <c r="J40" s="288" t="s">
        <v>7653</v>
      </c>
    </row>
    <row r="41" spans="5:10" x14ac:dyDescent="0.2">
      <c r="E41" s="809" t="s">
        <v>7649</v>
      </c>
      <c r="G41" s="288" t="s">
        <v>7650</v>
      </c>
      <c r="J41" s="288" t="s">
        <v>7651</v>
      </c>
    </row>
    <row r="42" spans="5:10" x14ac:dyDescent="0.2">
      <c r="E42" s="809" t="s">
        <v>7646</v>
      </c>
      <c r="G42" s="288" t="s">
        <v>7647</v>
      </c>
      <c r="J42" s="288" t="s">
        <v>7648</v>
      </c>
    </row>
    <row r="43" spans="5:10" x14ac:dyDescent="0.2">
      <c r="E43" s="809" t="s">
        <v>7635</v>
      </c>
      <c r="G43" s="288" t="s">
        <v>7636</v>
      </c>
      <c r="J43" s="288" t="s">
        <v>7637</v>
      </c>
    </row>
    <row r="44" spans="5:10" x14ac:dyDescent="0.2">
      <c r="E44" s="809" t="s">
        <v>7633</v>
      </c>
      <c r="G44" s="288" t="s">
        <v>7632</v>
      </c>
      <c r="J44" s="288" t="s">
        <v>7634</v>
      </c>
    </row>
    <row r="45" spans="5:10" x14ac:dyDescent="0.2">
      <c r="E45" s="809" t="s">
        <v>7626</v>
      </c>
      <c r="G45" s="288" t="s">
        <v>7625</v>
      </c>
      <c r="J45" s="288" t="s">
        <v>7624</v>
      </c>
    </row>
    <row r="46" spans="5:10" x14ac:dyDescent="0.2">
      <c r="E46" s="809" t="s">
        <v>7626</v>
      </c>
      <c r="G46" s="288" t="s">
        <v>7622</v>
      </c>
      <c r="J46" s="288" t="s">
        <v>7623</v>
      </c>
    </row>
    <row r="47" spans="5:10" x14ac:dyDescent="0.2">
      <c r="E47" s="809" t="s">
        <v>7513</v>
      </c>
      <c r="G47" s="288" t="s">
        <v>7620</v>
      </c>
      <c r="J47" s="288" t="s">
        <v>7621</v>
      </c>
    </row>
    <row r="48" spans="5:10" x14ac:dyDescent="0.2">
      <c r="E48" s="809" t="s">
        <v>7513</v>
      </c>
      <c r="G48" s="288" t="s">
        <v>7526</v>
      </c>
      <c r="J48" s="288" t="s">
        <v>7527</v>
      </c>
    </row>
    <row r="49" spans="5:10" x14ac:dyDescent="0.2">
      <c r="E49" s="809" t="s">
        <v>7513</v>
      </c>
      <c r="G49" s="288" t="s">
        <v>7524</v>
      </c>
      <c r="J49" s="288" t="s">
        <v>7525</v>
      </c>
    </row>
    <row r="50" spans="5:10" x14ac:dyDescent="0.2">
      <c r="E50" s="809" t="s">
        <v>7513</v>
      </c>
      <c r="G50" s="288" t="s">
        <v>7522</v>
      </c>
      <c r="J50" s="288" t="s">
        <v>7523</v>
      </c>
    </row>
    <row r="51" spans="5:10" x14ac:dyDescent="0.2">
      <c r="E51" s="809" t="s">
        <v>7513</v>
      </c>
      <c r="G51" s="288" t="s">
        <v>7520</v>
      </c>
      <c r="J51" s="288" t="s">
        <v>7521</v>
      </c>
    </row>
    <row r="52" spans="5:10" x14ac:dyDescent="0.2">
      <c r="E52" s="809" t="s">
        <v>7513</v>
      </c>
      <c r="G52" s="288" t="s">
        <v>7518</v>
      </c>
      <c r="J52" s="288" t="s">
        <v>7519</v>
      </c>
    </row>
    <row r="53" spans="5:10" x14ac:dyDescent="0.2">
      <c r="E53" s="809" t="s">
        <v>7513</v>
      </c>
      <c r="G53" s="288" t="s">
        <v>7516</v>
      </c>
      <c r="J53" s="288" t="s">
        <v>7517</v>
      </c>
    </row>
    <row r="54" spans="5:10" x14ac:dyDescent="0.2">
      <c r="E54" s="809" t="s">
        <v>7513</v>
      </c>
      <c r="G54" s="288" t="s">
        <v>7514</v>
      </c>
      <c r="J54" s="288" t="s">
        <v>7515</v>
      </c>
    </row>
    <row r="55" spans="5:10" x14ac:dyDescent="0.2">
      <c r="E55" s="809" t="s">
        <v>7501</v>
      </c>
      <c r="G55" s="288" t="s">
        <v>7506</v>
      </c>
      <c r="J55" s="288" t="s">
        <v>7507</v>
      </c>
    </row>
    <row r="56" spans="5:10" x14ac:dyDescent="0.2">
      <c r="E56" s="809" t="s">
        <v>7501</v>
      </c>
      <c r="G56" s="288" t="s">
        <v>7504</v>
      </c>
      <c r="J56" s="288" t="s">
        <v>7505</v>
      </c>
    </row>
    <row r="57" spans="5:10" x14ac:dyDescent="0.2">
      <c r="E57" s="809" t="s">
        <v>7501</v>
      </c>
      <c r="G57" s="288" t="s">
        <v>7502</v>
      </c>
      <c r="J57" s="288" t="s">
        <v>7503</v>
      </c>
    </row>
    <row r="58" spans="5:10" x14ac:dyDescent="0.2">
      <c r="E58" s="809" t="s">
        <v>7500</v>
      </c>
      <c r="G58" s="288" t="s">
        <v>7498</v>
      </c>
      <c r="J58" s="288" t="s">
        <v>7499</v>
      </c>
    </row>
    <row r="59" spans="5:10" x14ac:dyDescent="0.2">
      <c r="E59" s="809" t="s">
        <v>7500</v>
      </c>
      <c r="G59" s="288" t="s">
        <v>7496</v>
      </c>
      <c r="J59" s="288" t="s">
        <v>7497</v>
      </c>
    </row>
    <row r="60" spans="5:10" x14ac:dyDescent="0.2">
      <c r="E60" s="809" t="s">
        <v>7477</v>
      </c>
      <c r="G60" s="288" t="s">
        <v>7494</v>
      </c>
      <c r="J60" s="288" t="s">
        <v>7495</v>
      </c>
    </row>
    <row r="61" spans="5:10" x14ac:dyDescent="0.2">
      <c r="E61" s="809" t="s">
        <v>7477</v>
      </c>
      <c r="G61" s="288" t="s">
        <v>7492</v>
      </c>
      <c r="J61" s="288" t="s">
        <v>7491</v>
      </c>
    </row>
    <row r="62" spans="5:10" x14ac:dyDescent="0.2">
      <c r="E62" s="809" t="s">
        <v>7477</v>
      </c>
      <c r="G62" s="288" t="s">
        <v>7490</v>
      </c>
      <c r="J62" s="288" t="s">
        <v>7493</v>
      </c>
    </row>
    <row r="63" spans="5:10" x14ac:dyDescent="0.2">
      <c r="E63" s="809" t="s">
        <v>7477</v>
      </c>
      <c r="G63" s="288" t="s">
        <v>7488</v>
      </c>
      <c r="J63" s="288" t="s">
        <v>7489</v>
      </c>
    </row>
    <row r="64" spans="5:10" x14ac:dyDescent="0.2">
      <c r="E64" s="809" t="s">
        <v>7477</v>
      </c>
      <c r="G64" s="288" t="s">
        <v>7486</v>
      </c>
      <c r="J64" s="288" t="s">
        <v>7487</v>
      </c>
    </row>
    <row r="65" spans="5:10" x14ac:dyDescent="0.2">
      <c r="E65" s="809" t="s">
        <v>7477</v>
      </c>
      <c r="G65" s="288" t="s">
        <v>7484</v>
      </c>
      <c r="J65" s="288" t="s">
        <v>7485</v>
      </c>
    </row>
    <row r="66" spans="5:10" x14ac:dyDescent="0.2">
      <c r="E66" s="809" t="s">
        <v>7477</v>
      </c>
      <c r="G66" s="288" t="s">
        <v>7482</v>
      </c>
      <c r="J66" s="288" t="s">
        <v>7483</v>
      </c>
    </row>
    <row r="67" spans="5:10" x14ac:dyDescent="0.2">
      <c r="E67" s="809" t="s">
        <v>7477</v>
      </c>
      <c r="G67" s="288" t="s">
        <v>7480</v>
      </c>
      <c r="J67" s="288" t="s">
        <v>7481</v>
      </c>
    </row>
    <row r="68" spans="5:10" x14ac:dyDescent="0.2">
      <c r="E68" s="809" t="s">
        <v>7477</v>
      </c>
      <c r="G68" s="288" t="s">
        <v>7478</v>
      </c>
      <c r="J68" s="288" t="s">
        <v>7479</v>
      </c>
    </row>
    <row r="69" spans="5:10" x14ac:dyDescent="0.2">
      <c r="E69" s="809" t="s">
        <v>7477</v>
      </c>
      <c r="G69" s="288" t="s">
        <v>7475</v>
      </c>
      <c r="J69" s="288" t="s">
        <v>7476</v>
      </c>
    </row>
    <row r="70" spans="5:10" x14ac:dyDescent="0.2">
      <c r="E70" s="809" t="s">
        <v>7469</v>
      </c>
      <c r="G70" s="288" t="s">
        <v>7472</v>
      </c>
      <c r="J70" s="288" t="s">
        <v>7473</v>
      </c>
    </row>
    <row r="71" spans="5:10" x14ac:dyDescent="0.2">
      <c r="E71" s="809" t="s">
        <v>7469</v>
      </c>
      <c r="G71" s="288" t="s">
        <v>7471</v>
      </c>
      <c r="J71" s="288" t="s">
        <v>7474</v>
      </c>
    </row>
    <row r="72" spans="5:10" x14ac:dyDescent="0.2">
      <c r="E72" s="809" t="s">
        <v>7469</v>
      </c>
      <c r="G72" s="288" t="s">
        <v>7467</v>
      </c>
      <c r="J72" s="288" t="s">
        <v>7468</v>
      </c>
    </row>
    <row r="73" spans="5:10" x14ac:dyDescent="0.2">
      <c r="E73" s="809" t="s">
        <v>7455</v>
      </c>
      <c r="G73" s="288" t="s">
        <v>7458</v>
      </c>
      <c r="J73" s="288" t="s">
        <v>7459</v>
      </c>
    </row>
    <row r="74" spans="5:10" x14ac:dyDescent="0.2">
      <c r="E74" s="809" t="s">
        <v>7455</v>
      </c>
      <c r="G74" s="288" t="s">
        <v>7456</v>
      </c>
      <c r="J74" s="288" t="s">
        <v>7457</v>
      </c>
    </row>
    <row r="75" spans="5:10" x14ac:dyDescent="0.2">
      <c r="E75" s="809" t="s">
        <v>7443</v>
      </c>
      <c r="G75" s="288" t="s">
        <v>7453</v>
      </c>
      <c r="J75" s="288" t="s">
        <v>7454</v>
      </c>
    </row>
    <row r="76" spans="5:10" x14ac:dyDescent="0.2">
      <c r="E76" s="809" t="s">
        <v>7443</v>
      </c>
      <c r="G76" s="288" t="s">
        <v>7452</v>
      </c>
      <c r="J76" s="288" t="s">
        <v>7462</v>
      </c>
    </row>
    <row r="77" spans="5:10" x14ac:dyDescent="0.2">
      <c r="E77" s="809" t="s">
        <v>7443</v>
      </c>
      <c r="G77" s="288" t="s">
        <v>7449</v>
      </c>
      <c r="J77" s="288" t="s">
        <v>7450</v>
      </c>
    </row>
    <row r="78" spans="5:10" x14ac:dyDescent="0.2">
      <c r="E78" s="809" t="s">
        <v>7443</v>
      </c>
      <c r="G78" s="288" t="s">
        <v>7448</v>
      </c>
      <c r="J78" s="288" t="s">
        <v>7447</v>
      </c>
    </row>
    <row r="79" spans="5:10" x14ac:dyDescent="0.2">
      <c r="E79" s="809" t="s">
        <v>7443</v>
      </c>
      <c r="G79" s="288" t="s">
        <v>7444</v>
      </c>
      <c r="J79" s="288" t="s">
        <v>7445</v>
      </c>
    </row>
    <row r="80" spans="5:10" x14ac:dyDescent="0.2">
      <c r="E80" s="809" t="s">
        <v>7442</v>
      </c>
      <c r="G80" s="288" t="s">
        <v>7440</v>
      </c>
      <c r="J80" s="288" t="s">
        <v>7441</v>
      </c>
    </row>
    <row r="81" spans="5:10" x14ac:dyDescent="0.2">
      <c r="E81" s="809" t="s">
        <v>7431</v>
      </c>
      <c r="G81" s="288" t="s">
        <v>7438</v>
      </c>
      <c r="J81" s="288" t="s">
        <v>7439</v>
      </c>
    </row>
    <row r="82" spans="5:10" x14ac:dyDescent="0.2">
      <c r="E82" s="809" t="s">
        <v>7431</v>
      </c>
      <c r="G82" s="288" t="s">
        <v>7435</v>
      </c>
      <c r="J82" s="288" t="s">
        <v>7436</v>
      </c>
    </row>
    <row r="83" spans="5:10" x14ac:dyDescent="0.2">
      <c r="E83" s="809" t="s">
        <v>7431</v>
      </c>
      <c r="G83" s="288" t="s">
        <v>7432</v>
      </c>
      <c r="J83" s="288" t="s">
        <v>7433</v>
      </c>
    </row>
    <row r="84" spans="5:10" x14ac:dyDescent="0.2">
      <c r="E84" s="809" t="s">
        <v>7431</v>
      </c>
      <c r="G84" s="288" t="s">
        <v>7430</v>
      </c>
      <c r="J84" s="288" t="s">
        <v>7429</v>
      </c>
    </row>
    <row r="85" spans="5:10" x14ac:dyDescent="0.2">
      <c r="E85" s="809" t="s">
        <v>7431</v>
      </c>
      <c r="G85" s="288" t="s">
        <v>7425</v>
      </c>
      <c r="J85" s="288" t="s">
        <v>7461</v>
      </c>
    </row>
    <row r="86" spans="5:10" x14ac:dyDescent="0.2">
      <c r="E86" s="809" t="s">
        <v>7410</v>
      </c>
      <c r="G86" s="288" t="s">
        <v>7423</v>
      </c>
      <c r="J86" s="288" t="s">
        <v>7424</v>
      </c>
    </row>
    <row r="87" spans="5:10" x14ac:dyDescent="0.2">
      <c r="E87" s="809" t="s">
        <v>7410</v>
      </c>
      <c r="G87" s="288" t="s">
        <v>7420</v>
      </c>
      <c r="J87" s="288" t="s">
        <v>7421</v>
      </c>
    </row>
    <row r="88" spans="5:10" x14ac:dyDescent="0.2">
      <c r="E88" s="809" t="s">
        <v>7410</v>
      </c>
      <c r="G88" s="288" t="s">
        <v>7418</v>
      </c>
      <c r="J88" s="288" t="s">
        <v>7419</v>
      </c>
    </row>
    <row r="89" spans="5:10" x14ac:dyDescent="0.2">
      <c r="E89" s="809" t="s">
        <v>7410</v>
      </c>
      <c r="G89" s="288" t="s">
        <v>7413</v>
      </c>
      <c r="J89" s="288" t="s">
        <v>7414</v>
      </c>
    </row>
    <row r="90" spans="5:10" x14ac:dyDescent="0.2">
      <c r="E90" s="809" t="s">
        <v>7410</v>
      </c>
      <c r="G90" s="288" t="s">
        <v>7411</v>
      </c>
      <c r="J90" s="288" t="s">
        <v>7422</v>
      </c>
    </row>
    <row r="91" spans="5:10" x14ac:dyDescent="0.2">
      <c r="E91" s="809" t="s">
        <v>7405</v>
      </c>
      <c r="G91" s="288" t="s">
        <v>7408</v>
      </c>
      <c r="J91" s="288" t="s">
        <v>7409</v>
      </c>
    </row>
    <row r="92" spans="5:10" x14ac:dyDescent="0.2">
      <c r="E92" s="809" t="s">
        <v>7405</v>
      </c>
      <c r="G92" s="288" t="s">
        <v>7406</v>
      </c>
      <c r="J92" s="288" t="s">
        <v>7407</v>
      </c>
    </row>
    <row r="93" spans="5:10" x14ac:dyDescent="0.2">
      <c r="E93" s="809" t="s">
        <v>7376</v>
      </c>
      <c r="G93" s="288" t="s">
        <v>7384</v>
      </c>
      <c r="J93" s="288" t="s">
        <v>7386</v>
      </c>
    </row>
    <row r="94" spans="5:10" x14ac:dyDescent="0.2">
      <c r="E94" s="809" t="s">
        <v>7376</v>
      </c>
      <c r="G94" s="288" t="s">
        <v>7383</v>
      </c>
      <c r="J94" s="288" t="s">
        <v>7385</v>
      </c>
    </row>
    <row r="95" spans="5:10" x14ac:dyDescent="0.2">
      <c r="E95" s="809" t="s">
        <v>7376</v>
      </c>
      <c r="G95" s="288" t="s">
        <v>7381</v>
      </c>
      <c r="J95" s="288" t="s">
        <v>7382</v>
      </c>
    </row>
    <row r="96" spans="5:10" x14ac:dyDescent="0.2">
      <c r="E96" s="809" t="s">
        <v>7376</v>
      </c>
      <c r="G96" s="288" t="s">
        <v>7379</v>
      </c>
      <c r="J96" s="288" t="s">
        <v>7380</v>
      </c>
    </row>
    <row r="97" spans="5:10" x14ac:dyDescent="0.2">
      <c r="E97" s="809" t="s">
        <v>7376</v>
      </c>
      <c r="G97" s="288" t="s">
        <v>7377</v>
      </c>
      <c r="J97" s="288" t="s">
        <v>7378</v>
      </c>
    </row>
    <row r="98" spans="5:10" x14ac:dyDescent="0.2">
      <c r="E98" s="809" t="s">
        <v>7354</v>
      </c>
      <c r="G98" s="288" t="s">
        <v>7374</v>
      </c>
      <c r="J98" s="288" t="s">
        <v>7375</v>
      </c>
    </row>
    <row r="99" spans="5:10" x14ac:dyDescent="0.2">
      <c r="E99" s="809" t="s">
        <v>7354</v>
      </c>
      <c r="G99" s="288" t="s">
        <v>7369</v>
      </c>
      <c r="J99" s="288" t="s">
        <v>7370</v>
      </c>
    </row>
    <row r="100" spans="5:10" x14ac:dyDescent="0.2">
      <c r="E100" s="809" t="s">
        <v>7354</v>
      </c>
      <c r="G100" s="288" t="s">
        <v>7367</v>
      </c>
      <c r="J100" s="288" t="s">
        <v>7368</v>
      </c>
    </row>
    <row r="101" spans="5:10" x14ac:dyDescent="0.2">
      <c r="E101" s="809" t="s">
        <v>7354</v>
      </c>
      <c r="G101" s="288" t="s">
        <v>7364</v>
      </c>
      <c r="J101" s="288" t="s">
        <v>7365</v>
      </c>
    </row>
    <row r="102" spans="5:10" x14ac:dyDescent="0.2">
      <c r="E102" s="809" t="s">
        <v>7354</v>
      </c>
      <c r="G102" s="288" t="s">
        <v>7363</v>
      </c>
      <c r="J102" s="288" t="s">
        <v>7366</v>
      </c>
    </row>
    <row r="103" spans="5:10" x14ac:dyDescent="0.2">
      <c r="E103" s="809" t="s">
        <v>7354</v>
      </c>
      <c r="G103" s="288" t="s">
        <v>7361</v>
      </c>
      <c r="J103" s="288" t="s">
        <v>7362</v>
      </c>
    </row>
    <row r="104" spans="5:10" x14ac:dyDescent="0.2">
      <c r="E104" s="809" t="s">
        <v>7354</v>
      </c>
      <c r="G104" s="288" t="s">
        <v>7359</v>
      </c>
      <c r="J104" s="288" t="s">
        <v>7360</v>
      </c>
    </row>
    <row r="105" spans="5:10" x14ac:dyDescent="0.2">
      <c r="E105" s="809" t="s">
        <v>7354</v>
      </c>
      <c r="G105" s="288" t="s">
        <v>7357</v>
      </c>
      <c r="J105" s="288" t="s">
        <v>7358</v>
      </c>
    </row>
    <row r="106" spans="5:10" x14ac:dyDescent="0.2">
      <c r="E106" s="809" t="s">
        <v>7354</v>
      </c>
      <c r="G106" s="288" t="s">
        <v>7355</v>
      </c>
      <c r="J106" s="288" t="s">
        <v>7356</v>
      </c>
    </row>
    <row r="107" spans="5:10" x14ac:dyDescent="0.2">
      <c r="E107" s="809" t="s">
        <v>7347</v>
      </c>
      <c r="G107" s="288" t="s">
        <v>7352</v>
      </c>
      <c r="J107" s="288" t="s">
        <v>7353</v>
      </c>
    </row>
    <row r="108" spans="5:10" x14ac:dyDescent="0.2">
      <c r="E108" s="809" t="s">
        <v>7347</v>
      </c>
      <c r="G108" s="288" t="s">
        <v>7350</v>
      </c>
      <c r="J108" s="288" t="s">
        <v>7351</v>
      </c>
    </row>
    <row r="109" spans="5:10" x14ac:dyDescent="0.2">
      <c r="E109" s="809" t="s">
        <v>7347</v>
      </c>
      <c r="G109" s="288" t="s">
        <v>7348</v>
      </c>
      <c r="J109" s="288" t="s">
        <v>7349</v>
      </c>
    </row>
    <row r="110" spans="5:10" x14ac:dyDescent="0.2">
      <c r="E110" s="809" t="s">
        <v>7338</v>
      </c>
      <c r="G110" s="288" t="s">
        <v>7339</v>
      </c>
      <c r="J110" s="288" t="s">
        <v>7340</v>
      </c>
    </row>
    <row r="111" spans="5:10" x14ac:dyDescent="0.2">
      <c r="E111" s="809" t="s">
        <v>7331</v>
      </c>
      <c r="G111" s="288" t="s">
        <v>7335</v>
      </c>
      <c r="J111" s="288" t="s">
        <v>7337</v>
      </c>
    </row>
    <row r="112" spans="5:10" x14ac:dyDescent="0.2">
      <c r="E112" s="809" t="s">
        <v>7331</v>
      </c>
      <c r="G112" s="288" t="s">
        <v>7334</v>
      </c>
      <c r="J112" s="288" t="s">
        <v>7336</v>
      </c>
    </row>
    <row r="113" spans="5:10" x14ac:dyDescent="0.2">
      <c r="E113" s="809" t="s">
        <v>7331</v>
      </c>
      <c r="G113" s="288" t="s">
        <v>7332</v>
      </c>
      <c r="J113" s="288" t="s">
        <v>7333</v>
      </c>
    </row>
    <row r="114" spans="5:10" x14ac:dyDescent="0.2">
      <c r="E114" s="809" t="s">
        <v>7311</v>
      </c>
      <c r="G114" s="288" t="s">
        <v>7326</v>
      </c>
      <c r="J114" s="288" t="s">
        <v>7327</v>
      </c>
    </row>
    <row r="115" spans="5:10" x14ac:dyDescent="0.2">
      <c r="E115" s="809" t="s">
        <v>7311</v>
      </c>
      <c r="G115" s="288" t="s">
        <v>7324</v>
      </c>
      <c r="J115" s="288" t="s">
        <v>7325</v>
      </c>
    </row>
    <row r="116" spans="5:10" x14ac:dyDescent="0.2">
      <c r="E116" s="809" t="s">
        <v>7311</v>
      </c>
      <c r="G116" s="288" t="s">
        <v>7322</v>
      </c>
      <c r="J116" s="288" t="s">
        <v>7323</v>
      </c>
    </row>
    <row r="117" spans="5:10" x14ac:dyDescent="0.2">
      <c r="E117" s="809" t="s">
        <v>7311</v>
      </c>
      <c r="G117" s="288" t="s">
        <v>7320</v>
      </c>
      <c r="J117" s="288" t="s">
        <v>7321</v>
      </c>
    </row>
    <row r="118" spans="5:10" x14ac:dyDescent="0.2">
      <c r="E118" s="809" t="s">
        <v>7311</v>
      </c>
      <c r="G118" s="288" t="s">
        <v>7318</v>
      </c>
      <c r="J118" s="288" t="s">
        <v>7319</v>
      </c>
    </row>
    <row r="119" spans="5:10" x14ac:dyDescent="0.2">
      <c r="E119" s="809" t="s">
        <v>7311</v>
      </c>
      <c r="G119" s="288" t="s">
        <v>7316</v>
      </c>
      <c r="J119" s="288" t="s">
        <v>7317</v>
      </c>
    </row>
    <row r="120" spans="5:10" x14ac:dyDescent="0.2">
      <c r="E120" s="809" t="s">
        <v>7311</v>
      </c>
      <c r="G120" s="288" t="s">
        <v>7314</v>
      </c>
      <c r="J120" s="288" t="s">
        <v>7315</v>
      </c>
    </row>
    <row r="121" spans="5:10" x14ac:dyDescent="0.2">
      <c r="E121" s="809" t="s">
        <v>7311</v>
      </c>
      <c r="G121" s="288" t="s">
        <v>7312</v>
      </c>
      <c r="J121" s="288" t="s">
        <v>7313</v>
      </c>
    </row>
    <row r="122" spans="5:10" x14ac:dyDescent="0.2">
      <c r="E122" s="809" t="s">
        <v>7302</v>
      </c>
      <c r="G122" s="288" t="s">
        <v>7309</v>
      </c>
      <c r="J122" s="288" t="s">
        <v>7310</v>
      </c>
    </row>
    <row r="123" spans="5:10" x14ac:dyDescent="0.2">
      <c r="E123" s="809" t="s">
        <v>7302</v>
      </c>
      <c r="G123" s="288" t="s">
        <v>7306</v>
      </c>
      <c r="J123" s="288" t="s">
        <v>7308</v>
      </c>
    </row>
    <row r="124" spans="5:10" x14ac:dyDescent="0.2">
      <c r="E124" s="809" t="s">
        <v>7302</v>
      </c>
      <c r="G124" s="288" t="s">
        <v>7305</v>
      </c>
      <c r="J124" s="288" t="s">
        <v>7307</v>
      </c>
    </row>
    <row r="125" spans="5:10" x14ac:dyDescent="0.2">
      <c r="E125" s="809" t="s">
        <v>7302</v>
      </c>
      <c r="G125" s="288" t="s">
        <v>7303</v>
      </c>
      <c r="J125" s="288" t="s">
        <v>7304</v>
      </c>
    </row>
    <row r="126" spans="5:10" x14ac:dyDescent="0.2">
      <c r="E126" s="809" t="s">
        <v>7291</v>
      </c>
      <c r="G126" s="288" t="s">
        <v>7300</v>
      </c>
      <c r="J126" s="288" t="s">
        <v>7301</v>
      </c>
    </row>
    <row r="127" spans="5:10" x14ac:dyDescent="0.2">
      <c r="E127" s="809" t="s">
        <v>7291</v>
      </c>
      <c r="G127" s="288" t="s">
        <v>7298</v>
      </c>
      <c r="J127" s="288" t="s">
        <v>7299</v>
      </c>
    </row>
    <row r="128" spans="5:10" x14ac:dyDescent="0.2">
      <c r="E128" s="809" t="s">
        <v>7291</v>
      </c>
      <c r="G128" s="288" t="s">
        <v>7296</v>
      </c>
      <c r="J128" s="288" t="s">
        <v>7297</v>
      </c>
    </row>
    <row r="129" spans="5:10" x14ac:dyDescent="0.2">
      <c r="E129" s="809" t="s">
        <v>7291</v>
      </c>
      <c r="G129" s="288" t="s">
        <v>7294</v>
      </c>
      <c r="J129" s="288" t="s">
        <v>7295</v>
      </c>
    </row>
    <row r="130" spans="5:10" x14ac:dyDescent="0.2">
      <c r="E130" s="809" t="s">
        <v>7291</v>
      </c>
      <c r="G130" s="288" t="s">
        <v>7292</v>
      </c>
      <c r="J130" s="288" t="s">
        <v>7293</v>
      </c>
    </row>
    <row r="131" spans="5:10" x14ac:dyDescent="0.2">
      <c r="E131" s="809" t="s">
        <v>7284</v>
      </c>
      <c r="G131" s="288" t="s">
        <v>7289</v>
      </c>
      <c r="J131" s="288" t="s">
        <v>7290</v>
      </c>
    </row>
    <row r="132" spans="5:10" x14ac:dyDescent="0.2">
      <c r="E132" s="809" t="s">
        <v>7284</v>
      </c>
      <c r="G132" s="288" t="s">
        <v>7287</v>
      </c>
      <c r="J132" s="288" t="s">
        <v>7288</v>
      </c>
    </row>
    <row r="133" spans="5:10" x14ac:dyDescent="0.2">
      <c r="E133" s="809" t="s">
        <v>7284</v>
      </c>
      <c r="G133" s="288" t="s">
        <v>7285</v>
      </c>
      <c r="J133" s="288" t="s">
        <v>7286</v>
      </c>
    </row>
    <row r="134" spans="5:10" x14ac:dyDescent="0.2">
      <c r="E134" s="809" t="s">
        <v>7281</v>
      </c>
      <c r="G134" s="288" t="s">
        <v>7282</v>
      </c>
      <c r="J134" s="288" t="s">
        <v>7283</v>
      </c>
    </row>
    <row r="135" spans="5:10" x14ac:dyDescent="0.2">
      <c r="E135" s="809" t="s">
        <v>7258</v>
      </c>
      <c r="G135" s="288" t="s">
        <v>7278</v>
      </c>
      <c r="J135" s="288" t="s">
        <v>7279</v>
      </c>
    </row>
    <row r="136" spans="5:10" x14ac:dyDescent="0.2">
      <c r="E136" s="809" t="s">
        <v>7258</v>
      </c>
      <c r="G136" s="288" t="s">
        <v>7261</v>
      </c>
      <c r="J136" s="288" t="s">
        <v>7280</v>
      </c>
    </row>
    <row r="137" spans="5:10" x14ac:dyDescent="0.2">
      <c r="E137" s="809" t="s">
        <v>7258</v>
      </c>
      <c r="G137" s="288" t="s">
        <v>7259</v>
      </c>
      <c r="J137" s="288" t="s">
        <v>7260</v>
      </c>
    </row>
    <row r="138" spans="5:10" x14ac:dyDescent="0.2">
      <c r="E138" s="809" t="s">
        <v>7258</v>
      </c>
      <c r="G138" s="288" t="s">
        <v>7256</v>
      </c>
      <c r="J138" s="288" t="s">
        <v>7257</v>
      </c>
    </row>
    <row r="139" spans="5:10" x14ac:dyDescent="0.2">
      <c r="E139" s="809" t="s">
        <v>7210</v>
      </c>
      <c r="G139" s="288" t="s">
        <v>7235</v>
      </c>
      <c r="J139" s="288" t="s">
        <v>7236</v>
      </c>
    </row>
    <row r="140" spans="5:10" x14ac:dyDescent="0.2">
      <c r="E140" s="809" t="s">
        <v>7210</v>
      </c>
      <c r="G140" s="288" t="s">
        <v>7233</v>
      </c>
      <c r="J140" s="288" t="s">
        <v>7234</v>
      </c>
    </row>
    <row r="141" spans="5:10" x14ac:dyDescent="0.2">
      <c r="E141" s="809" t="s">
        <v>7210</v>
      </c>
      <c r="G141" s="288" t="s">
        <v>7231</v>
      </c>
      <c r="J141" s="288" t="s">
        <v>7232</v>
      </c>
    </row>
    <row r="142" spans="5:10" x14ac:dyDescent="0.2">
      <c r="E142" s="809" t="s">
        <v>7210</v>
      </c>
      <c r="G142" s="288" t="s">
        <v>7229</v>
      </c>
      <c r="J142" s="288" t="s">
        <v>7230</v>
      </c>
    </row>
    <row r="143" spans="5:10" x14ac:dyDescent="0.2">
      <c r="E143" s="809" t="s">
        <v>7210</v>
      </c>
      <c r="G143" s="288" t="s">
        <v>7228</v>
      </c>
      <c r="J143" s="288" t="s">
        <v>7227</v>
      </c>
    </row>
    <row r="144" spans="5:10" x14ac:dyDescent="0.2">
      <c r="E144" s="809" t="s">
        <v>7210</v>
      </c>
      <c r="G144" s="288" t="s">
        <v>7225</v>
      </c>
      <c r="J144" s="288" t="s">
        <v>7226</v>
      </c>
    </row>
    <row r="145" spans="5:10" x14ac:dyDescent="0.2">
      <c r="E145" s="809" t="s">
        <v>7210</v>
      </c>
      <c r="G145" s="288" t="s">
        <v>7223</v>
      </c>
      <c r="J145" s="288" t="s">
        <v>7224</v>
      </c>
    </row>
    <row r="146" spans="5:10" x14ac:dyDescent="0.2">
      <c r="E146" s="809" t="s">
        <v>7210</v>
      </c>
      <c r="G146" s="288" t="s">
        <v>7221</v>
      </c>
      <c r="J146" s="288" t="s">
        <v>7222</v>
      </c>
    </row>
    <row r="147" spans="5:10" x14ac:dyDescent="0.2">
      <c r="E147" s="809" t="s">
        <v>7210</v>
      </c>
      <c r="G147" s="288" t="s">
        <v>7219</v>
      </c>
      <c r="J147" s="288" t="s">
        <v>7220</v>
      </c>
    </row>
    <row r="148" spans="5:10" x14ac:dyDescent="0.2">
      <c r="E148" s="809" t="s">
        <v>7210</v>
      </c>
      <c r="G148" s="288" t="s">
        <v>7217</v>
      </c>
      <c r="J148" s="288" t="s">
        <v>7218</v>
      </c>
    </row>
    <row r="149" spans="5:10" x14ac:dyDescent="0.2">
      <c r="E149" s="809" t="s">
        <v>7210</v>
      </c>
      <c r="G149" s="288" t="s">
        <v>7216</v>
      </c>
      <c r="J149" s="288" t="s">
        <v>7215</v>
      </c>
    </row>
    <row r="150" spans="5:10" x14ac:dyDescent="0.2">
      <c r="E150" s="809" t="s">
        <v>7210</v>
      </c>
      <c r="G150" s="288" t="s">
        <v>7214</v>
      </c>
      <c r="J150" s="288" t="s">
        <v>7213</v>
      </c>
    </row>
    <row r="151" spans="5:10" x14ac:dyDescent="0.2">
      <c r="E151" s="809" t="s">
        <v>7210</v>
      </c>
      <c r="G151" s="288" t="s">
        <v>7212</v>
      </c>
      <c r="J151" s="288" t="s">
        <v>7209</v>
      </c>
    </row>
    <row r="152" spans="5:10" x14ac:dyDescent="0.2">
      <c r="E152" s="809" t="s">
        <v>7210</v>
      </c>
      <c r="G152" s="288" t="s">
        <v>7211</v>
      </c>
      <c r="J152" s="288" t="s">
        <v>7208</v>
      </c>
    </row>
    <row r="153" spans="5:10" x14ac:dyDescent="0.2">
      <c r="E153" s="809" t="s">
        <v>7140</v>
      </c>
      <c r="G153" s="288" t="s">
        <v>7141</v>
      </c>
      <c r="J153" s="288" t="s">
        <v>7142</v>
      </c>
    </row>
    <row r="154" spans="5:10" x14ac:dyDescent="0.2">
      <c r="E154" s="809" t="s">
        <v>7133</v>
      </c>
      <c r="G154" s="288" t="s">
        <v>7138</v>
      </c>
      <c r="J154" s="288" t="s">
        <v>7139</v>
      </c>
    </row>
    <row r="155" spans="5:10" x14ac:dyDescent="0.2">
      <c r="E155" s="809" t="s">
        <v>7133</v>
      </c>
      <c r="G155" s="288" t="s">
        <v>7134</v>
      </c>
      <c r="J155" s="288" t="s">
        <v>7135</v>
      </c>
    </row>
    <row r="156" spans="5:10" x14ac:dyDescent="0.2">
      <c r="E156" s="809" t="s">
        <v>7133</v>
      </c>
      <c r="G156" s="288" t="s">
        <v>7131</v>
      </c>
      <c r="J156" s="288" t="s">
        <v>7132</v>
      </c>
    </row>
    <row r="157" spans="5:10" x14ac:dyDescent="0.2">
      <c r="E157" s="809" t="s">
        <v>7103</v>
      </c>
      <c r="G157" s="288" t="s">
        <v>7110</v>
      </c>
      <c r="J157" s="288" t="s">
        <v>7111</v>
      </c>
    </row>
    <row r="158" spans="5:10" x14ac:dyDescent="0.2">
      <c r="E158" s="809" t="s">
        <v>7103</v>
      </c>
      <c r="G158" s="288" t="s">
        <v>7108</v>
      </c>
      <c r="J158" s="288" t="s">
        <v>7109</v>
      </c>
    </row>
    <row r="159" spans="5:10" x14ac:dyDescent="0.2">
      <c r="E159" s="809" t="s">
        <v>7103</v>
      </c>
      <c r="G159" s="288" t="s">
        <v>7106</v>
      </c>
      <c r="J159" s="288" t="s">
        <v>7107</v>
      </c>
    </row>
    <row r="160" spans="5:10" x14ac:dyDescent="0.2">
      <c r="E160" s="809" t="s">
        <v>7103</v>
      </c>
      <c r="G160" s="288" t="s">
        <v>7104</v>
      </c>
      <c r="J160" s="288" t="s">
        <v>7105</v>
      </c>
    </row>
    <row r="161" spans="5:10" x14ac:dyDescent="0.2">
      <c r="E161" s="809" t="s">
        <v>7098</v>
      </c>
      <c r="G161" s="288" t="s">
        <v>7101</v>
      </c>
      <c r="J161" s="288" t="s">
        <v>7102</v>
      </c>
    </row>
    <row r="162" spans="5:10" x14ac:dyDescent="0.2">
      <c r="E162" s="809" t="s">
        <v>7098</v>
      </c>
      <c r="G162" s="288" t="s">
        <v>7099</v>
      </c>
      <c r="J162" s="288" t="s">
        <v>7100</v>
      </c>
    </row>
    <row r="163" spans="5:10" x14ac:dyDescent="0.2">
      <c r="E163" s="809" t="s">
        <v>7095</v>
      </c>
      <c r="G163" s="288" t="s">
        <v>7096</v>
      </c>
      <c r="J163" s="288" t="s">
        <v>7097</v>
      </c>
    </row>
    <row r="164" spans="5:10" x14ac:dyDescent="0.2">
      <c r="E164" s="810" t="s">
        <v>7092</v>
      </c>
      <c r="G164" s="288" t="s">
        <v>7093</v>
      </c>
      <c r="J164" s="288" t="s">
        <v>7094</v>
      </c>
    </row>
    <row r="165" spans="5:10" x14ac:dyDescent="0.2">
      <c r="E165" s="810">
        <v>43039</v>
      </c>
      <c r="G165" s="288" t="s">
        <v>7090</v>
      </c>
      <c r="J165" s="288" t="s">
        <v>7091</v>
      </c>
    </row>
    <row r="166" spans="5:10" x14ac:dyDescent="0.2">
      <c r="E166" s="810">
        <v>43039</v>
      </c>
      <c r="G166" s="288" t="s">
        <v>7042</v>
      </c>
      <c r="J166" s="288" t="s">
        <v>7043</v>
      </c>
    </row>
    <row r="167" spans="5:10" x14ac:dyDescent="0.2">
      <c r="E167" s="810">
        <v>43039</v>
      </c>
      <c r="G167" s="288" t="s">
        <v>7040</v>
      </c>
      <c r="J167" s="288" t="s">
        <v>7041</v>
      </c>
    </row>
    <row r="168" spans="5:10" x14ac:dyDescent="0.2">
      <c r="E168" s="810">
        <v>43038</v>
      </c>
      <c r="G168" s="288" t="s">
        <v>7038</v>
      </c>
      <c r="J168" s="288" t="s">
        <v>7039</v>
      </c>
    </row>
    <row r="169" spans="5:10" x14ac:dyDescent="0.2">
      <c r="E169" s="810">
        <v>43038</v>
      </c>
      <c r="G169" s="288" t="s">
        <v>7036</v>
      </c>
      <c r="J169" s="288" t="s">
        <v>7037</v>
      </c>
    </row>
    <row r="170" spans="5:10" x14ac:dyDescent="0.2">
      <c r="E170" s="810">
        <v>43038</v>
      </c>
      <c r="G170" s="288" t="s">
        <v>7031</v>
      </c>
      <c r="J170" s="288" t="s">
        <v>7032</v>
      </c>
    </row>
    <row r="171" spans="5:10" x14ac:dyDescent="0.2">
      <c r="E171" s="810">
        <v>43038</v>
      </c>
      <c r="G171" s="288" t="s">
        <v>7029</v>
      </c>
      <c r="J171" s="288" t="s">
        <v>7030</v>
      </c>
    </row>
    <row r="172" spans="5:10" x14ac:dyDescent="0.2">
      <c r="E172" s="810">
        <v>43038</v>
      </c>
      <c r="G172" s="288" t="s">
        <v>7027</v>
      </c>
      <c r="J172" s="288" t="s">
        <v>7028</v>
      </c>
    </row>
    <row r="173" spans="5:10" x14ac:dyDescent="0.2">
      <c r="E173" s="810">
        <v>43037</v>
      </c>
      <c r="G173" s="288" t="s">
        <v>7025</v>
      </c>
      <c r="J173" s="288" t="s">
        <v>7026</v>
      </c>
    </row>
    <row r="174" spans="5:10" x14ac:dyDescent="0.2">
      <c r="E174" s="810">
        <v>43037</v>
      </c>
      <c r="G174" s="288" t="s">
        <v>7023</v>
      </c>
      <c r="J174" s="288" t="s">
        <v>7024</v>
      </c>
    </row>
    <row r="175" spans="5:10" x14ac:dyDescent="0.2">
      <c r="E175" s="810">
        <v>43037</v>
      </c>
      <c r="G175" s="288" t="s">
        <v>7017</v>
      </c>
      <c r="J175" s="288" t="s">
        <v>7018</v>
      </c>
    </row>
    <row r="176" spans="5:10" x14ac:dyDescent="0.2">
      <c r="E176" s="810">
        <v>43037</v>
      </c>
      <c r="G176" s="288" t="s">
        <v>7015</v>
      </c>
      <c r="J176" s="288" t="s">
        <v>7019</v>
      </c>
    </row>
    <row r="177" spans="5:10" x14ac:dyDescent="0.2">
      <c r="E177" s="810">
        <v>43037</v>
      </c>
      <c r="G177" s="288" t="s">
        <v>7014</v>
      </c>
      <c r="J177" s="288" t="s">
        <v>7016</v>
      </c>
    </row>
    <row r="178" spans="5:10" x14ac:dyDescent="0.2">
      <c r="E178" s="810">
        <v>43033</v>
      </c>
      <c r="G178" s="288" t="s">
        <v>7012</v>
      </c>
      <c r="J178" s="288" t="s">
        <v>7013</v>
      </c>
    </row>
    <row r="179" spans="5:10" x14ac:dyDescent="0.2">
      <c r="E179" s="810">
        <v>43033</v>
      </c>
      <c r="G179" s="288" t="s">
        <v>7010</v>
      </c>
      <c r="J179" s="288" t="s">
        <v>7011</v>
      </c>
    </row>
    <row r="180" spans="5:10" x14ac:dyDescent="0.2">
      <c r="E180" s="810">
        <v>43033</v>
      </c>
      <c r="G180" s="288" t="s">
        <v>7008</v>
      </c>
      <c r="J180" s="288" t="s">
        <v>7009</v>
      </c>
    </row>
    <row r="181" spans="5:10" x14ac:dyDescent="0.2">
      <c r="E181" s="810">
        <v>43033</v>
      </c>
      <c r="G181" s="288" t="s">
        <v>7005</v>
      </c>
      <c r="J181" s="287" t="s">
        <v>7006</v>
      </c>
    </row>
    <row r="182" spans="5:10" x14ac:dyDescent="0.2">
      <c r="E182" s="810">
        <v>43033</v>
      </c>
      <c r="G182" s="288" t="s">
        <v>7003</v>
      </c>
      <c r="J182" s="288" t="s">
        <v>7004</v>
      </c>
    </row>
    <row r="183" spans="5:10" x14ac:dyDescent="0.2">
      <c r="E183" s="810">
        <v>43033</v>
      </c>
      <c r="G183" s="288" t="s">
        <v>7001</v>
      </c>
      <c r="J183" s="288" t="s">
        <v>7002</v>
      </c>
    </row>
    <row r="184" spans="5:10" x14ac:dyDescent="0.2">
      <c r="E184" s="810">
        <v>43032</v>
      </c>
      <c r="G184" s="288" t="s">
        <v>6999</v>
      </c>
      <c r="J184" s="288" t="s">
        <v>7000</v>
      </c>
    </row>
    <row r="185" spans="5:10" x14ac:dyDescent="0.2">
      <c r="E185" s="810">
        <v>43032</v>
      </c>
      <c r="G185" s="288" t="s">
        <v>6997</v>
      </c>
      <c r="J185" s="288" t="s">
        <v>6998</v>
      </c>
    </row>
    <row r="186" spans="5:10" x14ac:dyDescent="0.2">
      <c r="E186" s="810">
        <v>43032</v>
      </c>
      <c r="G186" s="288" t="s">
        <v>6995</v>
      </c>
      <c r="J186" s="288" t="s">
        <v>6996</v>
      </c>
    </row>
    <row r="187" spans="5:10" x14ac:dyDescent="0.2">
      <c r="E187" s="810">
        <v>43032</v>
      </c>
      <c r="G187" s="288" t="s">
        <v>6994</v>
      </c>
      <c r="J187" s="288" t="s">
        <v>6993</v>
      </c>
    </row>
    <row r="188" spans="5:10" x14ac:dyDescent="0.2">
      <c r="E188" s="810">
        <v>43031</v>
      </c>
      <c r="G188" s="288" t="s">
        <v>6991</v>
      </c>
      <c r="J188" s="288" t="s">
        <v>6992</v>
      </c>
    </row>
    <row r="189" spans="5:10" x14ac:dyDescent="0.2">
      <c r="E189" s="810">
        <v>43031</v>
      </c>
      <c r="G189" s="288" t="s">
        <v>6989</v>
      </c>
      <c r="J189" s="288" t="s">
        <v>6990</v>
      </c>
    </row>
    <row r="190" spans="5:10" x14ac:dyDescent="0.2">
      <c r="E190" s="810">
        <v>43031</v>
      </c>
      <c r="G190" s="288" t="s">
        <v>6987</v>
      </c>
      <c r="J190" s="288" t="s">
        <v>6988</v>
      </c>
    </row>
    <row r="191" spans="5:10" x14ac:dyDescent="0.2">
      <c r="E191" s="810">
        <v>43031</v>
      </c>
      <c r="G191" s="288" t="s">
        <v>6985</v>
      </c>
      <c r="J191" s="288" t="s">
        <v>6986</v>
      </c>
    </row>
    <row r="192" spans="5:10" x14ac:dyDescent="0.2">
      <c r="E192" s="810">
        <v>43030</v>
      </c>
      <c r="G192" s="288" t="s">
        <v>6981</v>
      </c>
      <c r="J192" s="288" t="s">
        <v>6982</v>
      </c>
    </row>
    <row r="193" spans="5:10" x14ac:dyDescent="0.2">
      <c r="E193" s="810">
        <v>43030</v>
      </c>
      <c r="G193" s="288" t="s">
        <v>7007</v>
      </c>
      <c r="J193" s="288" t="s">
        <v>6980</v>
      </c>
    </row>
    <row r="194" spans="5:10" x14ac:dyDescent="0.2">
      <c r="E194" s="810">
        <v>43030</v>
      </c>
      <c r="G194" s="288" t="s">
        <v>6975</v>
      </c>
      <c r="J194" s="288" t="s">
        <v>6976</v>
      </c>
    </row>
    <row r="195" spans="5:10" x14ac:dyDescent="0.2">
      <c r="E195" s="810">
        <v>43030</v>
      </c>
      <c r="G195" s="288" t="s">
        <v>6973</v>
      </c>
      <c r="J195" s="288" t="s">
        <v>6974</v>
      </c>
    </row>
    <row r="196" spans="5:10" x14ac:dyDescent="0.2">
      <c r="E196" s="810">
        <v>43017</v>
      </c>
      <c r="G196" s="287" t="s">
        <v>6968</v>
      </c>
      <c r="J196" s="287" t="s">
        <v>6972</v>
      </c>
    </row>
    <row r="197" spans="5:10" x14ac:dyDescent="0.2">
      <c r="E197" s="810">
        <v>43017</v>
      </c>
      <c r="G197" s="287" t="s">
        <v>6967</v>
      </c>
      <c r="J197" s="287" t="s">
        <v>6966</v>
      </c>
    </row>
    <row r="198" spans="5:10" x14ac:dyDescent="0.2">
      <c r="E198" s="810">
        <v>43017</v>
      </c>
      <c r="G198" s="287" t="s">
        <v>6969</v>
      </c>
      <c r="J198" s="287" t="s">
        <v>6965</v>
      </c>
    </row>
    <row r="199" spans="5:10" x14ac:dyDescent="0.2">
      <c r="E199" s="810">
        <v>43017</v>
      </c>
      <c r="G199" s="287" t="s">
        <v>6963</v>
      </c>
      <c r="J199" s="287" t="s">
        <v>6964</v>
      </c>
    </row>
    <row r="200" spans="5:10" x14ac:dyDescent="0.2">
      <c r="E200" s="810">
        <v>43017</v>
      </c>
      <c r="G200" s="288" t="s">
        <v>6961</v>
      </c>
      <c r="J200" s="288" t="s">
        <v>6962</v>
      </c>
    </row>
    <row r="201" spans="5:10" x14ac:dyDescent="0.2">
      <c r="E201" s="810">
        <v>43017</v>
      </c>
      <c r="G201" s="288" t="s">
        <v>6970</v>
      </c>
      <c r="J201" s="288" t="s">
        <v>6960</v>
      </c>
    </row>
    <row r="202" spans="5:10" x14ac:dyDescent="0.2">
      <c r="E202" s="810">
        <v>43015</v>
      </c>
      <c r="G202" s="288" t="s">
        <v>6971</v>
      </c>
      <c r="J202" s="288" t="s">
        <v>6958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  <outlinePr showOutlineSymbols="0"/>
  </sheetPr>
  <dimension ref="B1:BP39"/>
  <sheetViews>
    <sheetView showGridLines="0" showRowColHeaders="0" showZeros="0" showOutlineSymbols="0"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18" customWidth="1"/>
    <col min="2" max="3" width="5.42578125" style="318" customWidth="1"/>
    <col min="4" max="4" width="3.140625" style="318" customWidth="1"/>
    <col min="5" max="5" width="23.5703125" style="318" customWidth="1"/>
    <col min="6" max="6" width="9.42578125" style="318" customWidth="1"/>
    <col min="7" max="7" width="9.140625" style="318"/>
    <col min="8" max="8" width="9.5703125" style="318" customWidth="1"/>
    <col min="9" max="9" width="26" style="318" customWidth="1"/>
    <col min="10" max="10" width="14.5703125" style="318" customWidth="1"/>
    <col min="11" max="11" width="10.7109375" style="318" customWidth="1"/>
    <col min="12" max="12" width="9.140625" style="318"/>
    <col min="13" max="13" width="9.28515625" style="318" customWidth="1"/>
    <col min="14" max="14" width="17.5703125" style="318" customWidth="1"/>
    <col min="15" max="15" width="5.28515625" style="318" customWidth="1"/>
    <col min="16" max="16" width="7" style="318" customWidth="1"/>
    <col min="17" max="17" width="15" style="318" customWidth="1"/>
    <col min="18" max="18" width="10.140625" style="318" customWidth="1"/>
    <col min="19" max="19" width="9.140625" style="318"/>
    <col min="20" max="20" width="40.28515625" style="318" customWidth="1"/>
    <col min="21" max="16384" width="9.140625" style="318"/>
  </cols>
  <sheetData>
    <row r="1" spans="2:68" s="315" customFormat="1" ht="17.25" customHeight="1" x14ac:dyDescent="0.2">
      <c r="B1" s="578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  <c r="P1" s="566"/>
      <c r="Q1" s="566"/>
      <c r="R1" s="566"/>
      <c r="S1" s="566"/>
      <c r="T1" s="566"/>
    </row>
    <row r="2" spans="2:68" s="315" customFormat="1" ht="17.25" customHeight="1" x14ac:dyDescent="0.2">
      <c r="B2" s="566"/>
      <c r="C2" s="566"/>
      <c r="D2" s="566"/>
      <c r="E2" s="566"/>
      <c r="F2" s="569" t="s">
        <v>229</v>
      </c>
      <c r="G2" s="566" t="str">
        <f ca="1">Txt_Pat_AfspraakDat</f>
        <v>14-nov-2018</v>
      </c>
      <c r="H2" s="570"/>
      <c r="I2" s="571"/>
      <c r="J2" s="569"/>
      <c r="K2" s="569"/>
      <c r="L2" s="579" t="s">
        <v>236</v>
      </c>
      <c r="M2" s="566"/>
      <c r="N2" s="566" t="str">
        <f ca="1">Txt_Pat_GeboorteDat</f>
        <v/>
      </c>
      <c r="O2" s="569"/>
      <c r="P2" s="566"/>
      <c r="Q2" s="566"/>
      <c r="R2" s="569" t="str">
        <f>Txt_Pat_Gewicht</f>
        <v>Gewicht:</v>
      </c>
      <c r="S2" s="569"/>
      <c r="T2" s="566" t="str">
        <f>Txt_Pat_Bed</f>
        <v/>
      </c>
    </row>
    <row r="3" spans="2:68" s="315" customFormat="1" ht="17.25" customHeight="1" x14ac:dyDescent="0.2">
      <c r="B3" s="566"/>
      <c r="C3" s="566"/>
      <c r="D3" s="566"/>
      <c r="E3" s="566"/>
      <c r="F3" s="569" t="s">
        <v>27</v>
      </c>
      <c r="G3" s="566" t="str">
        <f>Txt_Pat_FullName</f>
        <v/>
      </c>
      <c r="H3" s="574"/>
      <c r="I3" s="574"/>
      <c r="J3" s="569"/>
      <c r="K3" s="569"/>
      <c r="L3" s="580" t="s">
        <v>208</v>
      </c>
      <c r="M3" s="566"/>
      <c r="N3" s="566" t="str">
        <f ca="1">Txt_Pat_Leeftijd</f>
        <v/>
      </c>
      <c r="O3" s="569"/>
      <c r="P3" s="566"/>
      <c r="Q3" s="566"/>
      <c r="R3" s="569" t="str">
        <f>Txt_Pat_Lengte</f>
        <v>Lengte:</v>
      </c>
      <c r="S3" s="566"/>
      <c r="T3" s="566"/>
    </row>
    <row r="4" spans="2:68" s="315" customFormat="1" ht="17.25" customHeight="1" x14ac:dyDescent="0.2">
      <c r="B4" s="566"/>
      <c r="C4" s="566"/>
      <c r="D4" s="566"/>
      <c r="E4" s="566"/>
      <c r="F4" s="575" t="s">
        <v>3457</v>
      </c>
      <c r="G4" s="566" t="str">
        <f>Txt_Pat_PatNo</f>
        <v/>
      </c>
      <c r="H4" s="569"/>
      <c r="I4" s="571"/>
      <c r="J4" s="569"/>
      <c r="K4" s="569"/>
      <c r="L4" s="566" t="s">
        <v>5263</v>
      </c>
      <c r="M4" s="566"/>
      <c r="N4" s="566" t="str">
        <f>Txt_Pat_Geslacht</f>
        <v>onbekend</v>
      </c>
      <c r="O4" s="569"/>
      <c r="P4" s="566"/>
      <c r="Q4" s="569"/>
      <c r="R4" s="569" t="str">
        <f>Txt_Pat_Oppervlak</f>
        <v>Lichamelijk oppervlak:</v>
      </c>
      <c r="S4" s="566"/>
      <c r="T4" s="566"/>
    </row>
    <row r="5" spans="2:68" s="315" customFormat="1" ht="8.1" customHeight="1" x14ac:dyDescent="0.2">
      <c r="B5" s="566"/>
      <c r="C5" s="566"/>
      <c r="D5" s="566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</row>
    <row r="6" spans="2:68" s="417" customFormat="1" ht="8.1" customHeight="1" x14ac:dyDescent="0.2"/>
    <row r="7" spans="2:68" s="417" customFormat="1" ht="20.100000000000001" customHeight="1" x14ac:dyDescent="0.2">
      <c r="B7" s="613" t="s">
        <v>3456</v>
      </c>
      <c r="C7" s="613" t="s">
        <v>3288</v>
      </c>
      <c r="D7" s="612"/>
      <c r="E7" s="612" t="s">
        <v>862</v>
      </c>
      <c r="F7" s="611" t="s">
        <v>254</v>
      </c>
      <c r="G7" s="610"/>
      <c r="H7" s="612"/>
      <c r="I7" s="612"/>
      <c r="J7" s="612" t="s">
        <v>154</v>
      </c>
      <c r="K7" s="612" t="s">
        <v>469</v>
      </c>
      <c r="L7" s="612"/>
      <c r="M7" s="612" t="s">
        <v>343</v>
      </c>
      <c r="N7" s="612" t="s">
        <v>255</v>
      </c>
      <c r="O7" s="612" t="s">
        <v>110</v>
      </c>
      <c r="P7" s="612"/>
      <c r="Q7" s="612"/>
      <c r="R7" s="612" t="s">
        <v>3292</v>
      </c>
      <c r="S7" s="612" t="s">
        <v>291</v>
      </c>
      <c r="T7" s="612" t="s">
        <v>181</v>
      </c>
    </row>
    <row r="8" spans="2:68" ht="8.1" customHeight="1" x14ac:dyDescent="0.2">
      <c r="B8" s="304"/>
      <c r="C8" s="304"/>
      <c r="D8" s="304"/>
      <c r="E8" s="304"/>
      <c r="F8" s="316"/>
      <c r="G8" s="317"/>
      <c r="H8" s="304"/>
      <c r="I8" s="304"/>
      <c r="J8" s="304"/>
      <c r="K8" s="304"/>
      <c r="L8" s="304"/>
      <c r="M8" s="304"/>
      <c r="N8" s="304"/>
      <c r="O8" s="304"/>
      <c r="P8" s="304"/>
      <c r="Q8" s="304"/>
      <c r="R8" s="304"/>
      <c r="S8" s="304"/>
      <c r="T8" s="304"/>
      <c r="U8" s="295"/>
      <c r="V8" s="295"/>
      <c r="W8" s="295"/>
      <c r="X8" s="417"/>
      <c r="Y8" s="417"/>
      <c r="Z8" s="417"/>
    </row>
    <row r="9" spans="2:68" ht="20.100000000000001" customHeight="1" thickBot="1" x14ac:dyDescent="0.25">
      <c r="B9" s="464" t="str">
        <f>GlobBerMedDisc!AN2</f>
        <v/>
      </c>
      <c r="C9" s="464" t="str">
        <f>GlobBerMedDisc!AQ2</f>
        <v/>
      </c>
      <c r="D9" s="600">
        <v>1</v>
      </c>
      <c r="E9" s="698" t="str">
        <f>IF(LEN(GlobBerMedDisc!B2)&gt;20, LEFT(GlobBerMedDisc!B2,20)&amp;"…",IF(LEN(GlobBerMedDisc!B2)&gt;0,GlobBerMedDisc!B2,""))</f>
        <v/>
      </c>
      <c r="F9" s="818" t="str">
        <f>GlobBerMedDisc!AR2</f>
        <v/>
      </c>
      <c r="G9" s="818"/>
      <c r="H9" s="818"/>
      <c r="I9" s="818"/>
      <c r="J9" s="698" t="str">
        <f>GlobBerMedDisc!X2</f>
        <v/>
      </c>
      <c r="K9" s="469" t="str">
        <f>IF(AND(GlobBerMedDisc!C2&gt;1,GlobBerMedDisc!BP2),GlobBerMedDisc!H2,"")</f>
        <v/>
      </c>
      <c r="L9" s="470" t="str">
        <f>IF(AND(GlobBerMedDisc!C2&gt;1,GlobBerMedDisc!BP2),GlobBerMedDisc!F2,"")</f>
        <v/>
      </c>
      <c r="M9" s="438" t="str">
        <f>GlobBerMedDisc!Z2</f>
        <v/>
      </c>
      <c r="N9" s="438" t="str">
        <f>GlobBerMedDisc!AO2</f>
        <v/>
      </c>
      <c r="O9" s="438" t="str">
        <f>IF(AND(GlobBerMedDisc!C2&gt;1,GlobBerMedDisc!P2&gt;1),GlobBerMedDisc!O2,"")</f>
        <v/>
      </c>
      <c r="P9" s="438" t="str">
        <f>IF(AND(GlobBerMedDisc!C2&gt;1,O9&lt;&gt;0,GlobBerMedDisc!P2&gt;1),"ml","")</f>
        <v/>
      </c>
      <c r="Q9" s="438"/>
      <c r="R9" s="438" t="str">
        <f>GlobBerMedDisc!AP2</f>
        <v/>
      </c>
      <c r="S9" s="438" t="str">
        <f>IF(AND(GlobBerMedDisc!R2&gt;0),GlobBerMedDisc!R2&amp;" min","")</f>
        <v/>
      </c>
      <c r="T9" s="438" t="str">
        <f>GlobBerMedDisc!AS2</f>
        <v/>
      </c>
      <c r="U9" s="417"/>
      <c r="V9" s="417"/>
      <c r="W9" s="417"/>
      <c r="X9" s="417"/>
      <c r="Y9" s="417"/>
      <c r="Z9" s="417"/>
    </row>
    <row r="10" spans="2:68" ht="20.100000000000001" customHeight="1" thickTop="1" thickBot="1" x14ac:dyDescent="0.25">
      <c r="B10" s="464" t="str">
        <f>GlobBerMedDisc!AN3</f>
        <v/>
      </c>
      <c r="C10" s="464" t="str">
        <f>GlobBerMedDisc!AQ3</f>
        <v/>
      </c>
      <c r="D10" s="600">
        <v>2</v>
      </c>
      <c r="E10" s="420" t="str">
        <f>IF(LEN(GlobBerMedDisc!B3)&gt;20, LEFT(GlobBerMedDisc!B3,20)&amp;"…",IF(LEN(GlobBerMedDisc!B3)&gt;0,GlobBerMedDisc!B3,""))</f>
        <v/>
      </c>
      <c r="F10" s="817" t="str">
        <f>GlobBerMedDisc!AR3</f>
        <v/>
      </c>
      <c r="G10" s="817"/>
      <c r="H10" s="817"/>
      <c r="I10" s="817"/>
      <c r="J10" s="420" t="str">
        <f>GlobBerMedDisc!X3</f>
        <v/>
      </c>
      <c r="K10" s="421" t="str">
        <f>IF(AND(GlobBerMedDisc!C3&gt;1,GlobBerMedDisc!BP3),GlobBerMedDisc!H3,"")</f>
        <v/>
      </c>
      <c r="L10" s="422" t="str">
        <f>IF(AND(GlobBerMedDisc!C3&gt;1,GlobBerMedDisc!BP3),GlobBerMedDisc!F3,"")</f>
        <v/>
      </c>
      <c r="M10" s="423" t="str">
        <f>GlobBerMedDisc!Z3</f>
        <v/>
      </c>
      <c r="N10" s="423" t="str">
        <f>GlobBerMedDisc!AO3</f>
        <v/>
      </c>
      <c r="O10" s="423" t="str">
        <f>IF(AND(GlobBerMedDisc!C3&gt;1,GlobBerMedDisc!P3&gt;1),GlobBerMedDisc!O3,"")</f>
        <v/>
      </c>
      <c r="P10" s="423" t="str">
        <f>IF(AND(GlobBerMedDisc!C3&gt;1,O10&lt;&gt;0,GlobBerMedDisc!P3&gt;1),"ml","")</f>
        <v/>
      </c>
      <c r="Q10" s="423"/>
      <c r="R10" s="423" t="str">
        <f>GlobBerMedDisc!AP3</f>
        <v/>
      </c>
      <c r="S10" s="423" t="str">
        <f>IF(AND(GlobBerMedDisc!R3&gt;0),GlobBerMedDisc!R3&amp;" min","")</f>
        <v/>
      </c>
      <c r="T10" s="423" t="str">
        <f>GlobBerMedDisc!AS3</f>
        <v/>
      </c>
      <c r="U10" s="417"/>
      <c r="V10" s="417"/>
      <c r="W10" s="417"/>
      <c r="X10" s="417"/>
      <c r="Y10" s="417"/>
      <c r="Z10" s="417"/>
    </row>
    <row r="11" spans="2:68" ht="20.100000000000001" customHeight="1" thickTop="1" thickBot="1" x14ac:dyDescent="0.25">
      <c r="B11" s="464" t="str">
        <f>GlobBerMedDisc!AN4</f>
        <v/>
      </c>
      <c r="C11" s="464" t="str">
        <f>GlobBerMedDisc!AQ4</f>
        <v/>
      </c>
      <c r="D11" s="600">
        <v>3</v>
      </c>
      <c r="E11" s="420" t="str">
        <f>IF(LEN(GlobBerMedDisc!B4)&gt;20, LEFT(GlobBerMedDisc!B4,20)&amp;"…",IF(LEN(GlobBerMedDisc!B4)&gt;0,GlobBerMedDisc!B4,""))</f>
        <v/>
      </c>
      <c r="F11" s="817" t="str">
        <f>GlobBerMedDisc!AR4</f>
        <v/>
      </c>
      <c r="G11" s="817"/>
      <c r="H11" s="817"/>
      <c r="I11" s="817"/>
      <c r="J11" s="420" t="str">
        <f>GlobBerMedDisc!X4</f>
        <v/>
      </c>
      <c r="K11" s="421" t="str">
        <f>IF(AND(GlobBerMedDisc!C4&gt;1,GlobBerMedDisc!BP4),GlobBerMedDisc!H4,"")</f>
        <v/>
      </c>
      <c r="L11" s="422" t="str">
        <f>IF(AND(GlobBerMedDisc!C4&gt;1,GlobBerMedDisc!BP4),GlobBerMedDisc!F4,"")</f>
        <v/>
      </c>
      <c r="M11" s="423" t="str">
        <f>GlobBerMedDisc!Z4</f>
        <v/>
      </c>
      <c r="N11" s="423" t="str">
        <f>GlobBerMedDisc!AO4</f>
        <v/>
      </c>
      <c r="O11" s="423" t="str">
        <f>IF(AND(GlobBerMedDisc!C4&gt;1,GlobBerMedDisc!P4&gt;1),GlobBerMedDisc!O4,"")</f>
        <v/>
      </c>
      <c r="P11" s="423" t="str">
        <f>IF(AND(GlobBerMedDisc!C4&gt;1,O11&lt;&gt;0,GlobBerMedDisc!P4&gt;1),"ml","")</f>
        <v/>
      </c>
      <c r="Q11" s="423"/>
      <c r="R11" s="423" t="str">
        <f>GlobBerMedDisc!AP4</f>
        <v/>
      </c>
      <c r="S11" s="423" t="str">
        <f>IF(AND(GlobBerMedDisc!R4&gt;0),GlobBerMedDisc!R4&amp;" min","")</f>
        <v/>
      </c>
      <c r="T11" s="423" t="str">
        <f>GlobBerMedDisc!AS4</f>
        <v/>
      </c>
      <c r="U11" s="417"/>
      <c r="V11" s="417"/>
      <c r="W11" s="417"/>
      <c r="X11" s="417"/>
      <c r="Y11" s="417"/>
      <c r="Z11" s="417"/>
    </row>
    <row r="12" spans="2:68" ht="20.100000000000001" customHeight="1" thickTop="1" thickBot="1" x14ac:dyDescent="0.25">
      <c r="B12" s="464" t="str">
        <f>GlobBerMedDisc!AN5</f>
        <v/>
      </c>
      <c r="C12" s="464" t="str">
        <f>GlobBerMedDisc!AQ5</f>
        <v/>
      </c>
      <c r="D12" s="600">
        <v>4</v>
      </c>
      <c r="E12" s="420" t="str">
        <f>IF(LEN(GlobBerMedDisc!B5)&gt;20, LEFT(GlobBerMedDisc!B5,20)&amp;"…",IF(LEN(GlobBerMedDisc!B5)&gt;0,GlobBerMedDisc!B5,""))</f>
        <v/>
      </c>
      <c r="F12" s="817" t="str">
        <f>GlobBerMedDisc!AR5</f>
        <v/>
      </c>
      <c r="G12" s="817"/>
      <c r="H12" s="817"/>
      <c r="I12" s="817"/>
      <c r="J12" s="420" t="str">
        <f>GlobBerMedDisc!X5</f>
        <v/>
      </c>
      <c r="K12" s="421" t="str">
        <f>IF(AND(GlobBerMedDisc!C5&gt;1,GlobBerMedDisc!BP5),GlobBerMedDisc!H5,"")</f>
        <v/>
      </c>
      <c r="L12" s="422" t="str">
        <f>IF(AND(GlobBerMedDisc!C5&gt;1,GlobBerMedDisc!BP5),GlobBerMedDisc!F5,"")</f>
        <v/>
      </c>
      <c r="M12" s="423" t="str">
        <f>GlobBerMedDisc!Z5</f>
        <v/>
      </c>
      <c r="N12" s="423" t="str">
        <f>GlobBerMedDisc!AO5</f>
        <v/>
      </c>
      <c r="O12" s="423" t="str">
        <f>IF(AND(GlobBerMedDisc!C5&gt;1,GlobBerMedDisc!P5&gt;1),GlobBerMedDisc!O5,"")</f>
        <v/>
      </c>
      <c r="P12" s="423" t="str">
        <f>IF(AND(GlobBerMedDisc!C5&gt;1,O12&lt;&gt;0,GlobBerMedDisc!P5&gt;1),"ml","")</f>
        <v/>
      </c>
      <c r="Q12" s="423"/>
      <c r="R12" s="423" t="str">
        <f>GlobBerMedDisc!AP5</f>
        <v/>
      </c>
      <c r="S12" s="423" t="str">
        <f>IF(AND(GlobBerMedDisc!R5&gt;0),GlobBerMedDisc!R5&amp;" min","")</f>
        <v/>
      </c>
      <c r="T12" s="423" t="str">
        <f>GlobBerMedDisc!AS5</f>
        <v/>
      </c>
      <c r="U12" s="417"/>
      <c r="V12" s="417"/>
      <c r="W12" s="417"/>
      <c r="X12" s="417"/>
      <c r="Y12" s="417"/>
      <c r="Z12" s="417"/>
    </row>
    <row r="13" spans="2:68" s="418" customFormat="1" ht="20.100000000000001" customHeight="1" thickTop="1" thickBot="1" x14ac:dyDescent="0.25">
      <c r="B13" s="464" t="str">
        <f>GlobBerMedDisc!AN6</f>
        <v/>
      </c>
      <c r="C13" s="464" t="str">
        <f>GlobBerMedDisc!AQ6</f>
        <v/>
      </c>
      <c r="D13" s="600">
        <v>5</v>
      </c>
      <c r="E13" s="420" t="str">
        <f>IF(LEN(GlobBerMedDisc!B6)&gt;20, LEFT(GlobBerMedDisc!B6,20)&amp;"…",IF(LEN(GlobBerMedDisc!B6)&gt;0,GlobBerMedDisc!B6,""))</f>
        <v/>
      </c>
      <c r="F13" s="817" t="str">
        <f>GlobBerMedDisc!AR6</f>
        <v/>
      </c>
      <c r="G13" s="817"/>
      <c r="H13" s="817"/>
      <c r="I13" s="817"/>
      <c r="J13" s="420" t="str">
        <f>GlobBerMedDisc!X6</f>
        <v/>
      </c>
      <c r="K13" s="421" t="str">
        <f>IF(AND(GlobBerMedDisc!C6&gt;1,GlobBerMedDisc!BP6),GlobBerMedDisc!H6,"")</f>
        <v/>
      </c>
      <c r="L13" s="422" t="str">
        <f>IF(AND(GlobBerMedDisc!C6&gt;1,GlobBerMedDisc!BP6),GlobBerMedDisc!F6,"")</f>
        <v/>
      </c>
      <c r="M13" s="423" t="str">
        <f>GlobBerMedDisc!Z6</f>
        <v/>
      </c>
      <c r="N13" s="423" t="str">
        <f>GlobBerMedDisc!AO6</f>
        <v/>
      </c>
      <c r="O13" s="423" t="str">
        <f>IF(AND(GlobBerMedDisc!C6&gt;1,GlobBerMedDisc!P6&gt;1),GlobBerMedDisc!O6,"")</f>
        <v/>
      </c>
      <c r="P13" s="423" t="str">
        <f>IF(AND(GlobBerMedDisc!C6&gt;1,O13&lt;&gt;0,GlobBerMedDisc!P6&gt;1),"ml","")</f>
        <v/>
      </c>
      <c r="Q13" s="423"/>
      <c r="R13" s="423" t="str">
        <f>GlobBerMedDisc!AP6</f>
        <v/>
      </c>
      <c r="S13" s="423" t="str">
        <f>IF(AND(GlobBerMedDisc!R6&gt;0),GlobBerMedDisc!R6&amp;" min","")</f>
        <v/>
      </c>
      <c r="T13" s="423" t="str">
        <f>GlobBerMedDisc!AS6</f>
        <v/>
      </c>
      <c r="U13" s="417"/>
      <c r="V13" s="417"/>
      <c r="W13" s="417"/>
      <c r="X13" s="417"/>
      <c r="Y13" s="417"/>
      <c r="Z13" s="417"/>
      <c r="AA13" s="318"/>
      <c r="AB13" s="318"/>
      <c r="AC13" s="318"/>
      <c r="AD13" s="318"/>
      <c r="AE13" s="318"/>
      <c r="AF13" s="318"/>
      <c r="AG13" s="318"/>
      <c r="AH13" s="318"/>
      <c r="AI13" s="318"/>
      <c r="AJ13" s="318"/>
      <c r="AK13" s="318"/>
      <c r="AL13" s="318"/>
      <c r="AM13" s="318"/>
      <c r="AN13" s="318"/>
      <c r="AO13" s="318"/>
      <c r="AP13" s="318"/>
      <c r="AQ13" s="318"/>
      <c r="AR13" s="318"/>
      <c r="AS13" s="318"/>
      <c r="AT13" s="318"/>
      <c r="AU13" s="318"/>
      <c r="AV13" s="318"/>
      <c r="AW13" s="318"/>
      <c r="AX13" s="318"/>
      <c r="AY13" s="318"/>
      <c r="AZ13" s="318"/>
      <c r="BA13" s="318"/>
      <c r="BB13" s="318"/>
      <c r="BC13" s="318"/>
      <c r="BD13" s="318"/>
      <c r="BE13" s="318"/>
      <c r="BF13" s="318"/>
      <c r="BG13" s="318"/>
      <c r="BH13" s="318"/>
      <c r="BI13" s="318"/>
      <c r="BJ13" s="318"/>
      <c r="BK13" s="318"/>
      <c r="BL13" s="318"/>
      <c r="BM13" s="318"/>
      <c r="BN13" s="318"/>
      <c r="BO13" s="318"/>
      <c r="BP13" s="318"/>
    </row>
    <row r="14" spans="2:68" ht="20.100000000000001" customHeight="1" thickTop="1" thickBot="1" x14ac:dyDescent="0.25">
      <c r="B14" s="464" t="str">
        <f>GlobBerMedDisc!AN7</f>
        <v/>
      </c>
      <c r="C14" s="464" t="str">
        <f>GlobBerMedDisc!AQ7</f>
        <v/>
      </c>
      <c r="D14" s="600">
        <v>6</v>
      </c>
      <c r="E14" s="420" t="str">
        <f>IF(LEN(GlobBerMedDisc!B7)&gt;20, LEFT(GlobBerMedDisc!B7,20)&amp;"…",IF(LEN(GlobBerMedDisc!B7)&gt;0,GlobBerMedDisc!B7,""))</f>
        <v/>
      </c>
      <c r="F14" s="817" t="str">
        <f>GlobBerMedDisc!AR7</f>
        <v/>
      </c>
      <c r="G14" s="817"/>
      <c r="H14" s="817"/>
      <c r="I14" s="817"/>
      <c r="J14" s="420" t="str">
        <f>GlobBerMedDisc!X7</f>
        <v/>
      </c>
      <c r="K14" s="421" t="str">
        <f>IF(AND(GlobBerMedDisc!C7&gt;1,GlobBerMedDisc!BP7),GlobBerMedDisc!H7,"")</f>
        <v/>
      </c>
      <c r="L14" s="422" t="str">
        <f>IF(AND(GlobBerMedDisc!C7&gt;1,GlobBerMedDisc!BP7),GlobBerMedDisc!F7,"")</f>
        <v/>
      </c>
      <c r="M14" s="423" t="str">
        <f>GlobBerMedDisc!Z7</f>
        <v/>
      </c>
      <c r="N14" s="423" t="str">
        <f>GlobBerMedDisc!AO7</f>
        <v/>
      </c>
      <c r="O14" s="423" t="str">
        <f>IF(AND(GlobBerMedDisc!C7&gt;1,GlobBerMedDisc!P7&gt;1),GlobBerMedDisc!O7,"")</f>
        <v/>
      </c>
      <c r="P14" s="423" t="str">
        <f>IF(AND(GlobBerMedDisc!C7&gt;1,O14&lt;&gt;0,GlobBerMedDisc!P7&gt;1),"ml","")</f>
        <v/>
      </c>
      <c r="Q14" s="423"/>
      <c r="R14" s="423" t="str">
        <f>GlobBerMedDisc!AP7</f>
        <v/>
      </c>
      <c r="S14" s="423" t="str">
        <f>IF(AND(GlobBerMedDisc!R7&gt;0),GlobBerMedDisc!R7&amp;" min","")</f>
        <v/>
      </c>
      <c r="T14" s="423" t="str">
        <f>GlobBerMedDisc!AS7</f>
        <v/>
      </c>
      <c r="U14" s="417"/>
      <c r="V14" s="417"/>
      <c r="W14" s="417"/>
      <c r="X14" s="417"/>
      <c r="Y14" s="417"/>
      <c r="Z14" s="417"/>
    </row>
    <row r="15" spans="2:68" ht="20.100000000000001" customHeight="1" thickTop="1" thickBot="1" x14ac:dyDescent="0.25">
      <c r="B15" s="464" t="str">
        <f>GlobBerMedDisc!AN8</f>
        <v/>
      </c>
      <c r="C15" s="464" t="str">
        <f>GlobBerMedDisc!AQ8</f>
        <v/>
      </c>
      <c r="D15" s="600">
        <v>7</v>
      </c>
      <c r="E15" s="420" t="str">
        <f>IF(LEN(GlobBerMedDisc!B8)&gt;20, LEFT(GlobBerMedDisc!B8,20)&amp;"…",IF(LEN(GlobBerMedDisc!B8)&gt;0,GlobBerMedDisc!B8,""))</f>
        <v/>
      </c>
      <c r="F15" s="817" t="str">
        <f>GlobBerMedDisc!AR8</f>
        <v/>
      </c>
      <c r="G15" s="817"/>
      <c r="H15" s="817"/>
      <c r="I15" s="817"/>
      <c r="J15" s="420" t="str">
        <f>GlobBerMedDisc!X8</f>
        <v/>
      </c>
      <c r="K15" s="421" t="str">
        <f>IF(AND(GlobBerMedDisc!C8&gt;1,GlobBerMedDisc!BP8),GlobBerMedDisc!H8,"")</f>
        <v/>
      </c>
      <c r="L15" s="422" t="str">
        <f>IF(AND(GlobBerMedDisc!C8&gt;1,GlobBerMedDisc!BP8),GlobBerMedDisc!F8,"")</f>
        <v/>
      </c>
      <c r="M15" s="423" t="str">
        <f>GlobBerMedDisc!Z8</f>
        <v/>
      </c>
      <c r="N15" s="423" t="str">
        <f>GlobBerMedDisc!AO8</f>
        <v/>
      </c>
      <c r="O15" s="423" t="str">
        <f>IF(AND(GlobBerMedDisc!C8&gt;1,GlobBerMedDisc!P8&gt;1),GlobBerMedDisc!O8,"")</f>
        <v/>
      </c>
      <c r="P15" s="423" t="str">
        <f>IF(AND(GlobBerMedDisc!C8&gt;1,O15&lt;&gt;0,GlobBerMedDisc!P8&gt;1),"ml","")</f>
        <v/>
      </c>
      <c r="Q15" s="423"/>
      <c r="R15" s="423" t="str">
        <f>GlobBerMedDisc!AP8</f>
        <v/>
      </c>
      <c r="S15" s="423" t="str">
        <f>IF(AND(GlobBerMedDisc!R8&gt;0),GlobBerMedDisc!R8&amp;" min","")</f>
        <v/>
      </c>
      <c r="T15" s="423" t="str">
        <f>GlobBerMedDisc!AS8</f>
        <v/>
      </c>
      <c r="U15" s="417"/>
      <c r="V15" s="417"/>
      <c r="W15" s="417"/>
      <c r="X15" s="417"/>
      <c r="Y15" s="417"/>
      <c r="Z15" s="417"/>
    </row>
    <row r="16" spans="2:68" ht="20.100000000000001" customHeight="1" thickTop="1" thickBot="1" x14ac:dyDescent="0.25">
      <c r="B16" s="464" t="str">
        <f>GlobBerMedDisc!AN9</f>
        <v/>
      </c>
      <c r="C16" s="464" t="str">
        <f>GlobBerMedDisc!AQ9</f>
        <v/>
      </c>
      <c r="D16" s="600">
        <v>8</v>
      </c>
      <c r="E16" s="420" t="str">
        <f>IF(LEN(GlobBerMedDisc!B9)&gt;20, LEFT(GlobBerMedDisc!B9,20)&amp;"…",IF(LEN(GlobBerMedDisc!B9)&gt;0,GlobBerMedDisc!B9,""))</f>
        <v/>
      </c>
      <c r="F16" s="817" t="str">
        <f>GlobBerMedDisc!AR9</f>
        <v/>
      </c>
      <c r="G16" s="817"/>
      <c r="H16" s="817"/>
      <c r="I16" s="817"/>
      <c r="J16" s="420" t="str">
        <f>GlobBerMedDisc!X9</f>
        <v/>
      </c>
      <c r="K16" s="421" t="str">
        <f>IF(AND(GlobBerMedDisc!C9&gt;1,GlobBerMedDisc!BP9),GlobBerMedDisc!H9,"")</f>
        <v/>
      </c>
      <c r="L16" s="422" t="str">
        <f>IF(AND(GlobBerMedDisc!C9&gt;1,GlobBerMedDisc!BP9),GlobBerMedDisc!F9,"")</f>
        <v/>
      </c>
      <c r="M16" s="423" t="str">
        <f>GlobBerMedDisc!Z9</f>
        <v/>
      </c>
      <c r="N16" s="423" t="str">
        <f>GlobBerMedDisc!AO9</f>
        <v/>
      </c>
      <c r="O16" s="423" t="str">
        <f>IF(AND(GlobBerMedDisc!C9&gt;1,GlobBerMedDisc!P9&gt;1),GlobBerMedDisc!O9,"")</f>
        <v/>
      </c>
      <c r="P16" s="423" t="str">
        <f>IF(AND(GlobBerMedDisc!C9&gt;1,O16&lt;&gt;0,GlobBerMedDisc!P9&gt;1),"ml","")</f>
        <v/>
      </c>
      <c r="Q16" s="423"/>
      <c r="R16" s="423" t="str">
        <f>GlobBerMedDisc!AP9</f>
        <v/>
      </c>
      <c r="S16" s="423" t="str">
        <f>IF(AND(GlobBerMedDisc!R9&gt;0),GlobBerMedDisc!R9&amp;" min","")</f>
        <v/>
      </c>
      <c r="T16" s="423" t="str">
        <f>GlobBerMedDisc!AS9</f>
        <v/>
      </c>
      <c r="U16" s="417"/>
      <c r="V16" s="417"/>
      <c r="W16" s="417"/>
      <c r="X16" s="417"/>
      <c r="Y16" s="417"/>
      <c r="Z16" s="417"/>
    </row>
    <row r="17" spans="2:26" ht="20.100000000000001" customHeight="1" thickTop="1" thickBot="1" x14ac:dyDescent="0.25">
      <c r="B17" s="464" t="str">
        <f>GlobBerMedDisc!AN10</f>
        <v/>
      </c>
      <c r="C17" s="464" t="str">
        <f>GlobBerMedDisc!AQ10</f>
        <v/>
      </c>
      <c r="D17" s="600">
        <v>9</v>
      </c>
      <c r="E17" s="420" t="str">
        <f>IF(LEN(GlobBerMedDisc!B10)&gt;20, LEFT(GlobBerMedDisc!B10,20)&amp;"…",IF(LEN(GlobBerMedDisc!B10)&gt;0,GlobBerMedDisc!B10,""))</f>
        <v/>
      </c>
      <c r="F17" s="817" t="str">
        <f>GlobBerMedDisc!AR10</f>
        <v/>
      </c>
      <c r="G17" s="817"/>
      <c r="H17" s="817"/>
      <c r="I17" s="817"/>
      <c r="J17" s="420" t="str">
        <f>GlobBerMedDisc!X10</f>
        <v/>
      </c>
      <c r="K17" s="421" t="str">
        <f>IF(AND(GlobBerMedDisc!C10&gt;1,GlobBerMedDisc!BP10),GlobBerMedDisc!H10,"")</f>
        <v/>
      </c>
      <c r="L17" s="422" t="str">
        <f>IF(AND(GlobBerMedDisc!C10&gt;1,GlobBerMedDisc!BP10),GlobBerMedDisc!F10,"")</f>
        <v/>
      </c>
      <c r="M17" s="423" t="str">
        <f>GlobBerMedDisc!Z10</f>
        <v/>
      </c>
      <c r="N17" s="423" t="str">
        <f>GlobBerMedDisc!AO10</f>
        <v/>
      </c>
      <c r="O17" s="423" t="str">
        <f>IF(AND(GlobBerMedDisc!C10&gt;1,GlobBerMedDisc!P10&gt;1),GlobBerMedDisc!O10,"")</f>
        <v/>
      </c>
      <c r="P17" s="423" t="str">
        <f>IF(AND(GlobBerMedDisc!C10&gt;1,O17&lt;&gt;0,GlobBerMedDisc!P10&gt;1),"ml","")</f>
        <v/>
      </c>
      <c r="Q17" s="423"/>
      <c r="R17" s="423" t="str">
        <f>GlobBerMedDisc!AP10</f>
        <v/>
      </c>
      <c r="S17" s="423" t="str">
        <f>IF(AND(GlobBerMedDisc!R10&gt;0),GlobBerMedDisc!R10&amp;" min","")</f>
        <v/>
      </c>
      <c r="T17" s="423" t="str">
        <f>GlobBerMedDisc!AS10</f>
        <v/>
      </c>
      <c r="U17" s="417"/>
      <c r="V17" s="417"/>
      <c r="W17" s="417"/>
      <c r="X17" s="417"/>
      <c r="Y17" s="417"/>
      <c r="Z17" s="417"/>
    </row>
    <row r="18" spans="2:26" ht="20.100000000000001" customHeight="1" thickTop="1" thickBot="1" x14ac:dyDescent="0.25">
      <c r="B18" s="464" t="str">
        <f>GlobBerMedDisc!AN11</f>
        <v/>
      </c>
      <c r="C18" s="464" t="str">
        <f>GlobBerMedDisc!AQ11</f>
        <v/>
      </c>
      <c r="D18" s="600">
        <v>10</v>
      </c>
      <c r="E18" s="420" t="str">
        <f>IF(LEN(GlobBerMedDisc!B11)&gt;20, LEFT(GlobBerMedDisc!B11,20)&amp;"…",IF(LEN(GlobBerMedDisc!B11)&gt;0,GlobBerMedDisc!B11,""))</f>
        <v/>
      </c>
      <c r="F18" s="817" t="str">
        <f>GlobBerMedDisc!AR11</f>
        <v/>
      </c>
      <c r="G18" s="817"/>
      <c r="H18" s="817"/>
      <c r="I18" s="817"/>
      <c r="J18" s="420" t="str">
        <f>GlobBerMedDisc!X11</f>
        <v/>
      </c>
      <c r="K18" s="421" t="str">
        <f>IF(AND(GlobBerMedDisc!C11&gt;1,GlobBerMedDisc!BP11),GlobBerMedDisc!H11,"")</f>
        <v/>
      </c>
      <c r="L18" s="422" t="str">
        <f>IF(AND(GlobBerMedDisc!C11&gt;1,GlobBerMedDisc!BP11),GlobBerMedDisc!F11,"")</f>
        <v/>
      </c>
      <c r="M18" s="423" t="str">
        <f>GlobBerMedDisc!Z11</f>
        <v/>
      </c>
      <c r="N18" s="423" t="str">
        <f>GlobBerMedDisc!AO11</f>
        <v/>
      </c>
      <c r="O18" s="423" t="str">
        <f>IF(AND(GlobBerMedDisc!C11&gt;1,GlobBerMedDisc!P11&gt;1),GlobBerMedDisc!O11,"")</f>
        <v/>
      </c>
      <c r="P18" s="423" t="str">
        <f>IF(AND(GlobBerMedDisc!C11&gt;1,O18&lt;&gt;0,GlobBerMedDisc!P11&gt;1),"ml","")</f>
        <v/>
      </c>
      <c r="Q18" s="423"/>
      <c r="R18" s="423" t="str">
        <f>GlobBerMedDisc!AP11</f>
        <v/>
      </c>
      <c r="S18" s="423" t="str">
        <f>IF(AND(GlobBerMedDisc!R11&gt;0),GlobBerMedDisc!R11&amp;" min","")</f>
        <v/>
      </c>
      <c r="T18" s="423" t="str">
        <f>GlobBerMedDisc!AS11</f>
        <v/>
      </c>
      <c r="U18" s="417"/>
      <c r="V18" s="417"/>
      <c r="W18" s="417"/>
      <c r="X18" s="417"/>
      <c r="Y18" s="417"/>
      <c r="Z18" s="417"/>
    </row>
    <row r="19" spans="2:26" ht="20.100000000000001" customHeight="1" thickTop="1" thickBot="1" x14ac:dyDescent="0.25">
      <c r="B19" s="464" t="str">
        <f>GlobBerMedDisc!AN12</f>
        <v/>
      </c>
      <c r="C19" s="464" t="str">
        <f>GlobBerMedDisc!AQ12</f>
        <v/>
      </c>
      <c r="D19" s="600">
        <v>11</v>
      </c>
      <c r="E19" s="420" t="str">
        <f>IF(LEN(GlobBerMedDisc!B12)&gt;20, LEFT(GlobBerMedDisc!B12,20)&amp;"…",IF(LEN(GlobBerMedDisc!B12)&gt;0,GlobBerMedDisc!B12,""))</f>
        <v/>
      </c>
      <c r="F19" s="817" t="str">
        <f>GlobBerMedDisc!AR12</f>
        <v/>
      </c>
      <c r="G19" s="817"/>
      <c r="H19" s="817"/>
      <c r="I19" s="817"/>
      <c r="J19" s="420" t="str">
        <f>GlobBerMedDisc!X12</f>
        <v/>
      </c>
      <c r="K19" s="421" t="str">
        <f>IF(AND(GlobBerMedDisc!C12&gt;1,GlobBerMedDisc!BP12),GlobBerMedDisc!H12,"")</f>
        <v/>
      </c>
      <c r="L19" s="422" t="str">
        <f>IF(AND(GlobBerMedDisc!C12&gt;1,GlobBerMedDisc!BP12),GlobBerMedDisc!F12,"")</f>
        <v/>
      </c>
      <c r="M19" s="423" t="str">
        <f>GlobBerMedDisc!Z12</f>
        <v/>
      </c>
      <c r="N19" s="423" t="str">
        <f>GlobBerMedDisc!AO12</f>
        <v/>
      </c>
      <c r="O19" s="423" t="str">
        <f>IF(AND(GlobBerMedDisc!C12&gt;1,GlobBerMedDisc!P12&gt;1),GlobBerMedDisc!O12,"")</f>
        <v/>
      </c>
      <c r="P19" s="423" t="str">
        <f>IF(AND(GlobBerMedDisc!C12&gt;1,O19&lt;&gt;0,GlobBerMedDisc!P12&gt;1),"ml","")</f>
        <v/>
      </c>
      <c r="Q19" s="423"/>
      <c r="R19" s="423" t="str">
        <f>GlobBerMedDisc!AP12</f>
        <v/>
      </c>
      <c r="S19" s="423" t="str">
        <f>IF(AND(GlobBerMedDisc!R12&gt;0),GlobBerMedDisc!R12&amp;" min","")</f>
        <v/>
      </c>
      <c r="T19" s="423" t="str">
        <f>GlobBerMedDisc!AS12</f>
        <v/>
      </c>
      <c r="U19" s="417"/>
      <c r="V19" s="417"/>
      <c r="W19" s="417"/>
      <c r="X19" s="417"/>
      <c r="Y19" s="417"/>
      <c r="Z19" s="417"/>
    </row>
    <row r="20" spans="2:26" ht="20.100000000000001" customHeight="1" thickTop="1" thickBot="1" x14ac:dyDescent="0.25">
      <c r="B20" s="464" t="str">
        <f>GlobBerMedDisc!AN13</f>
        <v/>
      </c>
      <c r="C20" s="464" t="str">
        <f>GlobBerMedDisc!AQ13</f>
        <v/>
      </c>
      <c r="D20" s="600">
        <v>12</v>
      </c>
      <c r="E20" s="420" t="str">
        <f>IF(LEN(GlobBerMedDisc!B13)&gt;20, LEFT(GlobBerMedDisc!B13,20)&amp;"…",IF(LEN(GlobBerMedDisc!B13)&gt;0,GlobBerMedDisc!B13,""))</f>
        <v/>
      </c>
      <c r="F20" s="817" t="str">
        <f>GlobBerMedDisc!AR13</f>
        <v/>
      </c>
      <c r="G20" s="817"/>
      <c r="H20" s="817"/>
      <c r="I20" s="817"/>
      <c r="J20" s="420" t="str">
        <f>GlobBerMedDisc!X13</f>
        <v/>
      </c>
      <c r="K20" s="421" t="str">
        <f>IF(AND(GlobBerMedDisc!C13&gt;1,GlobBerMedDisc!BP13),GlobBerMedDisc!H13,"")</f>
        <v/>
      </c>
      <c r="L20" s="422" t="str">
        <f>IF(AND(GlobBerMedDisc!C13&gt;1,GlobBerMedDisc!BP13),GlobBerMedDisc!F13,"")</f>
        <v/>
      </c>
      <c r="M20" s="423" t="str">
        <f>GlobBerMedDisc!Z13</f>
        <v/>
      </c>
      <c r="N20" s="423" t="str">
        <f>GlobBerMedDisc!AO13</f>
        <v/>
      </c>
      <c r="O20" s="423" t="str">
        <f>IF(AND(GlobBerMedDisc!C13&gt;1,GlobBerMedDisc!P13&gt;1),GlobBerMedDisc!O13,"")</f>
        <v/>
      </c>
      <c r="P20" s="423" t="str">
        <f>IF(AND(GlobBerMedDisc!C13&gt;1,O20&lt;&gt;0,GlobBerMedDisc!P13&gt;1),"ml","")</f>
        <v/>
      </c>
      <c r="Q20" s="423"/>
      <c r="R20" s="423" t="str">
        <f>GlobBerMedDisc!AP13</f>
        <v/>
      </c>
      <c r="S20" s="423" t="str">
        <f>IF(AND(GlobBerMedDisc!R13&gt;0),GlobBerMedDisc!R13&amp;" min","")</f>
        <v/>
      </c>
      <c r="T20" s="423" t="str">
        <f>GlobBerMedDisc!AS13</f>
        <v/>
      </c>
      <c r="U20" s="417"/>
      <c r="V20" s="417"/>
      <c r="W20" s="417"/>
      <c r="X20" s="417"/>
      <c r="Y20" s="417"/>
      <c r="Z20" s="417"/>
    </row>
    <row r="21" spans="2:26" ht="20.100000000000001" customHeight="1" thickTop="1" thickBot="1" x14ac:dyDescent="0.25">
      <c r="B21" s="464" t="str">
        <f>GlobBerMedDisc!AN14</f>
        <v/>
      </c>
      <c r="C21" s="464" t="str">
        <f>GlobBerMedDisc!AQ14</f>
        <v/>
      </c>
      <c r="D21" s="600">
        <v>13</v>
      </c>
      <c r="E21" s="420" t="str">
        <f>IF(LEN(GlobBerMedDisc!B14)&gt;20, LEFT(GlobBerMedDisc!B14,20)&amp;"…",IF(LEN(GlobBerMedDisc!B14)&gt;0,GlobBerMedDisc!B14,""))</f>
        <v/>
      </c>
      <c r="F21" s="817" t="str">
        <f>GlobBerMedDisc!AR14</f>
        <v/>
      </c>
      <c r="G21" s="817"/>
      <c r="H21" s="817"/>
      <c r="I21" s="817"/>
      <c r="J21" s="420" t="str">
        <f>GlobBerMedDisc!X14</f>
        <v/>
      </c>
      <c r="K21" s="421" t="str">
        <f>IF(AND(GlobBerMedDisc!C14&gt;1,GlobBerMedDisc!BP14),GlobBerMedDisc!H14,"")</f>
        <v/>
      </c>
      <c r="L21" s="422" t="str">
        <f>IF(AND(GlobBerMedDisc!C14&gt;1,GlobBerMedDisc!BP14),GlobBerMedDisc!F14,"")</f>
        <v/>
      </c>
      <c r="M21" s="423" t="str">
        <f>GlobBerMedDisc!Z14</f>
        <v/>
      </c>
      <c r="N21" s="423" t="str">
        <f>GlobBerMedDisc!AO14</f>
        <v/>
      </c>
      <c r="O21" s="423" t="str">
        <f>IF(AND(GlobBerMedDisc!C14&gt;1,GlobBerMedDisc!P14&gt;1),GlobBerMedDisc!O14,"")</f>
        <v/>
      </c>
      <c r="P21" s="423" t="str">
        <f>IF(AND(GlobBerMedDisc!C14&gt;1,O21&lt;&gt;0,GlobBerMedDisc!P14&gt;1),"ml","")</f>
        <v/>
      </c>
      <c r="Q21" s="423"/>
      <c r="R21" s="423" t="str">
        <f>GlobBerMedDisc!AP14</f>
        <v/>
      </c>
      <c r="S21" s="423" t="str">
        <f>IF(AND(GlobBerMedDisc!R14&gt;0),GlobBerMedDisc!R14&amp;" min","")</f>
        <v/>
      </c>
      <c r="T21" s="423" t="str">
        <f>GlobBerMedDisc!AS14</f>
        <v/>
      </c>
      <c r="U21" s="417"/>
      <c r="V21" s="417"/>
      <c r="W21" s="417"/>
      <c r="X21" s="417"/>
      <c r="Y21" s="417"/>
      <c r="Z21" s="417"/>
    </row>
    <row r="22" spans="2:26" ht="20.100000000000001" customHeight="1" thickTop="1" thickBot="1" x14ac:dyDescent="0.25">
      <c r="B22" s="464" t="str">
        <f>GlobBerMedDisc!AN15</f>
        <v/>
      </c>
      <c r="C22" s="464" t="str">
        <f>GlobBerMedDisc!AQ15</f>
        <v/>
      </c>
      <c r="D22" s="600">
        <v>14</v>
      </c>
      <c r="E22" s="420" t="str">
        <f>IF(LEN(GlobBerMedDisc!B15)&gt;20, LEFT(GlobBerMedDisc!B15,20)&amp;"…",IF(LEN(GlobBerMedDisc!B15)&gt;0,GlobBerMedDisc!B15,""))</f>
        <v/>
      </c>
      <c r="F22" s="817" t="str">
        <f>GlobBerMedDisc!AR15</f>
        <v/>
      </c>
      <c r="G22" s="817"/>
      <c r="H22" s="817"/>
      <c r="I22" s="817"/>
      <c r="J22" s="420" t="str">
        <f>GlobBerMedDisc!X15</f>
        <v/>
      </c>
      <c r="K22" s="421" t="str">
        <f>IF(AND(GlobBerMedDisc!C15&gt;1,GlobBerMedDisc!BP15),GlobBerMedDisc!H15,"")</f>
        <v/>
      </c>
      <c r="L22" s="422" t="str">
        <f>IF(AND(GlobBerMedDisc!C15&gt;1,GlobBerMedDisc!BP15),GlobBerMedDisc!F15,"")</f>
        <v/>
      </c>
      <c r="M22" s="423" t="str">
        <f>GlobBerMedDisc!Z15</f>
        <v/>
      </c>
      <c r="N22" s="423" t="str">
        <f>GlobBerMedDisc!AO15</f>
        <v/>
      </c>
      <c r="O22" s="423" t="str">
        <f>IF(AND(GlobBerMedDisc!C15&gt;1,GlobBerMedDisc!P15&gt;1),GlobBerMedDisc!O15,"")</f>
        <v/>
      </c>
      <c r="P22" s="423" t="str">
        <f>IF(AND(GlobBerMedDisc!C15&gt;1,O22&lt;&gt;0,GlobBerMedDisc!P15&gt;1),"ml","")</f>
        <v/>
      </c>
      <c r="Q22" s="423"/>
      <c r="R22" s="423" t="str">
        <f>GlobBerMedDisc!AP15</f>
        <v/>
      </c>
      <c r="S22" s="423" t="str">
        <f>IF(AND(GlobBerMedDisc!R15&gt;0),GlobBerMedDisc!R15&amp;" min","")</f>
        <v/>
      </c>
      <c r="T22" s="423" t="str">
        <f>GlobBerMedDisc!AS15</f>
        <v/>
      </c>
      <c r="U22" s="417"/>
      <c r="V22" s="417"/>
      <c r="W22" s="417"/>
      <c r="X22" s="417"/>
      <c r="Y22" s="417"/>
      <c r="Z22" s="417"/>
    </row>
    <row r="23" spans="2:26" ht="20.100000000000001" customHeight="1" thickTop="1" thickBot="1" x14ac:dyDescent="0.25">
      <c r="B23" s="464" t="str">
        <f>GlobBerMedDisc!AN16</f>
        <v/>
      </c>
      <c r="C23" s="464" t="str">
        <f>GlobBerMedDisc!AQ16</f>
        <v/>
      </c>
      <c r="D23" s="600">
        <v>15</v>
      </c>
      <c r="E23" s="420" t="str">
        <f>IF(LEN(GlobBerMedDisc!B16)&gt;20, LEFT(GlobBerMedDisc!B16,20)&amp;"…",IF(LEN(GlobBerMedDisc!B16)&gt;0,GlobBerMedDisc!B16,""))</f>
        <v/>
      </c>
      <c r="F23" s="817" t="str">
        <f>GlobBerMedDisc!AR16</f>
        <v/>
      </c>
      <c r="G23" s="817"/>
      <c r="H23" s="817"/>
      <c r="I23" s="817"/>
      <c r="J23" s="420" t="str">
        <f>GlobBerMedDisc!X16</f>
        <v/>
      </c>
      <c r="K23" s="421" t="str">
        <f>IF(AND(GlobBerMedDisc!C16&gt;1,GlobBerMedDisc!BP16),GlobBerMedDisc!H16,"")</f>
        <v/>
      </c>
      <c r="L23" s="422" t="str">
        <f>IF(AND(GlobBerMedDisc!C16&gt;1,GlobBerMedDisc!BP16),GlobBerMedDisc!F16,"")</f>
        <v/>
      </c>
      <c r="M23" s="423" t="str">
        <f>GlobBerMedDisc!Z16</f>
        <v/>
      </c>
      <c r="N23" s="423" t="str">
        <f>GlobBerMedDisc!AO16</f>
        <v/>
      </c>
      <c r="O23" s="423" t="str">
        <f>IF(AND(GlobBerMedDisc!C16&gt;1,GlobBerMedDisc!P16&gt;1),GlobBerMedDisc!O16,"")</f>
        <v/>
      </c>
      <c r="P23" s="423" t="str">
        <f>IF(AND(GlobBerMedDisc!C16&gt;1,O23&lt;&gt;0,GlobBerMedDisc!P16&gt;1),"ml","")</f>
        <v/>
      </c>
      <c r="Q23" s="423"/>
      <c r="R23" s="423" t="str">
        <f>GlobBerMedDisc!AP16</f>
        <v/>
      </c>
      <c r="S23" s="423" t="str">
        <f>IF(AND(GlobBerMedDisc!R16&gt;0),GlobBerMedDisc!R16&amp;" min","")</f>
        <v/>
      </c>
      <c r="T23" s="423" t="str">
        <f>GlobBerMedDisc!AS16</f>
        <v/>
      </c>
      <c r="U23" s="417"/>
      <c r="V23" s="417"/>
      <c r="W23" s="417"/>
      <c r="X23" s="417"/>
      <c r="Y23" s="417"/>
      <c r="Z23" s="417"/>
    </row>
    <row r="24" spans="2:26" ht="20.100000000000001" customHeight="1" thickTop="1" thickBot="1" x14ac:dyDescent="0.25">
      <c r="B24" s="464" t="str">
        <f>GlobBerMedDisc!AN17</f>
        <v/>
      </c>
      <c r="C24" s="464" t="str">
        <f>GlobBerMedDisc!AQ17</f>
        <v/>
      </c>
      <c r="D24" s="600">
        <v>16</v>
      </c>
      <c r="E24" s="420" t="str">
        <f>IF(LEN(GlobBerMedDisc!B17)&gt;20, LEFT(GlobBerMedDisc!B17,20)&amp;"…",IF(LEN(GlobBerMedDisc!B17)&gt;0,GlobBerMedDisc!B17,""))</f>
        <v/>
      </c>
      <c r="F24" s="817" t="str">
        <f>GlobBerMedDisc!AR17</f>
        <v/>
      </c>
      <c r="G24" s="817"/>
      <c r="H24" s="817"/>
      <c r="I24" s="817"/>
      <c r="J24" s="420" t="str">
        <f>GlobBerMedDisc!X17</f>
        <v/>
      </c>
      <c r="K24" s="421" t="str">
        <f>IF(AND(GlobBerMedDisc!C17&gt;1,GlobBerMedDisc!BP17),GlobBerMedDisc!H17,"")</f>
        <v/>
      </c>
      <c r="L24" s="422" t="str">
        <f>IF(AND(GlobBerMedDisc!C17&gt;1,GlobBerMedDisc!BP17),GlobBerMedDisc!F17,"")</f>
        <v/>
      </c>
      <c r="M24" s="423" t="str">
        <f>GlobBerMedDisc!Z17</f>
        <v/>
      </c>
      <c r="N24" s="423" t="str">
        <f>GlobBerMedDisc!AO17</f>
        <v/>
      </c>
      <c r="O24" s="423" t="str">
        <f>IF(AND(GlobBerMedDisc!C17&gt;1,GlobBerMedDisc!P17&gt;1),GlobBerMedDisc!O17,"")</f>
        <v/>
      </c>
      <c r="P24" s="423" t="str">
        <f>IF(AND(GlobBerMedDisc!C17&gt;1,O24&lt;&gt;0,GlobBerMedDisc!P17&gt;1),"ml","")</f>
        <v/>
      </c>
      <c r="Q24" s="423"/>
      <c r="R24" s="423" t="str">
        <f>GlobBerMedDisc!AP17</f>
        <v/>
      </c>
      <c r="S24" s="423" t="str">
        <f>IF(AND(GlobBerMedDisc!R17&gt;0),GlobBerMedDisc!R17&amp;" min","")</f>
        <v/>
      </c>
      <c r="T24" s="423" t="str">
        <f>GlobBerMedDisc!AS17</f>
        <v/>
      </c>
      <c r="U24" s="417"/>
      <c r="V24" s="417"/>
      <c r="W24" s="417"/>
      <c r="X24" s="417"/>
      <c r="Y24" s="417"/>
      <c r="Z24" s="417"/>
    </row>
    <row r="25" spans="2:26" ht="20.100000000000001" customHeight="1" thickTop="1" thickBot="1" x14ac:dyDescent="0.25">
      <c r="B25" s="464" t="str">
        <f>GlobBerMedDisc!AN18</f>
        <v/>
      </c>
      <c r="C25" s="464" t="str">
        <f>GlobBerMedDisc!AQ18</f>
        <v/>
      </c>
      <c r="D25" s="600">
        <v>17</v>
      </c>
      <c r="E25" s="420" t="str">
        <f>IF(LEN(GlobBerMedDisc!B18)&gt;20, LEFT(GlobBerMedDisc!B18,20)&amp;"…",IF(LEN(GlobBerMedDisc!B18)&gt;0,GlobBerMedDisc!B18,""))</f>
        <v/>
      </c>
      <c r="F25" s="817" t="str">
        <f>GlobBerMedDisc!AR18</f>
        <v/>
      </c>
      <c r="G25" s="817"/>
      <c r="H25" s="817"/>
      <c r="I25" s="817"/>
      <c r="J25" s="420" t="str">
        <f>GlobBerMedDisc!X18</f>
        <v/>
      </c>
      <c r="K25" s="421" t="str">
        <f>IF(AND(GlobBerMedDisc!C18&gt;1,GlobBerMedDisc!BP18),GlobBerMedDisc!H18,"")</f>
        <v/>
      </c>
      <c r="L25" s="422" t="str">
        <f>IF(AND(GlobBerMedDisc!C18&gt;1,GlobBerMedDisc!BP18),GlobBerMedDisc!F18,"")</f>
        <v/>
      </c>
      <c r="M25" s="423" t="str">
        <f>GlobBerMedDisc!Z18</f>
        <v/>
      </c>
      <c r="N25" s="423" t="str">
        <f>GlobBerMedDisc!AO18</f>
        <v/>
      </c>
      <c r="O25" s="423" t="str">
        <f>IF(AND(GlobBerMedDisc!C18&gt;1,GlobBerMedDisc!P18&gt;1),GlobBerMedDisc!O18,"")</f>
        <v/>
      </c>
      <c r="P25" s="423" t="str">
        <f>IF(AND(GlobBerMedDisc!C18&gt;1,O25&lt;&gt;0,GlobBerMedDisc!P18&gt;1),"ml","")</f>
        <v/>
      </c>
      <c r="Q25" s="423"/>
      <c r="R25" s="423" t="str">
        <f>GlobBerMedDisc!AP18</f>
        <v/>
      </c>
      <c r="S25" s="423" t="str">
        <f>IF(AND(GlobBerMedDisc!R18&gt;0),GlobBerMedDisc!R18&amp;" min","")</f>
        <v/>
      </c>
      <c r="T25" s="423" t="str">
        <f>GlobBerMedDisc!AS18</f>
        <v/>
      </c>
      <c r="U25" s="417"/>
      <c r="V25" s="417"/>
      <c r="W25" s="417"/>
      <c r="X25" s="417"/>
      <c r="Y25" s="417"/>
      <c r="Z25" s="417"/>
    </row>
    <row r="26" spans="2:26" ht="20.100000000000001" customHeight="1" thickTop="1" thickBot="1" x14ac:dyDescent="0.25">
      <c r="B26" s="464" t="str">
        <f>GlobBerMedDisc!AN19</f>
        <v/>
      </c>
      <c r="C26" s="464" t="str">
        <f>GlobBerMedDisc!AQ19</f>
        <v/>
      </c>
      <c r="D26" s="600">
        <v>18</v>
      </c>
      <c r="E26" s="420" t="str">
        <f>IF(LEN(GlobBerMedDisc!B19)&gt;20, LEFT(GlobBerMedDisc!B19,20)&amp;"…",IF(LEN(GlobBerMedDisc!B19)&gt;0,GlobBerMedDisc!B19,""))</f>
        <v/>
      </c>
      <c r="F26" s="817" t="str">
        <f>GlobBerMedDisc!AR19</f>
        <v/>
      </c>
      <c r="G26" s="817"/>
      <c r="H26" s="817"/>
      <c r="I26" s="817"/>
      <c r="J26" s="420" t="str">
        <f>GlobBerMedDisc!X19</f>
        <v/>
      </c>
      <c r="K26" s="421" t="str">
        <f>IF(AND(GlobBerMedDisc!C19&gt;1,GlobBerMedDisc!BP19),GlobBerMedDisc!H19,"")</f>
        <v/>
      </c>
      <c r="L26" s="422" t="str">
        <f>IF(AND(GlobBerMedDisc!C19&gt;1,GlobBerMedDisc!BP19),GlobBerMedDisc!F19,"")</f>
        <v/>
      </c>
      <c r="M26" s="423" t="str">
        <f>GlobBerMedDisc!Z19</f>
        <v/>
      </c>
      <c r="N26" s="423" t="str">
        <f>GlobBerMedDisc!AO19</f>
        <v/>
      </c>
      <c r="O26" s="423" t="str">
        <f>IF(AND(GlobBerMedDisc!C19&gt;1,GlobBerMedDisc!P19&gt;1),GlobBerMedDisc!O19,"")</f>
        <v/>
      </c>
      <c r="P26" s="423" t="str">
        <f>IF(AND(GlobBerMedDisc!C19&gt;1,O26&lt;&gt;0,GlobBerMedDisc!P19&gt;1),"ml","")</f>
        <v/>
      </c>
      <c r="Q26" s="423"/>
      <c r="R26" s="423" t="str">
        <f>GlobBerMedDisc!AP19</f>
        <v/>
      </c>
      <c r="S26" s="423" t="str">
        <f>IF(AND(GlobBerMedDisc!R19&gt;0),GlobBerMedDisc!R19&amp;" min","")</f>
        <v/>
      </c>
      <c r="T26" s="423" t="str">
        <f>GlobBerMedDisc!AS19</f>
        <v/>
      </c>
      <c r="U26" s="417"/>
      <c r="V26" s="417"/>
      <c r="W26" s="417"/>
      <c r="X26" s="417"/>
      <c r="Y26" s="417"/>
      <c r="Z26" s="417"/>
    </row>
    <row r="27" spans="2:26" ht="20.100000000000001" customHeight="1" thickTop="1" thickBot="1" x14ac:dyDescent="0.25">
      <c r="B27" s="464" t="str">
        <f>GlobBerMedDisc!AN20</f>
        <v/>
      </c>
      <c r="C27" s="464" t="str">
        <f>GlobBerMedDisc!AQ20</f>
        <v/>
      </c>
      <c r="D27" s="600">
        <v>19</v>
      </c>
      <c r="E27" s="420" t="str">
        <f>IF(LEN(GlobBerMedDisc!B20)&gt;20, LEFT(GlobBerMedDisc!B20,20)&amp;"…",IF(LEN(GlobBerMedDisc!B20)&gt;0,GlobBerMedDisc!B20,""))</f>
        <v/>
      </c>
      <c r="F27" s="817" t="str">
        <f>GlobBerMedDisc!AR20</f>
        <v/>
      </c>
      <c r="G27" s="817"/>
      <c r="H27" s="817"/>
      <c r="I27" s="817"/>
      <c r="J27" s="420" t="str">
        <f>GlobBerMedDisc!X20</f>
        <v/>
      </c>
      <c r="K27" s="421" t="str">
        <f>IF(AND(GlobBerMedDisc!C20&gt;1,GlobBerMedDisc!BP20),GlobBerMedDisc!H20,"")</f>
        <v/>
      </c>
      <c r="L27" s="422" t="str">
        <f>IF(AND(GlobBerMedDisc!C20&gt;1,GlobBerMedDisc!BP20),GlobBerMedDisc!F20,"")</f>
        <v/>
      </c>
      <c r="M27" s="423" t="str">
        <f>GlobBerMedDisc!Z20</f>
        <v/>
      </c>
      <c r="N27" s="423" t="str">
        <f>GlobBerMedDisc!AO20</f>
        <v/>
      </c>
      <c r="O27" s="423" t="str">
        <f>IF(AND(GlobBerMedDisc!C20&gt;1,GlobBerMedDisc!P20&gt;1),GlobBerMedDisc!O20,"")</f>
        <v/>
      </c>
      <c r="P27" s="423" t="str">
        <f>IF(AND(GlobBerMedDisc!C20&gt;1,O27&lt;&gt;0,GlobBerMedDisc!P20&gt;1),"ml","")</f>
        <v/>
      </c>
      <c r="Q27" s="423"/>
      <c r="R27" s="423" t="str">
        <f>GlobBerMedDisc!AP20</f>
        <v/>
      </c>
      <c r="S27" s="423" t="str">
        <f>IF(AND(GlobBerMedDisc!R20&gt;0),GlobBerMedDisc!R20&amp;" min","")</f>
        <v/>
      </c>
      <c r="T27" s="423" t="str">
        <f>GlobBerMedDisc!AS20</f>
        <v/>
      </c>
      <c r="U27" s="417"/>
      <c r="V27" s="417"/>
      <c r="W27" s="417"/>
      <c r="X27" s="417"/>
      <c r="Y27" s="417"/>
      <c r="Z27" s="417"/>
    </row>
    <row r="28" spans="2:26" ht="20.100000000000001" customHeight="1" thickTop="1" thickBot="1" x14ac:dyDescent="0.25">
      <c r="B28" s="464" t="str">
        <f>GlobBerMedDisc!AN21</f>
        <v/>
      </c>
      <c r="C28" s="464" t="str">
        <f>GlobBerMedDisc!AQ21</f>
        <v/>
      </c>
      <c r="D28" s="600">
        <v>20</v>
      </c>
      <c r="E28" s="420" t="str">
        <f>IF(LEN(GlobBerMedDisc!B21)&gt;20, LEFT(GlobBerMedDisc!B21,20)&amp;"…",IF(LEN(GlobBerMedDisc!B21)&gt;0,GlobBerMedDisc!B21,""))</f>
        <v/>
      </c>
      <c r="F28" s="817" t="str">
        <f>GlobBerMedDisc!AR21</f>
        <v/>
      </c>
      <c r="G28" s="817"/>
      <c r="H28" s="817"/>
      <c r="I28" s="817"/>
      <c r="J28" s="420" t="str">
        <f>GlobBerMedDisc!X21</f>
        <v/>
      </c>
      <c r="K28" s="421" t="str">
        <f>IF(AND(GlobBerMedDisc!C21&gt;1,GlobBerMedDisc!BP21),GlobBerMedDisc!H21,"")</f>
        <v/>
      </c>
      <c r="L28" s="422" t="str">
        <f>IF(AND(GlobBerMedDisc!C21&gt;1,GlobBerMedDisc!BP21),GlobBerMedDisc!F21,"")</f>
        <v/>
      </c>
      <c r="M28" s="666" t="str">
        <f>GlobBerMedDisc!Z21</f>
        <v/>
      </c>
      <c r="N28" s="423" t="str">
        <f>GlobBerMedDisc!AO21</f>
        <v/>
      </c>
      <c r="O28" s="423" t="str">
        <f>IF(AND(GlobBerMedDisc!C21&gt;1,GlobBerMedDisc!P21&gt;1),GlobBerMedDisc!O21,"")</f>
        <v/>
      </c>
      <c r="P28" s="423" t="str">
        <f>IF(AND(GlobBerMedDisc!C21&gt;1,O28&lt;&gt;0,GlobBerMedDisc!P21&gt;1),"ml","")</f>
        <v/>
      </c>
      <c r="Q28" s="423"/>
      <c r="R28" s="423" t="str">
        <f>GlobBerMedDisc!AP21</f>
        <v/>
      </c>
      <c r="S28" s="423" t="str">
        <f>IF(AND(GlobBerMedDisc!R21&gt;0),GlobBerMedDisc!R21&amp;" min","")</f>
        <v/>
      </c>
      <c r="T28" s="423" t="str">
        <f>GlobBerMedDisc!AS21</f>
        <v/>
      </c>
      <c r="U28" s="417"/>
      <c r="V28" s="417"/>
      <c r="W28" s="417"/>
      <c r="X28" s="417"/>
      <c r="Y28" s="417"/>
      <c r="Z28" s="417"/>
    </row>
    <row r="29" spans="2:26" ht="20.100000000000001" customHeight="1" thickTop="1" thickBot="1" x14ac:dyDescent="0.25">
      <c r="B29" s="464" t="str">
        <f>GlobBerMedDisc!AN22</f>
        <v/>
      </c>
      <c r="C29" s="464" t="str">
        <f>GlobBerMedDisc!AQ22</f>
        <v/>
      </c>
      <c r="D29" s="600">
        <v>21</v>
      </c>
      <c r="E29" s="420" t="str">
        <f>IF(LEN(GlobBerMedDisc!B22)&gt;20, LEFT(GlobBerMedDisc!B22,20)&amp;"…",IF(LEN(GlobBerMedDisc!B22)&gt;0,GlobBerMedDisc!B22,""))</f>
        <v/>
      </c>
      <c r="F29" s="817" t="str">
        <f>GlobBerMedDisc!AR22</f>
        <v/>
      </c>
      <c r="G29" s="817"/>
      <c r="H29" s="817"/>
      <c r="I29" s="817"/>
      <c r="J29" s="420" t="str">
        <f>GlobBerMedDisc!X22</f>
        <v/>
      </c>
      <c r="K29" s="421" t="str">
        <f>IF(AND(GlobBerMedDisc!C22&gt;1,GlobBerMedDisc!BP22),GlobBerMedDisc!H22,"")</f>
        <v/>
      </c>
      <c r="L29" s="422" t="str">
        <f>IF(AND(GlobBerMedDisc!C22&gt;1,GlobBerMedDisc!BP22),GlobBerMedDisc!F22,"")</f>
        <v/>
      </c>
      <c r="M29" s="423" t="str">
        <f>GlobBerMedDisc!Z22</f>
        <v/>
      </c>
      <c r="N29" s="423" t="str">
        <f>GlobBerMedDisc!AO22</f>
        <v/>
      </c>
      <c r="O29" s="423" t="str">
        <f>IF(AND(GlobBerMedDisc!C22&gt;1,GlobBerMedDisc!P22&gt;1),GlobBerMedDisc!O22,"")</f>
        <v/>
      </c>
      <c r="P29" s="423" t="str">
        <f>IF(AND(GlobBerMedDisc!C22&gt;1,O29&lt;&gt;0,GlobBerMedDisc!P22&gt;1),"ml","")</f>
        <v/>
      </c>
      <c r="Q29" s="423"/>
      <c r="R29" s="423" t="str">
        <f>GlobBerMedDisc!AP22</f>
        <v/>
      </c>
      <c r="S29" s="423" t="str">
        <f>IF(AND(GlobBerMedDisc!R22&gt;0),GlobBerMedDisc!R22&amp;" min","")</f>
        <v/>
      </c>
      <c r="T29" s="423" t="str">
        <f>GlobBerMedDisc!AS22</f>
        <v/>
      </c>
      <c r="U29" s="417"/>
      <c r="V29" s="417"/>
      <c r="W29" s="417"/>
      <c r="X29" s="417"/>
      <c r="Y29" s="417"/>
      <c r="Z29" s="417"/>
    </row>
    <row r="30" spans="2:26" ht="20.100000000000001" customHeight="1" thickTop="1" thickBot="1" x14ac:dyDescent="0.25">
      <c r="B30" s="464" t="str">
        <f>GlobBerMedDisc!AN23</f>
        <v/>
      </c>
      <c r="C30" s="464" t="str">
        <f>GlobBerMedDisc!AQ23</f>
        <v/>
      </c>
      <c r="D30" s="600">
        <v>22</v>
      </c>
      <c r="E30" s="420" t="str">
        <f>IF(LEN(GlobBerMedDisc!B23)&gt;20, LEFT(GlobBerMedDisc!B23,20)&amp;"…",IF(LEN(GlobBerMedDisc!B23)&gt;0,GlobBerMedDisc!B23,""))</f>
        <v/>
      </c>
      <c r="F30" s="817" t="str">
        <f>GlobBerMedDisc!AR23</f>
        <v/>
      </c>
      <c r="G30" s="817"/>
      <c r="H30" s="817"/>
      <c r="I30" s="817"/>
      <c r="J30" s="420" t="str">
        <f>GlobBerMedDisc!X23</f>
        <v/>
      </c>
      <c r="K30" s="421" t="str">
        <f>IF(AND(GlobBerMedDisc!C23&gt;1,GlobBerMedDisc!BP23),GlobBerMedDisc!H23,"")</f>
        <v/>
      </c>
      <c r="L30" s="422" t="str">
        <f>IF(AND(GlobBerMedDisc!C23&gt;1,GlobBerMedDisc!BP23),GlobBerMedDisc!F23,"")</f>
        <v/>
      </c>
      <c r="M30" s="423" t="str">
        <f>GlobBerMedDisc!Z23</f>
        <v/>
      </c>
      <c r="N30" s="423" t="str">
        <f>GlobBerMedDisc!AO23</f>
        <v/>
      </c>
      <c r="O30" s="423" t="str">
        <f>IF(AND(GlobBerMedDisc!C23&gt;1,GlobBerMedDisc!P23&gt;1),GlobBerMedDisc!O23,"")</f>
        <v/>
      </c>
      <c r="P30" s="423" t="str">
        <f>IF(AND(GlobBerMedDisc!C23&gt;1,O30&lt;&gt;0,GlobBerMedDisc!P23&gt;1),"ml","")</f>
        <v/>
      </c>
      <c r="Q30" s="423"/>
      <c r="R30" s="423" t="str">
        <f>GlobBerMedDisc!AP23</f>
        <v/>
      </c>
      <c r="S30" s="423" t="str">
        <f>IF(AND(GlobBerMedDisc!R23&gt;0),GlobBerMedDisc!R23&amp;" min","")</f>
        <v/>
      </c>
      <c r="T30" s="423" t="str">
        <f>GlobBerMedDisc!AS23</f>
        <v/>
      </c>
      <c r="U30" s="417"/>
      <c r="V30" s="417"/>
      <c r="W30" s="417"/>
      <c r="X30" s="417"/>
      <c r="Y30" s="417"/>
      <c r="Z30" s="417"/>
    </row>
    <row r="31" spans="2:26" ht="20.100000000000001" customHeight="1" thickTop="1" thickBot="1" x14ac:dyDescent="0.25">
      <c r="B31" s="464" t="str">
        <f>GlobBerMedDisc!AN24</f>
        <v/>
      </c>
      <c r="C31" s="464" t="str">
        <f>GlobBerMedDisc!AQ24</f>
        <v/>
      </c>
      <c r="D31" s="600">
        <v>23</v>
      </c>
      <c r="E31" s="420" t="str">
        <f>IF(LEN(GlobBerMedDisc!B24)&gt;20, LEFT(GlobBerMedDisc!B24,20)&amp;"…",IF(LEN(GlobBerMedDisc!B24)&gt;0,GlobBerMedDisc!B24,""))</f>
        <v/>
      </c>
      <c r="F31" s="817" t="str">
        <f>GlobBerMedDisc!AR24</f>
        <v/>
      </c>
      <c r="G31" s="817"/>
      <c r="H31" s="817"/>
      <c r="I31" s="817"/>
      <c r="J31" s="420" t="str">
        <f>GlobBerMedDisc!X24</f>
        <v/>
      </c>
      <c r="K31" s="421" t="str">
        <f>IF(AND(GlobBerMedDisc!C24&gt;1,GlobBerMedDisc!BP24),GlobBerMedDisc!H24,"")</f>
        <v/>
      </c>
      <c r="L31" s="422" t="str">
        <f>IF(AND(GlobBerMedDisc!C24&gt;1,GlobBerMedDisc!BP24),GlobBerMedDisc!F24,"")</f>
        <v/>
      </c>
      <c r="M31" s="423" t="str">
        <f>GlobBerMedDisc!Z24</f>
        <v/>
      </c>
      <c r="N31" s="423" t="str">
        <f>GlobBerMedDisc!AO24</f>
        <v/>
      </c>
      <c r="O31" s="423" t="str">
        <f>IF(AND(GlobBerMedDisc!C24&gt;1,GlobBerMedDisc!P24&gt;1),GlobBerMedDisc!O24,"")</f>
        <v/>
      </c>
      <c r="P31" s="423" t="str">
        <f>IF(AND(GlobBerMedDisc!C24&gt;1,O31&lt;&gt;0,GlobBerMedDisc!P24&gt;1),"ml","")</f>
        <v/>
      </c>
      <c r="Q31" s="423"/>
      <c r="R31" s="423" t="str">
        <f>GlobBerMedDisc!AP24</f>
        <v/>
      </c>
      <c r="S31" s="423" t="str">
        <f>IF(AND(GlobBerMedDisc!R24&gt;0),GlobBerMedDisc!R24&amp;" min","")</f>
        <v/>
      </c>
      <c r="T31" s="423" t="str">
        <f>GlobBerMedDisc!AS24</f>
        <v/>
      </c>
      <c r="U31" s="417"/>
      <c r="V31" s="417"/>
      <c r="W31" s="417"/>
      <c r="X31" s="417"/>
      <c r="Y31" s="417"/>
      <c r="Z31" s="417"/>
    </row>
    <row r="32" spans="2:26" ht="20.100000000000001" customHeight="1" thickTop="1" thickBot="1" x14ac:dyDescent="0.25">
      <c r="B32" s="464" t="str">
        <f>GlobBerMedDisc!AN25</f>
        <v/>
      </c>
      <c r="C32" s="464" t="str">
        <f>GlobBerMedDisc!AQ25</f>
        <v/>
      </c>
      <c r="D32" s="600">
        <v>24</v>
      </c>
      <c r="E32" s="420" t="str">
        <f>IF(LEN(GlobBerMedDisc!B25)&gt;20, LEFT(GlobBerMedDisc!B25,20)&amp;"…",IF(LEN(GlobBerMedDisc!B25)&gt;0,GlobBerMedDisc!B25,""))</f>
        <v/>
      </c>
      <c r="F32" s="817" t="str">
        <f>GlobBerMedDisc!AR25</f>
        <v/>
      </c>
      <c r="G32" s="817"/>
      <c r="H32" s="817"/>
      <c r="I32" s="817"/>
      <c r="J32" s="420" t="str">
        <f>GlobBerMedDisc!X25</f>
        <v/>
      </c>
      <c r="K32" s="421" t="str">
        <f>IF(AND(GlobBerMedDisc!C25&gt;1,GlobBerMedDisc!BP25),GlobBerMedDisc!H25,"")</f>
        <v/>
      </c>
      <c r="L32" s="422" t="str">
        <f>IF(AND(GlobBerMedDisc!C25&gt;1,GlobBerMedDisc!BP25),GlobBerMedDisc!F25,"")</f>
        <v/>
      </c>
      <c r="M32" s="423" t="str">
        <f>GlobBerMedDisc!Z25</f>
        <v/>
      </c>
      <c r="N32" s="423" t="str">
        <f>GlobBerMedDisc!AO25</f>
        <v/>
      </c>
      <c r="O32" s="423" t="str">
        <f>IF(AND(GlobBerMedDisc!C25&gt;1,GlobBerMedDisc!P25&gt;1),GlobBerMedDisc!O25,"")</f>
        <v/>
      </c>
      <c r="P32" s="423" t="str">
        <f>IF(AND(GlobBerMedDisc!C25&gt;1,O32&lt;&gt;0,GlobBerMedDisc!P25&gt;1),"ml","")</f>
        <v/>
      </c>
      <c r="Q32" s="423"/>
      <c r="R32" s="423" t="str">
        <f>GlobBerMedDisc!AP25</f>
        <v/>
      </c>
      <c r="S32" s="423" t="str">
        <f>IF(AND(GlobBerMedDisc!R25&gt;0),GlobBerMedDisc!R25&amp;" min","")</f>
        <v/>
      </c>
      <c r="T32" s="423" t="str">
        <f>GlobBerMedDisc!AS25</f>
        <v/>
      </c>
      <c r="U32" s="417"/>
      <c r="V32" s="417"/>
      <c r="W32" s="417"/>
      <c r="X32" s="417"/>
      <c r="Y32" s="417"/>
      <c r="Z32" s="417"/>
    </row>
    <row r="33" spans="2:26" ht="20.100000000000001" customHeight="1" thickTop="1" thickBot="1" x14ac:dyDescent="0.25">
      <c r="B33" s="464" t="str">
        <f>GlobBerMedDisc!AN26</f>
        <v/>
      </c>
      <c r="C33" s="464" t="str">
        <f>GlobBerMedDisc!AQ26</f>
        <v/>
      </c>
      <c r="D33" s="600">
        <v>25</v>
      </c>
      <c r="E33" s="420" t="str">
        <f>IF(LEN(GlobBerMedDisc!B26)&gt;20, LEFT(GlobBerMedDisc!B26,20)&amp;"…",IF(LEN(GlobBerMedDisc!B26)&gt;0,GlobBerMedDisc!B26,""))</f>
        <v/>
      </c>
      <c r="F33" s="817" t="str">
        <f>GlobBerMedDisc!AR26</f>
        <v/>
      </c>
      <c r="G33" s="817"/>
      <c r="H33" s="817"/>
      <c r="I33" s="817"/>
      <c r="J33" s="420" t="str">
        <f>GlobBerMedDisc!X26</f>
        <v/>
      </c>
      <c r="K33" s="421" t="str">
        <f>IF(AND(GlobBerMedDisc!C26&gt;1,GlobBerMedDisc!BP26),GlobBerMedDisc!H26,"")</f>
        <v/>
      </c>
      <c r="L33" s="422" t="str">
        <f>IF(AND(GlobBerMedDisc!C26&gt;1,GlobBerMedDisc!BP26),GlobBerMedDisc!F26,"")</f>
        <v/>
      </c>
      <c r="M33" s="423" t="str">
        <f>GlobBerMedDisc!Z26</f>
        <v/>
      </c>
      <c r="N33" s="423" t="str">
        <f>GlobBerMedDisc!AO26</f>
        <v/>
      </c>
      <c r="O33" s="423" t="str">
        <f>IF(AND(GlobBerMedDisc!C26&gt;1,GlobBerMedDisc!P26&gt;1),GlobBerMedDisc!O26,"")</f>
        <v/>
      </c>
      <c r="P33" s="423" t="str">
        <f>IF(AND(GlobBerMedDisc!C26&gt;1,O33&lt;&gt;0,GlobBerMedDisc!P26&gt;1),"ml","")</f>
        <v/>
      </c>
      <c r="Q33" s="423"/>
      <c r="R33" s="423" t="str">
        <f>GlobBerMedDisc!AP26</f>
        <v/>
      </c>
      <c r="S33" s="423" t="str">
        <f>IF(AND(GlobBerMedDisc!R26&gt;0),GlobBerMedDisc!R26&amp;" min","")</f>
        <v/>
      </c>
      <c r="T33" s="423" t="str">
        <f>GlobBerMedDisc!AS26</f>
        <v/>
      </c>
      <c r="U33" s="417"/>
      <c r="V33" s="417"/>
      <c r="W33" s="417"/>
      <c r="X33" s="417"/>
      <c r="Y33" s="417"/>
      <c r="Z33" s="417"/>
    </row>
    <row r="34" spans="2:26" ht="20.100000000000001" customHeight="1" thickTop="1" thickBot="1" x14ac:dyDescent="0.25">
      <c r="B34" s="464" t="str">
        <f>GlobBerMedDisc!AN27</f>
        <v/>
      </c>
      <c r="C34" s="464" t="str">
        <f>GlobBerMedDisc!AQ27</f>
        <v/>
      </c>
      <c r="D34" s="600">
        <v>26</v>
      </c>
      <c r="E34" s="420" t="str">
        <f>IF(LEN(GlobBerMedDisc!B27)&gt;20, LEFT(GlobBerMedDisc!B27,20)&amp;"…",IF(LEN(GlobBerMedDisc!B27)&gt;0,GlobBerMedDisc!B27,""))</f>
        <v/>
      </c>
      <c r="F34" s="817" t="str">
        <f>GlobBerMedDisc!AR27</f>
        <v/>
      </c>
      <c r="G34" s="817"/>
      <c r="H34" s="817"/>
      <c r="I34" s="817"/>
      <c r="J34" s="420" t="str">
        <f>GlobBerMedDisc!X27</f>
        <v/>
      </c>
      <c r="K34" s="421" t="str">
        <f>IF(AND(GlobBerMedDisc!C27&gt;1,GlobBerMedDisc!BP27),GlobBerMedDisc!H27,"")</f>
        <v/>
      </c>
      <c r="L34" s="422" t="str">
        <f>IF(AND(GlobBerMedDisc!C27&gt;1,GlobBerMedDisc!BP27),GlobBerMedDisc!F27,"")</f>
        <v/>
      </c>
      <c r="M34" s="423" t="str">
        <f>GlobBerMedDisc!Z27</f>
        <v/>
      </c>
      <c r="N34" s="423" t="str">
        <f>GlobBerMedDisc!AO27</f>
        <v/>
      </c>
      <c r="O34" s="423" t="str">
        <f>IF(AND(GlobBerMedDisc!C27&gt;1,GlobBerMedDisc!P27&gt;1),GlobBerMedDisc!O27,"")</f>
        <v/>
      </c>
      <c r="P34" s="423" t="str">
        <f>IF(AND(GlobBerMedDisc!C27&gt;1,O34&lt;&gt;0,GlobBerMedDisc!P27&gt;1),"ml","")</f>
        <v/>
      </c>
      <c r="Q34" s="423"/>
      <c r="R34" s="423" t="str">
        <f>GlobBerMedDisc!AP27</f>
        <v/>
      </c>
      <c r="S34" s="423" t="str">
        <f>IF(AND(GlobBerMedDisc!R27&gt;0),GlobBerMedDisc!R27&amp;" min","")</f>
        <v/>
      </c>
      <c r="T34" s="423" t="str">
        <f>GlobBerMedDisc!AS27</f>
        <v/>
      </c>
      <c r="U34" s="417"/>
      <c r="V34" s="417"/>
      <c r="W34" s="417"/>
      <c r="X34" s="417"/>
      <c r="Y34" s="417"/>
      <c r="Z34" s="417"/>
    </row>
    <row r="35" spans="2:26" ht="20.100000000000001" customHeight="1" thickTop="1" thickBot="1" x14ac:dyDescent="0.25">
      <c r="B35" s="464" t="str">
        <f>GlobBerMedDisc!AN28</f>
        <v/>
      </c>
      <c r="C35" s="464" t="str">
        <f>GlobBerMedDisc!AQ28</f>
        <v/>
      </c>
      <c r="D35" s="600">
        <v>27</v>
      </c>
      <c r="E35" s="420" t="str">
        <f>IF(LEN(GlobBerMedDisc!B28)&gt;20, LEFT(GlobBerMedDisc!B28,20)&amp;"…",IF(LEN(GlobBerMedDisc!B28)&gt;0,GlobBerMedDisc!B28,""))</f>
        <v/>
      </c>
      <c r="F35" s="817" t="str">
        <f>GlobBerMedDisc!AR28</f>
        <v/>
      </c>
      <c r="G35" s="817"/>
      <c r="H35" s="817"/>
      <c r="I35" s="817"/>
      <c r="J35" s="420" t="str">
        <f>GlobBerMedDisc!X28</f>
        <v/>
      </c>
      <c r="K35" s="421" t="str">
        <f>IF(AND(GlobBerMedDisc!C28&gt;1,GlobBerMedDisc!BP28),GlobBerMedDisc!H28,"")</f>
        <v/>
      </c>
      <c r="L35" s="422" t="str">
        <f>IF(AND(GlobBerMedDisc!C28&gt;1,GlobBerMedDisc!BP28),GlobBerMedDisc!F28,"")</f>
        <v/>
      </c>
      <c r="M35" s="423" t="str">
        <f>GlobBerMedDisc!Z28</f>
        <v/>
      </c>
      <c r="N35" s="423" t="str">
        <f>GlobBerMedDisc!AO28</f>
        <v/>
      </c>
      <c r="O35" s="423" t="str">
        <f>IF(AND(GlobBerMedDisc!C28&gt;1,GlobBerMedDisc!P28&gt;1),GlobBerMedDisc!O28,"")</f>
        <v/>
      </c>
      <c r="P35" s="423" t="str">
        <f>IF(AND(GlobBerMedDisc!C28&gt;1,O35&lt;&gt;0,GlobBerMedDisc!P28&gt;1),"ml","")</f>
        <v/>
      </c>
      <c r="Q35" s="423"/>
      <c r="R35" s="423" t="str">
        <f>GlobBerMedDisc!AP28</f>
        <v/>
      </c>
      <c r="S35" s="423" t="str">
        <f>IF(AND(GlobBerMedDisc!R28&gt;0),GlobBerMedDisc!R28&amp;" min","")</f>
        <v/>
      </c>
      <c r="T35" s="423" t="str">
        <f>GlobBerMedDisc!AS28</f>
        <v/>
      </c>
      <c r="U35" s="417"/>
      <c r="V35" s="417"/>
      <c r="W35" s="417"/>
      <c r="X35" s="417"/>
      <c r="Y35" s="417"/>
      <c r="Z35" s="417"/>
    </row>
    <row r="36" spans="2:26" ht="20.100000000000001" customHeight="1" thickTop="1" thickBot="1" x14ac:dyDescent="0.25">
      <c r="B36" s="464" t="str">
        <f>GlobBerMedDisc!AN29</f>
        <v/>
      </c>
      <c r="C36" s="464" t="str">
        <f>GlobBerMedDisc!AQ29</f>
        <v/>
      </c>
      <c r="D36" s="600">
        <v>28</v>
      </c>
      <c r="E36" s="420" t="str">
        <f>IF(LEN(GlobBerMedDisc!B29)&gt;20, LEFT(GlobBerMedDisc!B29,20)&amp;"…",IF(LEN(GlobBerMedDisc!B29)&gt;0,GlobBerMedDisc!B29,""))</f>
        <v/>
      </c>
      <c r="F36" s="817" t="str">
        <f>GlobBerMedDisc!AR29</f>
        <v/>
      </c>
      <c r="G36" s="817"/>
      <c r="H36" s="817"/>
      <c r="I36" s="817"/>
      <c r="J36" s="420" t="str">
        <f>GlobBerMedDisc!X29</f>
        <v/>
      </c>
      <c r="K36" s="421" t="str">
        <f>IF(AND(GlobBerMedDisc!C29&gt;1,GlobBerMedDisc!BP29),GlobBerMedDisc!H29,"")</f>
        <v/>
      </c>
      <c r="L36" s="422" t="str">
        <f>IF(AND(GlobBerMedDisc!C29&gt;1,GlobBerMedDisc!BP29),GlobBerMedDisc!F29,"")</f>
        <v/>
      </c>
      <c r="M36" s="423" t="str">
        <f>GlobBerMedDisc!Z29</f>
        <v/>
      </c>
      <c r="N36" s="423" t="str">
        <f>GlobBerMedDisc!AO29</f>
        <v/>
      </c>
      <c r="O36" s="423" t="str">
        <f>IF(AND(GlobBerMedDisc!C29&gt;1,GlobBerMedDisc!P29&gt;1),GlobBerMedDisc!O29,"")</f>
        <v/>
      </c>
      <c r="P36" s="423" t="str">
        <f>IF(AND(GlobBerMedDisc!C29&gt;1,O36&lt;&gt;0,GlobBerMedDisc!P29&gt;1),"ml","")</f>
        <v/>
      </c>
      <c r="Q36" s="423"/>
      <c r="R36" s="423" t="str">
        <f>GlobBerMedDisc!AP29</f>
        <v/>
      </c>
      <c r="S36" s="423" t="str">
        <f>IF(AND(GlobBerMedDisc!R29&gt;0),GlobBerMedDisc!R29&amp;" min","")</f>
        <v/>
      </c>
      <c r="T36" s="423" t="str">
        <f>GlobBerMedDisc!AS29</f>
        <v/>
      </c>
      <c r="U36" s="417"/>
      <c r="V36" s="417"/>
      <c r="W36" s="417"/>
      <c r="X36" s="417"/>
      <c r="Y36" s="417"/>
      <c r="Z36" s="417"/>
    </row>
    <row r="37" spans="2:26" ht="20.100000000000001" customHeight="1" thickTop="1" thickBot="1" x14ac:dyDescent="0.25">
      <c r="B37" s="464" t="str">
        <f>GlobBerMedDisc!AN30</f>
        <v/>
      </c>
      <c r="C37" s="464" t="str">
        <f>GlobBerMedDisc!AQ30</f>
        <v/>
      </c>
      <c r="D37" s="600">
        <v>29</v>
      </c>
      <c r="E37" s="420" t="str">
        <f>IF(LEN(GlobBerMedDisc!B30)&gt;20, LEFT(GlobBerMedDisc!B30,20)&amp;"…",IF(LEN(GlobBerMedDisc!B30)&gt;0,GlobBerMedDisc!B30,""))</f>
        <v/>
      </c>
      <c r="F37" s="817" t="str">
        <f>GlobBerMedDisc!AR30</f>
        <v/>
      </c>
      <c r="G37" s="817"/>
      <c r="H37" s="817"/>
      <c r="I37" s="817"/>
      <c r="J37" s="420" t="str">
        <f>GlobBerMedDisc!X30</f>
        <v/>
      </c>
      <c r="K37" s="421" t="str">
        <f>IF(AND(GlobBerMedDisc!C30&gt;1,GlobBerMedDisc!BP30),GlobBerMedDisc!H30,"")</f>
        <v/>
      </c>
      <c r="L37" s="422" t="str">
        <f>IF(AND(GlobBerMedDisc!C30&gt;1,GlobBerMedDisc!BP30),GlobBerMedDisc!F30,"")</f>
        <v/>
      </c>
      <c r="M37" s="423" t="str">
        <f>GlobBerMedDisc!Z30</f>
        <v/>
      </c>
      <c r="N37" s="423" t="str">
        <f>GlobBerMedDisc!AO30</f>
        <v/>
      </c>
      <c r="O37" s="423" t="str">
        <f>IF(AND(GlobBerMedDisc!C30&gt;1,GlobBerMedDisc!P30&gt;1),GlobBerMedDisc!O30,"")</f>
        <v/>
      </c>
      <c r="P37" s="423" t="str">
        <f>IF(AND(GlobBerMedDisc!C30&gt;1,O37&lt;&gt;0,GlobBerMedDisc!P30&gt;1),"ml","")</f>
        <v/>
      </c>
      <c r="Q37" s="423"/>
      <c r="R37" s="423" t="str">
        <f>GlobBerMedDisc!AP30</f>
        <v/>
      </c>
      <c r="S37" s="423" t="str">
        <f>IF(AND(GlobBerMedDisc!R30&gt;0),GlobBerMedDisc!R30&amp;" min","")</f>
        <v/>
      </c>
      <c r="T37" s="423" t="str">
        <f>GlobBerMedDisc!AS30</f>
        <v/>
      </c>
      <c r="U37" s="417"/>
      <c r="V37" s="417"/>
      <c r="W37" s="417"/>
      <c r="X37" s="417"/>
      <c r="Y37" s="417"/>
      <c r="Z37" s="417"/>
    </row>
    <row r="38" spans="2:26" ht="20.100000000000001" customHeight="1" thickTop="1" thickBot="1" x14ac:dyDescent="0.25">
      <c r="B38" s="464" t="str">
        <f>GlobBerMedDisc!AN31</f>
        <v/>
      </c>
      <c r="C38" s="464" t="str">
        <f>GlobBerMedDisc!AQ31</f>
        <v/>
      </c>
      <c r="D38" s="600">
        <v>30</v>
      </c>
      <c r="E38" s="416" t="str">
        <f>IF(LEN(GlobBerMedDisc!B31)&gt;20, LEFT(GlobBerMedDisc!B31,20)&amp;"…",IF(LEN(GlobBerMedDisc!B31)&gt;0,GlobBerMedDisc!B31,""))</f>
        <v/>
      </c>
      <c r="F38" s="819" t="str">
        <f>GlobBerMedDisc!AR31</f>
        <v/>
      </c>
      <c r="G38" s="819"/>
      <c r="H38" s="819"/>
      <c r="I38" s="819"/>
      <c r="J38" s="416" t="str">
        <f>GlobBerMedDisc!X31</f>
        <v/>
      </c>
      <c r="K38" s="419" t="str">
        <f>IF(AND(GlobBerMedDisc!C31&gt;1,GlobBerMedDisc!BP31),GlobBerMedDisc!H31,"")</f>
        <v/>
      </c>
      <c r="L38" s="413" t="str">
        <f>IF(AND(GlobBerMedDisc!C31&gt;1,GlobBerMedDisc!BP31),GlobBerMedDisc!F31,"")</f>
        <v/>
      </c>
      <c r="M38" s="414" t="str">
        <f>GlobBerMedDisc!Z31</f>
        <v/>
      </c>
      <c r="N38" s="414" t="str">
        <f>GlobBerMedDisc!AO31</f>
        <v/>
      </c>
      <c r="O38" s="414" t="str">
        <f>IF(AND(GlobBerMedDisc!C31&gt;1,GlobBerMedDisc!P31&gt;1),GlobBerMedDisc!O31,"")</f>
        <v/>
      </c>
      <c r="P38" s="414" t="str">
        <f>IF(AND(GlobBerMedDisc!C31&gt;1,O38&lt;&gt;0,GlobBerMedDisc!P31&gt;1),"ml","")</f>
        <v/>
      </c>
      <c r="Q38" s="414"/>
      <c r="R38" s="414" t="str">
        <f>GlobBerMedDisc!AP31</f>
        <v/>
      </c>
      <c r="S38" s="414" t="str">
        <f>IF(AND(GlobBerMedDisc!R31&gt;0),GlobBerMedDisc!R31&amp;" min","")</f>
        <v/>
      </c>
      <c r="T38" s="414" t="str">
        <f>GlobBerMedDisc!AS31</f>
        <v/>
      </c>
      <c r="U38" s="417"/>
      <c r="V38" s="417"/>
      <c r="W38" s="417"/>
      <c r="X38" s="417"/>
      <c r="Y38" s="417"/>
      <c r="Z38" s="417"/>
    </row>
    <row r="39" spans="2:26" ht="13.5" thickTop="1" x14ac:dyDescent="0.2"/>
  </sheetData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F36:I36"/>
    <mergeCell ref="F37:I37"/>
    <mergeCell ref="F38:I38"/>
    <mergeCell ref="F31:I31"/>
    <mergeCell ref="F32:I32"/>
    <mergeCell ref="F33:I33"/>
    <mergeCell ref="F34:I34"/>
    <mergeCell ref="F35:I35"/>
    <mergeCell ref="F21:I21"/>
    <mergeCell ref="F28:I28"/>
    <mergeCell ref="F24:I24"/>
    <mergeCell ref="F25:I25"/>
    <mergeCell ref="F26:I26"/>
    <mergeCell ref="F27:I27"/>
    <mergeCell ref="F29:I29"/>
    <mergeCell ref="F30:I30"/>
    <mergeCell ref="F9:I9"/>
    <mergeCell ref="F10:I10"/>
    <mergeCell ref="F15:I15"/>
    <mergeCell ref="F14:I14"/>
    <mergeCell ref="F13:I13"/>
    <mergeCell ref="F12:I12"/>
    <mergeCell ref="F11:I11"/>
    <mergeCell ref="F20:I20"/>
    <mergeCell ref="F19:I19"/>
    <mergeCell ref="F18:I18"/>
    <mergeCell ref="F17:I17"/>
    <mergeCell ref="F16:I16"/>
    <mergeCell ref="F23:I23"/>
    <mergeCell ref="F22:I22"/>
  </mergeCells>
  <phoneticPr fontId="27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9</xdr:col>
                    <xdr:colOff>847725</xdr:colOff>
                    <xdr:row>8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11</xdr:col>
                    <xdr:colOff>0</xdr:colOff>
                    <xdr:row>8</xdr:row>
                    <xdr:rowOff>9525</xdr:rowOff>
                  </from>
                  <to>
                    <xdr:col>11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16</xdr:col>
                    <xdr:colOff>57150</xdr:colOff>
                    <xdr:row>8</xdr:row>
                    <xdr:rowOff>19050</xdr:rowOff>
                  </from>
                  <to>
                    <xdr:col>16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15</xdr:col>
                    <xdr:colOff>323850</xdr:colOff>
                    <xdr:row>8</xdr:row>
                    <xdr:rowOff>9525</xdr:rowOff>
                  </from>
                  <to>
                    <xdr:col>15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11</xdr:col>
                    <xdr:colOff>0</xdr:colOff>
                    <xdr:row>9</xdr:row>
                    <xdr:rowOff>9525</xdr:rowOff>
                  </from>
                  <to>
                    <xdr:col>11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16</xdr:col>
                    <xdr:colOff>57150</xdr:colOff>
                    <xdr:row>9</xdr:row>
                    <xdr:rowOff>19050</xdr:rowOff>
                  </from>
                  <to>
                    <xdr:col>16</xdr:col>
                    <xdr:colOff>962025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15</xdr:col>
                    <xdr:colOff>323850</xdr:colOff>
                    <xdr:row>9</xdr:row>
                    <xdr:rowOff>9525</xdr:rowOff>
                  </from>
                  <to>
                    <xdr:col>15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9</xdr:col>
                    <xdr:colOff>847725</xdr:colOff>
                    <xdr:row>10</xdr:row>
                    <xdr:rowOff>9525</xdr:rowOff>
                  </from>
                  <to>
                    <xdr:col>10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11</xdr:col>
                    <xdr:colOff>0</xdr:colOff>
                    <xdr:row>10</xdr:row>
                    <xdr:rowOff>9525</xdr:rowOff>
                  </from>
                  <to>
                    <xdr:col>11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28575</xdr:rowOff>
                  </from>
                  <to>
                    <xdr:col>16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15</xdr:col>
                    <xdr:colOff>323850</xdr:colOff>
                    <xdr:row>10</xdr:row>
                    <xdr:rowOff>9525</xdr:rowOff>
                  </from>
                  <to>
                    <xdr:col>15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9</xdr:col>
                    <xdr:colOff>847725</xdr:colOff>
                    <xdr:row>11</xdr:row>
                    <xdr:rowOff>9525</xdr:rowOff>
                  </from>
                  <to>
                    <xdr:col>10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11</xdr:col>
                    <xdr:colOff>0</xdr:colOff>
                    <xdr:row>11</xdr:row>
                    <xdr:rowOff>9525</xdr:rowOff>
                  </from>
                  <to>
                    <xdr:col>11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16</xdr:col>
                    <xdr:colOff>57150</xdr:colOff>
                    <xdr:row>11</xdr:row>
                    <xdr:rowOff>19050</xdr:rowOff>
                  </from>
                  <to>
                    <xdr:col>16</xdr:col>
                    <xdr:colOff>962025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15</xdr:col>
                    <xdr:colOff>323850</xdr:colOff>
                    <xdr:row>11</xdr:row>
                    <xdr:rowOff>9525</xdr:rowOff>
                  </from>
                  <to>
                    <xdr:col>15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9</xdr:col>
                    <xdr:colOff>847725</xdr:colOff>
                    <xdr:row>12</xdr:row>
                    <xdr:rowOff>9525</xdr:rowOff>
                  </from>
                  <to>
                    <xdr:col>10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11</xdr:col>
                    <xdr:colOff>0</xdr:colOff>
                    <xdr:row>12</xdr:row>
                    <xdr:rowOff>9525</xdr:rowOff>
                  </from>
                  <to>
                    <xdr:col>11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16</xdr:col>
                    <xdr:colOff>57150</xdr:colOff>
                    <xdr:row>12</xdr:row>
                    <xdr:rowOff>19050</xdr:rowOff>
                  </from>
                  <to>
                    <xdr:col>16</xdr:col>
                    <xdr:colOff>962025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15</xdr:col>
                    <xdr:colOff>323850</xdr:colOff>
                    <xdr:row>12</xdr:row>
                    <xdr:rowOff>9525</xdr:rowOff>
                  </from>
                  <to>
                    <xdr:col>15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9</xdr:col>
                    <xdr:colOff>847725</xdr:colOff>
                    <xdr:row>13</xdr:row>
                    <xdr:rowOff>9525</xdr:rowOff>
                  </from>
                  <to>
                    <xdr:col>10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11</xdr:col>
                    <xdr:colOff>0</xdr:colOff>
                    <xdr:row>13</xdr:row>
                    <xdr:rowOff>9525</xdr:rowOff>
                  </from>
                  <to>
                    <xdr:col>11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16</xdr:col>
                    <xdr:colOff>57150</xdr:colOff>
                    <xdr:row>13</xdr:row>
                    <xdr:rowOff>19050</xdr:rowOff>
                  </from>
                  <to>
                    <xdr:col>16</xdr:col>
                    <xdr:colOff>962025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15</xdr:col>
                    <xdr:colOff>323850</xdr:colOff>
                    <xdr:row>13</xdr:row>
                    <xdr:rowOff>9525</xdr:rowOff>
                  </from>
                  <to>
                    <xdr:col>15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9</xdr:col>
                    <xdr:colOff>847725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11</xdr:col>
                    <xdr:colOff>0</xdr:colOff>
                    <xdr:row>14</xdr:row>
                    <xdr:rowOff>9525</xdr:rowOff>
                  </from>
                  <to>
                    <xdr:col>11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16</xdr:col>
                    <xdr:colOff>57150</xdr:colOff>
                    <xdr:row>14</xdr:row>
                    <xdr:rowOff>9525</xdr:rowOff>
                  </from>
                  <to>
                    <xdr:col>16</xdr:col>
                    <xdr:colOff>962025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15</xdr:col>
                    <xdr:colOff>323850</xdr:colOff>
                    <xdr:row>14</xdr:row>
                    <xdr:rowOff>9525</xdr:rowOff>
                  </from>
                  <to>
                    <xdr:col>15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9</xdr:col>
                    <xdr:colOff>847725</xdr:colOff>
                    <xdr:row>15</xdr:row>
                    <xdr:rowOff>9525</xdr:rowOff>
                  </from>
                  <to>
                    <xdr:col>10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11</xdr:col>
                    <xdr:colOff>0</xdr:colOff>
                    <xdr:row>15</xdr:row>
                    <xdr:rowOff>9525</xdr:rowOff>
                  </from>
                  <to>
                    <xdr:col>11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16</xdr:col>
                    <xdr:colOff>57150</xdr:colOff>
                    <xdr:row>15</xdr:row>
                    <xdr:rowOff>9525</xdr:rowOff>
                  </from>
                  <to>
                    <xdr:col>16</xdr:col>
                    <xdr:colOff>962025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15</xdr:col>
                    <xdr:colOff>323850</xdr:colOff>
                    <xdr:row>15</xdr:row>
                    <xdr:rowOff>9525</xdr:rowOff>
                  </from>
                  <to>
                    <xdr:col>15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9</xdr:col>
                    <xdr:colOff>847725</xdr:colOff>
                    <xdr:row>16</xdr:row>
                    <xdr:rowOff>9525</xdr:rowOff>
                  </from>
                  <to>
                    <xdr:col>10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11</xdr:col>
                    <xdr:colOff>0</xdr:colOff>
                    <xdr:row>16</xdr:row>
                    <xdr:rowOff>9525</xdr:rowOff>
                  </from>
                  <to>
                    <xdr:col>11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16</xdr:col>
                    <xdr:colOff>57150</xdr:colOff>
                    <xdr:row>16</xdr:row>
                    <xdr:rowOff>9525</xdr:rowOff>
                  </from>
                  <to>
                    <xdr:col>16</xdr:col>
                    <xdr:colOff>962025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15</xdr:col>
                    <xdr:colOff>323850</xdr:colOff>
                    <xdr:row>16</xdr:row>
                    <xdr:rowOff>9525</xdr:rowOff>
                  </from>
                  <to>
                    <xdr:col>15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9</xdr:col>
                    <xdr:colOff>847725</xdr:colOff>
                    <xdr:row>17</xdr:row>
                    <xdr:rowOff>9525</xdr:rowOff>
                  </from>
                  <to>
                    <xdr:col>10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11</xdr:col>
                    <xdr:colOff>0</xdr:colOff>
                    <xdr:row>17</xdr:row>
                    <xdr:rowOff>9525</xdr:rowOff>
                  </from>
                  <to>
                    <xdr:col>11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16</xdr:col>
                    <xdr:colOff>57150</xdr:colOff>
                    <xdr:row>17</xdr:row>
                    <xdr:rowOff>9525</xdr:rowOff>
                  </from>
                  <to>
                    <xdr:col>16</xdr:col>
                    <xdr:colOff>962025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15</xdr:col>
                    <xdr:colOff>323850</xdr:colOff>
                    <xdr:row>17</xdr:row>
                    <xdr:rowOff>9525</xdr:rowOff>
                  </from>
                  <to>
                    <xdr:col>15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9</xdr:col>
                    <xdr:colOff>847725</xdr:colOff>
                    <xdr:row>18</xdr:row>
                    <xdr:rowOff>9525</xdr:rowOff>
                  </from>
                  <to>
                    <xdr:col>10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11</xdr:col>
                    <xdr:colOff>0</xdr:colOff>
                    <xdr:row>18</xdr:row>
                    <xdr:rowOff>9525</xdr:rowOff>
                  </from>
                  <to>
                    <xdr:col>11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16</xdr:col>
                    <xdr:colOff>57150</xdr:colOff>
                    <xdr:row>18</xdr:row>
                    <xdr:rowOff>9525</xdr:rowOff>
                  </from>
                  <to>
                    <xdr:col>16</xdr:col>
                    <xdr:colOff>962025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15</xdr:col>
                    <xdr:colOff>323850</xdr:colOff>
                    <xdr:row>18</xdr:row>
                    <xdr:rowOff>9525</xdr:rowOff>
                  </from>
                  <to>
                    <xdr:col>15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9</xdr:col>
                    <xdr:colOff>847725</xdr:colOff>
                    <xdr:row>19</xdr:row>
                    <xdr:rowOff>9525</xdr:rowOff>
                  </from>
                  <to>
                    <xdr:col>10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11</xdr:col>
                    <xdr:colOff>0</xdr:colOff>
                    <xdr:row>19</xdr:row>
                    <xdr:rowOff>9525</xdr:rowOff>
                  </from>
                  <to>
                    <xdr:col>11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16</xdr:col>
                    <xdr:colOff>57150</xdr:colOff>
                    <xdr:row>19</xdr:row>
                    <xdr:rowOff>9525</xdr:rowOff>
                  </from>
                  <to>
                    <xdr:col>16</xdr:col>
                    <xdr:colOff>962025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15</xdr:col>
                    <xdr:colOff>323850</xdr:colOff>
                    <xdr:row>19</xdr:row>
                    <xdr:rowOff>9525</xdr:rowOff>
                  </from>
                  <to>
                    <xdr:col>15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9</xdr:col>
                    <xdr:colOff>847725</xdr:colOff>
                    <xdr:row>20</xdr:row>
                    <xdr:rowOff>9525</xdr:rowOff>
                  </from>
                  <to>
                    <xdr:col>10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11</xdr:col>
                    <xdr:colOff>0</xdr:colOff>
                    <xdr:row>20</xdr:row>
                    <xdr:rowOff>9525</xdr:rowOff>
                  </from>
                  <to>
                    <xdr:col>11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16</xdr:col>
                    <xdr:colOff>57150</xdr:colOff>
                    <xdr:row>20</xdr:row>
                    <xdr:rowOff>9525</xdr:rowOff>
                  </from>
                  <to>
                    <xdr:col>16</xdr:col>
                    <xdr:colOff>962025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15</xdr:col>
                    <xdr:colOff>323850</xdr:colOff>
                    <xdr:row>20</xdr:row>
                    <xdr:rowOff>9525</xdr:rowOff>
                  </from>
                  <to>
                    <xdr:col>15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9</xdr:col>
                    <xdr:colOff>847725</xdr:colOff>
                    <xdr:row>21</xdr:row>
                    <xdr:rowOff>9525</xdr:rowOff>
                  </from>
                  <to>
                    <xdr:col>10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11</xdr:col>
                    <xdr:colOff>0</xdr:colOff>
                    <xdr:row>21</xdr:row>
                    <xdr:rowOff>9525</xdr:rowOff>
                  </from>
                  <to>
                    <xdr:col>11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16</xdr:col>
                    <xdr:colOff>57150</xdr:colOff>
                    <xdr:row>21</xdr:row>
                    <xdr:rowOff>9525</xdr:rowOff>
                  </from>
                  <to>
                    <xdr:col>16</xdr:col>
                    <xdr:colOff>962025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15</xdr:col>
                    <xdr:colOff>323850</xdr:colOff>
                    <xdr:row>21</xdr:row>
                    <xdr:rowOff>9525</xdr:rowOff>
                  </from>
                  <to>
                    <xdr:col>15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9</xdr:col>
                    <xdr:colOff>847725</xdr:colOff>
                    <xdr:row>22</xdr:row>
                    <xdr:rowOff>9525</xdr:rowOff>
                  </from>
                  <to>
                    <xdr:col>10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11</xdr:col>
                    <xdr:colOff>0</xdr:colOff>
                    <xdr:row>22</xdr:row>
                    <xdr:rowOff>9525</xdr:rowOff>
                  </from>
                  <to>
                    <xdr:col>11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16</xdr:col>
                    <xdr:colOff>57150</xdr:colOff>
                    <xdr:row>22</xdr:row>
                    <xdr:rowOff>9525</xdr:rowOff>
                  </from>
                  <to>
                    <xdr:col>16</xdr:col>
                    <xdr:colOff>962025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15</xdr:col>
                    <xdr:colOff>323850</xdr:colOff>
                    <xdr:row>22</xdr:row>
                    <xdr:rowOff>9525</xdr:rowOff>
                  </from>
                  <to>
                    <xdr:col>15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9</xdr:col>
                    <xdr:colOff>847725</xdr:colOff>
                    <xdr:row>23</xdr:row>
                    <xdr:rowOff>9525</xdr:rowOff>
                  </from>
                  <to>
                    <xdr:col>10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11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16</xdr:col>
                    <xdr:colOff>57150</xdr:colOff>
                    <xdr:row>23</xdr:row>
                    <xdr:rowOff>9525</xdr:rowOff>
                  </from>
                  <to>
                    <xdr:col>16</xdr:col>
                    <xdr:colOff>962025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15</xdr:col>
                    <xdr:colOff>323850</xdr:colOff>
                    <xdr:row>23</xdr:row>
                    <xdr:rowOff>9525</xdr:rowOff>
                  </from>
                  <to>
                    <xdr:col>15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9</xdr:col>
                    <xdr:colOff>847725</xdr:colOff>
                    <xdr:row>24</xdr:row>
                    <xdr:rowOff>9525</xdr:rowOff>
                  </from>
                  <to>
                    <xdr:col>10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11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16</xdr:col>
                    <xdr:colOff>57150</xdr:colOff>
                    <xdr:row>24</xdr:row>
                    <xdr:rowOff>9525</xdr:rowOff>
                  </from>
                  <to>
                    <xdr:col>16</xdr:col>
                    <xdr:colOff>962025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15</xdr:col>
                    <xdr:colOff>323850</xdr:colOff>
                    <xdr:row>24</xdr:row>
                    <xdr:rowOff>9525</xdr:rowOff>
                  </from>
                  <to>
                    <xdr:col>15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9</xdr:col>
                    <xdr:colOff>847725</xdr:colOff>
                    <xdr:row>25</xdr:row>
                    <xdr:rowOff>9525</xdr:rowOff>
                  </from>
                  <to>
                    <xdr:col>10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11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16</xdr:col>
                    <xdr:colOff>57150</xdr:colOff>
                    <xdr:row>25</xdr:row>
                    <xdr:rowOff>9525</xdr:rowOff>
                  </from>
                  <to>
                    <xdr:col>16</xdr:col>
                    <xdr:colOff>962025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15</xdr:col>
                    <xdr:colOff>323850</xdr:colOff>
                    <xdr:row>25</xdr:row>
                    <xdr:rowOff>9525</xdr:rowOff>
                  </from>
                  <to>
                    <xdr:col>15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9</xdr:col>
                    <xdr:colOff>847725</xdr:colOff>
                    <xdr:row>26</xdr:row>
                    <xdr:rowOff>9525</xdr:rowOff>
                  </from>
                  <to>
                    <xdr:col>10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11</xdr:col>
                    <xdr:colOff>0</xdr:colOff>
                    <xdr:row>26</xdr:row>
                    <xdr:rowOff>9525</xdr:rowOff>
                  </from>
                  <to>
                    <xdr:col>11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16</xdr:col>
                    <xdr:colOff>57150</xdr:colOff>
                    <xdr:row>26</xdr:row>
                    <xdr:rowOff>0</xdr:rowOff>
                  </from>
                  <to>
                    <xdr:col>16</xdr:col>
                    <xdr:colOff>962025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15</xdr:col>
                    <xdr:colOff>323850</xdr:colOff>
                    <xdr:row>26</xdr:row>
                    <xdr:rowOff>9525</xdr:rowOff>
                  </from>
                  <to>
                    <xdr:col>15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9</xdr:col>
                    <xdr:colOff>847725</xdr:colOff>
                    <xdr:row>27</xdr:row>
                    <xdr:rowOff>9525</xdr:rowOff>
                  </from>
                  <to>
                    <xdr:col>10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11</xdr:col>
                    <xdr:colOff>0</xdr:colOff>
                    <xdr:row>27</xdr:row>
                    <xdr:rowOff>9525</xdr:rowOff>
                  </from>
                  <to>
                    <xdr:col>11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16</xdr:col>
                    <xdr:colOff>57150</xdr:colOff>
                    <xdr:row>27</xdr:row>
                    <xdr:rowOff>0</xdr:rowOff>
                  </from>
                  <to>
                    <xdr:col>16</xdr:col>
                    <xdr:colOff>962025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15</xdr:col>
                    <xdr:colOff>323850</xdr:colOff>
                    <xdr:row>27</xdr:row>
                    <xdr:rowOff>9525</xdr:rowOff>
                  </from>
                  <to>
                    <xdr:col>15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9</xdr:col>
                    <xdr:colOff>847725</xdr:colOff>
                    <xdr:row>9</xdr:row>
                    <xdr:rowOff>9525</xdr:rowOff>
                  </from>
                  <to>
                    <xdr:col>10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18</xdr:col>
                    <xdr:colOff>485775</xdr:colOff>
                    <xdr:row>8</xdr:row>
                    <xdr:rowOff>9525</xdr:rowOff>
                  </from>
                  <to>
                    <xdr:col>19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18</xdr:col>
                    <xdr:colOff>485775</xdr:colOff>
                    <xdr:row>9</xdr:row>
                    <xdr:rowOff>9525</xdr:rowOff>
                  </from>
                  <to>
                    <xdr:col>19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18</xdr:col>
                    <xdr:colOff>485775</xdr:colOff>
                    <xdr:row>10</xdr:row>
                    <xdr:rowOff>9525</xdr:rowOff>
                  </from>
                  <to>
                    <xdr:col>19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18</xdr:col>
                    <xdr:colOff>485775</xdr:colOff>
                    <xdr:row>11</xdr:row>
                    <xdr:rowOff>9525</xdr:rowOff>
                  </from>
                  <to>
                    <xdr:col>19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18</xdr:col>
                    <xdr:colOff>485775</xdr:colOff>
                    <xdr:row>12</xdr:row>
                    <xdr:rowOff>9525</xdr:rowOff>
                  </from>
                  <to>
                    <xdr:col>19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18</xdr:col>
                    <xdr:colOff>485775</xdr:colOff>
                    <xdr:row>13</xdr:row>
                    <xdr:rowOff>9525</xdr:rowOff>
                  </from>
                  <to>
                    <xdr:col>19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18</xdr:col>
                    <xdr:colOff>485775</xdr:colOff>
                    <xdr:row>14</xdr:row>
                    <xdr:rowOff>9525</xdr:rowOff>
                  </from>
                  <to>
                    <xdr:col>19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18</xdr:col>
                    <xdr:colOff>485775</xdr:colOff>
                    <xdr:row>15</xdr:row>
                    <xdr:rowOff>9525</xdr:rowOff>
                  </from>
                  <to>
                    <xdr:col>19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18</xdr:col>
                    <xdr:colOff>485775</xdr:colOff>
                    <xdr:row>16</xdr:row>
                    <xdr:rowOff>9525</xdr:rowOff>
                  </from>
                  <to>
                    <xdr:col>19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18</xdr:col>
                    <xdr:colOff>485775</xdr:colOff>
                    <xdr:row>17</xdr:row>
                    <xdr:rowOff>9525</xdr:rowOff>
                  </from>
                  <to>
                    <xdr:col>19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18</xdr:col>
                    <xdr:colOff>485775</xdr:colOff>
                    <xdr:row>18</xdr:row>
                    <xdr:rowOff>9525</xdr:rowOff>
                  </from>
                  <to>
                    <xdr:col>19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18</xdr:col>
                    <xdr:colOff>485775</xdr:colOff>
                    <xdr:row>19</xdr:row>
                    <xdr:rowOff>9525</xdr:rowOff>
                  </from>
                  <to>
                    <xdr:col>19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18</xdr:col>
                    <xdr:colOff>485775</xdr:colOff>
                    <xdr:row>20</xdr:row>
                    <xdr:rowOff>9525</xdr:rowOff>
                  </from>
                  <to>
                    <xdr:col>19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18</xdr:col>
                    <xdr:colOff>485775</xdr:colOff>
                    <xdr:row>21</xdr:row>
                    <xdr:rowOff>9525</xdr:rowOff>
                  </from>
                  <to>
                    <xdr:col>19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18</xdr:col>
                    <xdr:colOff>485775</xdr:colOff>
                    <xdr:row>22</xdr:row>
                    <xdr:rowOff>9525</xdr:rowOff>
                  </from>
                  <to>
                    <xdr:col>19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18</xdr:col>
                    <xdr:colOff>485775</xdr:colOff>
                    <xdr:row>23</xdr:row>
                    <xdr:rowOff>9525</xdr:rowOff>
                  </from>
                  <to>
                    <xdr:col>19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18</xdr:col>
                    <xdr:colOff>485775</xdr:colOff>
                    <xdr:row>24</xdr:row>
                    <xdr:rowOff>9525</xdr:rowOff>
                  </from>
                  <to>
                    <xdr:col>19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18</xdr:col>
                    <xdr:colOff>485775</xdr:colOff>
                    <xdr:row>25</xdr:row>
                    <xdr:rowOff>9525</xdr:rowOff>
                  </from>
                  <to>
                    <xdr:col>19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18</xdr:col>
                    <xdr:colOff>485775</xdr:colOff>
                    <xdr:row>26</xdr:row>
                    <xdr:rowOff>9525</xdr:rowOff>
                  </from>
                  <to>
                    <xdr:col>19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18</xdr:col>
                    <xdr:colOff>485775</xdr:colOff>
                    <xdr:row>27</xdr:row>
                    <xdr:rowOff>9525</xdr:rowOff>
                  </from>
                  <to>
                    <xdr:col>19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16</xdr:col>
                    <xdr:colOff>57150</xdr:colOff>
                    <xdr:row>10</xdr:row>
                    <xdr:rowOff>19050</xdr:rowOff>
                  </from>
                  <to>
                    <xdr:col>16</xdr:col>
                    <xdr:colOff>962025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16</xdr:col>
                    <xdr:colOff>57150</xdr:colOff>
                    <xdr:row>28</xdr:row>
                    <xdr:rowOff>0</xdr:rowOff>
                  </from>
                  <to>
                    <xdr:col>16</xdr:col>
                    <xdr:colOff>962025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9</xdr:col>
                    <xdr:colOff>847725</xdr:colOff>
                    <xdr:row>28</xdr:row>
                    <xdr:rowOff>9525</xdr:rowOff>
                  </from>
                  <to>
                    <xdr:col>10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11</xdr:col>
                    <xdr:colOff>0</xdr:colOff>
                    <xdr:row>28</xdr:row>
                    <xdr:rowOff>9525</xdr:rowOff>
                  </from>
                  <to>
                    <xdr:col>11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15</xdr:col>
                    <xdr:colOff>323850</xdr:colOff>
                    <xdr:row>28</xdr:row>
                    <xdr:rowOff>9525</xdr:rowOff>
                  </from>
                  <to>
                    <xdr:col>15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18</xdr:col>
                    <xdr:colOff>485775</xdr:colOff>
                    <xdr:row>28</xdr:row>
                    <xdr:rowOff>9525</xdr:rowOff>
                  </from>
                  <to>
                    <xdr:col>19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16</xdr:col>
                    <xdr:colOff>57150</xdr:colOff>
                    <xdr:row>29</xdr:row>
                    <xdr:rowOff>0</xdr:rowOff>
                  </from>
                  <to>
                    <xdr:col>16</xdr:col>
                    <xdr:colOff>962025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9</xdr:col>
                    <xdr:colOff>847725</xdr:colOff>
                    <xdr:row>29</xdr:row>
                    <xdr:rowOff>9525</xdr:rowOff>
                  </from>
                  <to>
                    <xdr:col>10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11</xdr:col>
                    <xdr:colOff>0</xdr:colOff>
                    <xdr:row>29</xdr:row>
                    <xdr:rowOff>9525</xdr:rowOff>
                  </from>
                  <to>
                    <xdr:col>11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15</xdr:col>
                    <xdr:colOff>323850</xdr:colOff>
                    <xdr:row>29</xdr:row>
                    <xdr:rowOff>9525</xdr:rowOff>
                  </from>
                  <to>
                    <xdr:col>15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18</xdr:col>
                    <xdr:colOff>485775</xdr:colOff>
                    <xdr:row>29</xdr:row>
                    <xdr:rowOff>9525</xdr:rowOff>
                  </from>
                  <to>
                    <xdr:col>19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16</xdr:col>
                    <xdr:colOff>57150</xdr:colOff>
                    <xdr:row>30</xdr:row>
                    <xdr:rowOff>0</xdr:rowOff>
                  </from>
                  <to>
                    <xdr:col>16</xdr:col>
                    <xdr:colOff>962025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9</xdr:col>
                    <xdr:colOff>847725</xdr:colOff>
                    <xdr:row>30</xdr:row>
                    <xdr:rowOff>9525</xdr:rowOff>
                  </from>
                  <to>
                    <xdr:col>10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11</xdr:col>
                    <xdr:colOff>0</xdr:colOff>
                    <xdr:row>30</xdr:row>
                    <xdr:rowOff>9525</xdr:rowOff>
                  </from>
                  <to>
                    <xdr:col>11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15</xdr:col>
                    <xdr:colOff>323850</xdr:colOff>
                    <xdr:row>30</xdr:row>
                    <xdr:rowOff>9525</xdr:rowOff>
                  </from>
                  <to>
                    <xdr:col>15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18</xdr:col>
                    <xdr:colOff>485775</xdr:colOff>
                    <xdr:row>30</xdr:row>
                    <xdr:rowOff>9525</xdr:rowOff>
                  </from>
                  <to>
                    <xdr:col>19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0</xdr:rowOff>
                  </from>
                  <to>
                    <xdr:col>16</xdr:col>
                    <xdr:colOff>962025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9</xdr:col>
                    <xdr:colOff>847725</xdr:colOff>
                    <xdr:row>31</xdr:row>
                    <xdr:rowOff>9525</xdr:rowOff>
                  </from>
                  <to>
                    <xdr:col>10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15</xdr:col>
                    <xdr:colOff>323850</xdr:colOff>
                    <xdr:row>31</xdr:row>
                    <xdr:rowOff>9525</xdr:rowOff>
                  </from>
                  <to>
                    <xdr:col>15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18</xdr:col>
                    <xdr:colOff>485775</xdr:colOff>
                    <xdr:row>31</xdr:row>
                    <xdr:rowOff>9525</xdr:rowOff>
                  </from>
                  <to>
                    <xdr:col>19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247650</xdr:rowOff>
                  </from>
                  <to>
                    <xdr:col>16</xdr:col>
                    <xdr:colOff>962025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9</xdr:col>
                    <xdr:colOff>847725</xdr:colOff>
                    <xdr:row>32</xdr:row>
                    <xdr:rowOff>9525</xdr:rowOff>
                  </from>
                  <to>
                    <xdr:col>10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15</xdr:col>
                    <xdr:colOff>323850</xdr:colOff>
                    <xdr:row>32</xdr:row>
                    <xdr:rowOff>9525</xdr:rowOff>
                  </from>
                  <to>
                    <xdr:col>15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18</xdr:col>
                    <xdr:colOff>485775</xdr:colOff>
                    <xdr:row>32</xdr:row>
                    <xdr:rowOff>9525</xdr:rowOff>
                  </from>
                  <to>
                    <xdr:col>19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16</xdr:col>
                    <xdr:colOff>57150</xdr:colOff>
                    <xdr:row>32</xdr:row>
                    <xdr:rowOff>247650</xdr:rowOff>
                  </from>
                  <to>
                    <xdr:col>16</xdr:col>
                    <xdr:colOff>962025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9</xdr:col>
                    <xdr:colOff>847725</xdr:colOff>
                    <xdr:row>33</xdr:row>
                    <xdr:rowOff>9525</xdr:rowOff>
                  </from>
                  <to>
                    <xdr:col>10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15</xdr:col>
                    <xdr:colOff>323850</xdr:colOff>
                    <xdr:row>33</xdr:row>
                    <xdr:rowOff>9525</xdr:rowOff>
                  </from>
                  <to>
                    <xdr:col>15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18</xdr:col>
                    <xdr:colOff>485775</xdr:colOff>
                    <xdr:row>33</xdr:row>
                    <xdr:rowOff>9525</xdr:rowOff>
                  </from>
                  <to>
                    <xdr:col>19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16</xdr:col>
                    <xdr:colOff>57150</xdr:colOff>
                    <xdr:row>33</xdr:row>
                    <xdr:rowOff>247650</xdr:rowOff>
                  </from>
                  <to>
                    <xdr:col>16</xdr:col>
                    <xdr:colOff>962025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9</xdr:col>
                    <xdr:colOff>847725</xdr:colOff>
                    <xdr:row>34</xdr:row>
                    <xdr:rowOff>19050</xdr:rowOff>
                  </from>
                  <to>
                    <xdr:col>10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11</xdr:col>
                    <xdr:colOff>0</xdr:colOff>
                    <xdr:row>34</xdr:row>
                    <xdr:rowOff>19050</xdr:rowOff>
                  </from>
                  <to>
                    <xdr:col>11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15</xdr:col>
                    <xdr:colOff>323850</xdr:colOff>
                    <xdr:row>34</xdr:row>
                    <xdr:rowOff>19050</xdr:rowOff>
                  </from>
                  <to>
                    <xdr:col>15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18</xdr:col>
                    <xdr:colOff>485775</xdr:colOff>
                    <xdr:row>34</xdr:row>
                    <xdr:rowOff>19050</xdr:rowOff>
                  </from>
                  <to>
                    <xdr:col>19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16</xdr:col>
                    <xdr:colOff>57150</xdr:colOff>
                    <xdr:row>34</xdr:row>
                    <xdr:rowOff>247650</xdr:rowOff>
                  </from>
                  <to>
                    <xdr:col>16</xdr:col>
                    <xdr:colOff>962025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9</xdr:col>
                    <xdr:colOff>847725</xdr:colOff>
                    <xdr:row>35</xdr:row>
                    <xdr:rowOff>19050</xdr:rowOff>
                  </from>
                  <to>
                    <xdr:col>10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11</xdr:col>
                    <xdr:colOff>0</xdr:colOff>
                    <xdr:row>35</xdr:row>
                    <xdr:rowOff>19050</xdr:rowOff>
                  </from>
                  <to>
                    <xdr:col>11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15</xdr:col>
                    <xdr:colOff>323850</xdr:colOff>
                    <xdr:row>35</xdr:row>
                    <xdr:rowOff>19050</xdr:rowOff>
                  </from>
                  <to>
                    <xdr:col>15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18</xdr:col>
                    <xdr:colOff>485775</xdr:colOff>
                    <xdr:row>35</xdr:row>
                    <xdr:rowOff>19050</xdr:rowOff>
                  </from>
                  <to>
                    <xdr:col>19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16</xdr:col>
                    <xdr:colOff>57150</xdr:colOff>
                    <xdr:row>35</xdr:row>
                    <xdr:rowOff>247650</xdr:rowOff>
                  </from>
                  <to>
                    <xdr:col>16</xdr:col>
                    <xdr:colOff>962025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9</xdr:col>
                    <xdr:colOff>847725</xdr:colOff>
                    <xdr:row>36</xdr:row>
                    <xdr:rowOff>19050</xdr:rowOff>
                  </from>
                  <to>
                    <xdr:col>10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11</xdr:col>
                    <xdr:colOff>0</xdr:colOff>
                    <xdr:row>36</xdr:row>
                    <xdr:rowOff>19050</xdr:rowOff>
                  </from>
                  <to>
                    <xdr:col>11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15</xdr:col>
                    <xdr:colOff>323850</xdr:colOff>
                    <xdr:row>36</xdr:row>
                    <xdr:rowOff>19050</xdr:rowOff>
                  </from>
                  <to>
                    <xdr:col>15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18</xdr:col>
                    <xdr:colOff>485775</xdr:colOff>
                    <xdr:row>36</xdr:row>
                    <xdr:rowOff>19050</xdr:rowOff>
                  </from>
                  <to>
                    <xdr:col>19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16</xdr:col>
                    <xdr:colOff>57150</xdr:colOff>
                    <xdr:row>36</xdr:row>
                    <xdr:rowOff>247650</xdr:rowOff>
                  </from>
                  <to>
                    <xdr:col>16</xdr:col>
                    <xdr:colOff>962025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9</xdr:col>
                    <xdr:colOff>847725</xdr:colOff>
                    <xdr:row>37</xdr:row>
                    <xdr:rowOff>19050</xdr:rowOff>
                  </from>
                  <to>
                    <xdr:col>10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11</xdr:col>
                    <xdr:colOff>0</xdr:colOff>
                    <xdr:row>37</xdr:row>
                    <xdr:rowOff>19050</xdr:rowOff>
                  </from>
                  <to>
                    <xdr:col>11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15</xdr:col>
                    <xdr:colOff>323850</xdr:colOff>
                    <xdr:row>37</xdr:row>
                    <xdr:rowOff>19050</xdr:rowOff>
                  </from>
                  <to>
                    <xdr:col>15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18</xdr:col>
                    <xdr:colOff>485775</xdr:colOff>
                    <xdr:row>37</xdr:row>
                    <xdr:rowOff>19050</xdr:rowOff>
                  </from>
                  <to>
                    <xdr:col>19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11" stopIfTrue="1" id="{00000000-0000-0000-0000-000000000000}">
            <xm:f>GlobBerMedDisc!BF2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J9:J38</xm:sqref>
        </x14:conditionalFormatting>
        <x14:conditionalFormatting xmlns:xm="http://schemas.microsoft.com/office/excel/2006/main">
          <x14:cfRule type="expression" priority="541" stopIfTrue="1" id="{00000000-0000-0000-0000-000000000000}">
            <xm:f>GlobBerMedDisc!BM2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542" id="{00000000-0000-0000-0000-000000000000}">
            <xm:f>GlobBerMedDisc!BL2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601" stopIfTrue="1" id="{00000000-0000-0000-0000-000000000000}">
            <xm:f>GlobBerMedDisc!BA2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R9:R38</xm:sqref>
        </x14:conditionalFormatting>
        <x14:conditionalFormatting xmlns:xm="http://schemas.microsoft.com/office/excel/2006/main">
          <x14:cfRule type="expression" priority="631" stopIfTrue="1" id="{00000000-0000-0000-0000-000000000000}">
            <xm:f>GlobBerMedDisc!BC2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S9:S38</xm:sqref>
        </x14:conditionalFormatting>
        <x14:conditionalFormatting xmlns:xm="http://schemas.microsoft.com/office/excel/2006/main">
          <x14:cfRule type="expression" priority="661" stopIfTrue="1" id="{00000000-0000-0000-0000-000000000000}">
            <xm:f>GlobBerMedDisc!BN2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F9:F38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  <outlinePr showOutlineSymbols="0"/>
  </sheetPr>
  <dimension ref="A1:BT48"/>
  <sheetViews>
    <sheetView showZeros="0" showOutlineSymbols="0" zoomScaleNormal="100" workbookViewId="0">
      <pane xSplit="1" ySplit="1" topLeftCell="BI2" activePane="bottomRight" state="frozen"/>
      <selection pane="topRight" activeCell="B1" sqref="B1"/>
      <selection pane="bottomLeft" activeCell="A2" sqref="A2"/>
      <selection pane="bottomRight" activeCell="BQ2" sqref="BQ2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151" customWidth="1"/>
    <col min="22" max="22" width="9.140625" customWidth="1"/>
    <col min="23" max="23" width="21.85546875" customWidth="1"/>
    <col min="24" max="24" width="13.42578125" customWidth="1"/>
    <col min="25" max="25" width="13.42578125" style="151" customWidth="1"/>
    <col min="26" max="26" width="5.42578125" customWidth="1"/>
    <col min="27" max="27" width="9.5703125" customWidth="1"/>
    <col min="28" max="28" width="9.5703125" style="151" customWidth="1"/>
    <col min="30" max="30" width="35.140625" customWidth="1"/>
    <col min="31" max="31" width="48.5703125" customWidth="1"/>
    <col min="32" max="32" width="6.7109375" customWidth="1"/>
    <col min="34" max="34" width="10.7109375" style="151" customWidth="1"/>
    <col min="35" max="35" width="10.28515625" style="151" customWidth="1"/>
    <col min="39" max="39" width="29.140625" customWidth="1"/>
    <col min="41" max="41" width="15.42578125" customWidth="1"/>
    <col min="42" max="42" width="15.28515625" customWidth="1"/>
    <col min="44" max="44" width="40.85546875" customWidth="1"/>
    <col min="45" max="45" width="11" customWidth="1"/>
    <col min="48" max="49" width="9.42578125" bestFit="1" customWidth="1"/>
    <col min="53" max="55" width="9.42578125" bestFit="1" customWidth="1"/>
    <col min="58" max="58" width="9.42578125" bestFit="1" customWidth="1"/>
    <col min="59" max="59" width="11.42578125" customWidth="1"/>
    <col min="60" max="61" width="12.85546875" customWidth="1"/>
    <col min="63" max="63" width="9.42578125" bestFit="1" customWidth="1"/>
    <col min="65" max="66" width="9.42578125" bestFit="1" customWidth="1"/>
    <col min="67" max="67" width="19.28515625" customWidth="1"/>
  </cols>
  <sheetData>
    <row r="1" spans="1:72" x14ac:dyDescent="0.2">
      <c r="A1" s="179"/>
      <c r="B1" s="152" t="s">
        <v>862</v>
      </c>
      <c r="C1" s="152" t="s">
        <v>3424</v>
      </c>
      <c r="D1" s="49" t="s">
        <v>352</v>
      </c>
      <c r="E1" t="s">
        <v>116</v>
      </c>
      <c r="F1" t="s">
        <v>117</v>
      </c>
      <c r="G1" t="s">
        <v>104</v>
      </c>
      <c r="H1" t="s">
        <v>255</v>
      </c>
      <c r="I1" t="s">
        <v>290</v>
      </c>
      <c r="J1" t="s">
        <v>154</v>
      </c>
      <c r="K1" t="s">
        <v>105</v>
      </c>
      <c r="L1" t="s">
        <v>106</v>
      </c>
      <c r="M1" t="s">
        <v>76</v>
      </c>
      <c r="N1" s="152" t="s">
        <v>4530</v>
      </c>
      <c r="O1" t="s">
        <v>284</v>
      </c>
      <c r="P1" t="s">
        <v>285</v>
      </c>
      <c r="Q1" t="s">
        <v>286</v>
      </c>
      <c r="R1" t="s">
        <v>291</v>
      </c>
      <c r="S1" t="s">
        <v>170</v>
      </c>
      <c r="T1" t="s">
        <v>288</v>
      </c>
      <c r="U1" t="s">
        <v>289</v>
      </c>
      <c r="V1" s="152" t="s">
        <v>861</v>
      </c>
      <c r="W1" t="s">
        <v>276</v>
      </c>
      <c r="X1" t="s">
        <v>342</v>
      </c>
      <c r="Y1" s="152" t="s">
        <v>4825</v>
      </c>
      <c r="Z1" t="s">
        <v>343</v>
      </c>
      <c r="AA1" s="152" t="s">
        <v>5182</v>
      </c>
      <c r="AB1" s="152" t="s">
        <v>5144</v>
      </c>
      <c r="AC1" t="s">
        <v>291</v>
      </c>
      <c r="AD1" t="s">
        <v>344</v>
      </c>
      <c r="AE1" t="s">
        <v>328</v>
      </c>
      <c r="AG1" s="152" t="s">
        <v>207</v>
      </c>
      <c r="AH1" s="152" t="s">
        <v>3288</v>
      </c>
      <c r="AI1" s="152" t="s">
        <v>3289</v>
      </c>
      <c r="AJ1" s="152" t="s">
        <v>863</v>
      </c>
      <c r="AK1" s="152" t="s">
        <v>153</v>
      </c>
      <c r="AL1" s="152" t="s">
        <v>864</v>
      </c>
      <c r="AM1" s="152" t="s">
        <v>865</v>
      </c>
      <c r="AN1" s="152" t="s">
        <v>3284</v>
      </c>
      <c r="AO1" s="152" t="s">
        <v>3290</v>
      </c>
      <c r="AP1" s="152" t="s">
        <v>110</v>
      </c>
      <c r="AQ1" s="152" t="s">
        <v>3293</v>
      </c>
      <c r="AR1" s="152" t="s">
        <v>3455</v>
      </c>
      <c r="AS1" s="152" t="s">
        <v>4494</v>
      </c>
      <c r="AT1" s="152" t="s">
        <v>5284</v>
      </c>
      <c r="AU1" s="152" t="s">
        <v>5285</v>
      </c>
      <c r="AV1" s="152" t="s">
        <v>5286</v>
      </c>
      <c r="AW1" s="152" t="s">
        <v>5287</v>
      </c>
      <c r="AX1" s="152" t="s">
        <v>5288</v>
      </c>
      <c r="AY1" s="152" t="s">
        <v>5289</v>
      </c>
      <c r="AZ1" s="152" t="s">
        <v>5290</v>
      </c>
      <c r="BA1" s="152" t="s">
        <v>5291</v>
      </c>
      <c r="BB1" s="152" t="s">
        <v>5292</v>
      </c>
      <c r="BC1" s="152" t="s">
        <v>5293</v>
      </c>
      <c r="BD1" s="152" t="s">
        <v>3292</v>
      </c>
      <c r="BE1" s="152" t="s">
        <v>154</v>
      </c>
      <c r="BF1" s="152" t="s">
        <v>5665</v>
      </c>
      <c r="BG1" s="152" t="s">
        <v>5666</v>
      </c>
      <c r="BH1" s="152" t="s">
        <v>5667</v>
      </c>
      <c r="BI1" s="152" t="s">
        <v>5668</v>
      </c>
      <c r="BJ1" s="152" t="s">
        <v>5669</v>
      </c>
      <c r="BK1" s="152" t="s">
        <v>5970</v>
      </c>
      <c r="BL1" s="152" t="s">
        <v>5971</v>
      </c>
      <c r="BM1" s="152" t="s">
        <v>5972</v>
      </c>
      <c r="BN1" s="152" t="s">
        <v>7143</v>
      </c>
      <c r="BO1" s="152" t="s">
        <v>6920</v>
      </c>
      <c r="BP1" s="152" t="s">
        <v>7144</v>
      </c>
      <c r="BQ1" s="152" t="s">
        <v>7536</v>
      </c>
      <c r="BR1" s="152" t="s">
        <v>7681</v>
      </c>
      <c r="BS1" s="152" t="s">
        <v>7682</v>
      </c>
      <c r="BT1" s="152" t="s">
        <v>7811</v>
      </c>
    </row>
    <row r="2" spans="1:72" x14ac:dyDescent="0.2">
      <c r="A2">
        <v>1</v>
      </c>
      <c r="D2" s="152"/>
      <c r="E2" s="5">
        <v>0</v>
      </c>
      <c r="G2">
        <v>0</v>
      </c>
      <c r="H2">
        <f t="shared" ref="H2:H21" si="0">E2*G2</f>
        <v>0</v>
      </c>
      <c r="I2">
        <v>1</v>
      </c>
      <c r="J2" s="151">
        <f t="shared" ref="J2:J31" si="1">INDEX(Tbl_Glob_MedFreq,I2,3)</f>
        <v>0</v>
      </c>
      <c r="K2">
        <f t="shared" ref="K2:K3" si="2">IF(BQ2,H2,J2*H2)</f>
        <v>0</v>
      </c>
      <c r="M2" s="151">
        <f>IF(OR(_Pat_Gewicht=0,_Pat_Gewicht=""),0,K2/(IF(BR2,_Pat_Gewicht,IF(BS2,CalculateBSA(),1))))</f>
        <v>0</v>
      </c>
      <c r="N2" s="7">
        <f>FixPrecision(M2, 2)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3">IF(P2=2,Q2*0.155,0)</f>
        <v>0</v>
      </c>
      <c r="T2">
        <f t="shared" ref="T2:T21" si="4">IF(P2=3,Q2*0.05,0)</f>
        <v>0</v>
      </c>
      <c r="U2">
        <f t="shared" ref="U2:U21" si="5">IF(P2=4,Q2*0.1,0)</f>
        <v>0</v>
      </c>
      <c r="W2" t="str">
        <f>IF(D2="","",IF(V2=-1,C2,D2))</f>
        <v/>
      </c>
      <c r="X2" t="str">
        <f t="shared" ref="X2:X31" si="6">IF(OR(D2="",I2=1),"",INDEX(Tbl_Glob_MedFreq,I2,1))</f>
        <v/>
      </c>
      <c r="Y2" s="151" t="str">
        <f>IF(OR(D2="", K2=0),"",H2&amp;" "&amp;F2)</f>
        <v/>
      </c>
      <c r="Z2" t="str">
        <f t="shared" ref="Z2:Z31" si="7">IF(D2="","",TRIM(L2))</f>
        <v/>
      </c>
      <c r="AA2" t="str">
        <f>IF(Q2=0,"",O2&amp;" mL ")</f>
        <v/>
      </c>
      <c r="AB2" s="152">
        <f t="shared" ref="AB2:AB31" si="8">INDEX(Tbl_Glob_MedDisc_OplVl,P2,1)</f>
        <v>0</v>
      </c>
      <c r="AC2" t="str">
        <f t="shared" ref="AC2:AC31" si="9">IF(OR(R2=0,AA2=""),"","in "&amp;R2&amp;" min")</f>
        <v/>
      </c>
      <c r="AE2" t="str">
        <f>IF(OR(W2="",W2=0),"",ConcatenateRange((W2,X2,Y2,Z2,AA2,AC2,AD2,V2,B2,AH2,AI2,AJ2,AK2,AL2,AM2,AO2), "||"))</f>
        <v/>
      </c>
      <c r="AF2">
        <f>IF(AG2&gt;=10,0,IF(AG2&gt;=1,1,IF(AG2&gt;=0,2,IF(AG2&gt;=0.1,3,IF(AG2&gt;=0.01,4,5)))))</f>
        <v>2</v>
      </c>
      <c r="AG2">
        <f t="shared" ref="AG2:AG31" si="10">IF(_Pat_Gewicht&gt;0,K2*10/_Pat_Gewicht,0)</f>
        <v>0</v>
      </c>
      <c r="AH2" s="151" t="b">
        <v>0</v>
      </c>
      <c r="AK2">
        <v>0</v>
      </c>
      <c r="AN2" t="str">
        <f t="shared" ref="AN2:AN31" si="11">IF(OR(D2=""),"","verw")</f>
        <v/>
      </c>
      <c r="AO2" t="str">
        <f t="shared" ref="AO2:AO31" si="12">IF(AND(C2&gt;1,BP2),N2&amp;" "&amp;F2&amp;(IF(BR2,"/kg/",IF(BS2,"/m2/","/")))&amp;IF(BQ2,"dosis",INDEX(Tbl_Glob_MedFreq,I2,2)),"")</f>
        <v/>
      </c>
      <c r="AP2" t="str">
        <f t="shared" ref="AP2:AP31" si="13">IF(AND(C2&gt;1,P2&gt;1,O2&gt;0),ROUND(H2/O2,2)&amp;" "&amp;F2&amp;"/ml","")</f>
        <v/>
      </c>
      <c r="AQ2" t="str">
        <f>IF(AH2,"PRN","")</f>
        <v/>
      </c>
      <c r="AR2" t="str">
        <f t="shared" ref="AR2:AR31" si="14">TRIM(D2&amp;" "&amp;C2&amp;" "&amp;IF(AK2&gt;0,AK2&amp;" "&amp;AL2,""))</f>
        <v/>
      </c>
      <c r="AS2" t="str">
        <f>IF(AH2,"PRN: "&amp;AI2&amp;" "&amp;AD2,IF(AD2="","",AD2))</f>
        <v/>
      </c>
      <c r="AV2" t="b">
        <f>AND(AT2&lt;&gt;0,$M2&lt;AT2)</f>
        <v>0</v>
      </c>
      <c r="AW2" s="151" t="b">
        <f>AND(AU2&lt;&gt;0,$M2&gt;AU2)</f>
        <v>0</v>
      </c>
      <c r="AY2" s="152"/>
      <c r="BA2" s="151" t="b">
        <f>AND(AX2&lt;&gt;0,OR(BD2 =0,BD2&gt;AX2))</f>
        <v>0</v>
      </c>
      <c r="BB2" t="b">
        <f t="shared" ref="BB2:BB31" si="15">AND(AY2&lt;&gt;"",AY2&lt;&gt;0,NOT(ContainsCaseInsensitive(AB2,AY2)))</f>
        <v>0</v>
      </c>
      <c r="BC2" s="152" t="b">
        <f>AND(AZ2&lt;&gt;"",AZ2&lt;&gt;0,R2&lt;AZ2)</f>
        <v>0</v>
      </c>
      <c r="BD2">
        <f>IF(AND(C2&gt;1,P2&gt;1,O2&gt;0),ROUND(H2/O2,2),0)</f>
        <v>0</v>
      </c>
      <c r="BF2" t="b">
        <f>AND(BE2&lt;&gt;"",BE2&lt;&gt;0,NOT(ContainsCaseInsensitive(BE2,X2)))</f>
        <v>0</v>
      </c>
      <c r="BH2" s="152" t="b">
        <f>AND(OR(AT2=0,AT2=""),BG2&lt;&gt;0,BG2&lt;&gt;"",M2&lt;0.9*BG2)</f>
        <v>0</v>
      </c>
      <c r="BI2" s="152" t="b">
        <f>AND(OR(AU2=0,AU2=""),BG2&lt;&gt;0,BG2&lt;&gt;"",M2&gt;(1.1*BG2))</f>
        <v>0</v>
      </c>
      <c r="BK2" t="b">
        <f t="shared" ref="BK2:BK31" si="16">OR(AND(BJ2&lt;&gt;0,BJ2&lt;&gt;"",BJ2&lt;=M2*_Pat_Gewicht),AND(BT2&lt;&gt;0,BT2&lt;&gt;"",BT2&lt;=H2))</f>
        <v>0</v>
      </c>
      <c r="BL2" t="b">
        <f>OR(BH2,BI2)</f>
        <v>0</v>
      </c>
      <c r="BM2" t="b">
        <f>OR(AV2,AW2,BK2)</f>
        <v>0</v>
      </c>
      <c r="BN2" t="b">
        <f t="shared" ref="BN2:BN31" si="17">AND(BO2&lt;&gt;"",BO2&lt;&gt;0,IFERROR(VLOOKUP(BO2,Tbl_Glob_MedOpdr,1,FALSE),"")="")</f>
        <v>0</v>
      </c>
      <c r="BO2" t="str">
        <f>UPPER( TRIM(D2&amp;" "&amp;L2))</f>
        <v/>
      </c>
      <c r="BP2" t="b">
        <v>1</v>
      </c>
      <c r="BQ2" t="b">
        <v>0</v>
      </c>
      <c r="BR2" t="b">
        <v>1</v>
      </c>
      <c r="BS2" t="b">
        <v>0</v>
      </c>
    </row>
    <row r="3" spans="1:72" x14ac:dyDescent="0.2">
      <c r="A3">
        <v>2</v>
      </c>
      <c r="D3" s="152"/>
      <c r="E3" s="5">
        <v>0</v>
      </c>
      <c r="G3">
        <v>0</v>
      </c>
      <c r="H3">
        <f t="shared" si="0"/>
        <v>0</v>
      </c>
      <c r="I3">
        <v>1</v>
      </c>
      <c r="J3" s="151">
        <f t="shared" si="1"/>
        <v>0</v>
      </c>
      <c r="K3">
        <f t="shared" si="2"/>
        <v>0</v>
      </c>
      <c r="M3" s="151">
        <f>IF(OR(_Pat_Gewicht=0,_Pat_Gewicht=""),0,K3/(IF(BR3,_Pat_Gewicht,IF(BS3,CalculateBSA(),1))))</f>
        <v>0</v>
      </c>
      <c r="N3" s="7">
        <f t="shared" ref="N3:N31" si="18">FixPrecision(M3, 2)</f>
        <v>0</v>
      </c>
      <c r="O3">
        <v>0</v>
      </c>
      <c r="P3">
        <v>1</v>
      </c>
      <c r="Q3">
        <f t="shared" ref="Q3:Q21" si="19">IF(P3&gt;1,O3*J3,0)</f>
        <v>0</v>
      </c>
      <c r="R3">
        <v>0</v>
      </c>
      <c r="S3">
        <f t="shared" si="3"/>
        <v>0</v>
      </c>
      <c r="T3">
        <f t="shared" si="4"/>
        <v>0</v>
      </c>
      <c r="U3">
        <f t="shared" si="5"/>
        <v>0</v>
      </c>
      <c r="W3" s="151" t="str">
        <f t="shared" ref="W3:W31" si="20">IF(D3="","",IF(V3=-1,C3,D3))</f>
        <v/>
      </c>
      <c r="X3" s="151" t="str">
        <f t="shared" si="6"/>
        <v/>
      </c>
      <c r="Y3" s="151" t="str">
        <f t="shared" ref="Y3:Y31" si="21">IF(OR(D3="", K3=0),"",H3&amp;" "&amp;F3)</f>
        <v/>
      </c>
      <c r="Z3" s="151" t="str">
        <f t="shared" si="7"/>
        <v/>
      </c>
      <c r="AA3" s="151" t="str">
        <f t="shared" ref="AA3:AA31" si="22">IF(Q3=0,"",O3&amp;" mL ")</f>
        <v/>
      </c>
      <c r="AB3" s="152">
        <f t="shared" si="8"/>
        <v>0</v>
      </c>
      <c r="AC3" t="str">
        <f t="shared" si="9"/>
        <v/>
      </c>
      <c r="AE3" s="151" t="str">
        <f>IF(OR(W3="",W3=0),"",ConcatenateRange((W3,X3,Y3,Z3,AA3,AC3,AD3,V3,B3,AH3,AI3,AJ3,AK3,AL3,AM3,AO3), "||"))</f>
        <v/>
      </c>
      <c r="AF3">
        <f t="shared" ref="AF3:AF21" si="23">IF(AG3&gt;=10,0,IF(AG3&gt;=1,1,IF(AG3&gt;=0,2,IF(AG3&gt;=0.1,3,IF(AG3&gt;=0.01,4,5)))))</f>
        <v>2</v>
      </c>
      <c r="AG3" s="151">
        <f t="shared" si="10"/>
        <v>0</v>
      </c>
      <c r="AH3" s="151" t="b">
        <v>0</v>
      </c>
      <c r="AK3">
        <v>0</v>
      </c>
      <c r="AN3" s="151" t="str">
        <f t="shared" si="11"/>
        <v/>
      </c>
      <c r="AO3" s="151" t="str">
        <f t="shared" si="12"/>
        <v/>
      </c>
      <c r="AP3" s="151" t="str">
        <f t="shared" si="13"/>
        <v/>
      </c>
      <c r="AQ3" s="151" t="str">
        <f t="shared" ref="AQ3:AQ31" si="24">IF(AH3,"PRN","")</f>
        <v/>
      </c>
      <c r="AR3" s="151" t="str">
        <f t="shared" si="14"/>
        <v/>
      </c>
      <c r="AS3" s="151" t="str">
        <f t="shared" ref="AS3:AS31" si="25">IF(AH3,"PRN: "&amp;AI3&amp;" "&amp;AD3,IF(AD3="","",AD3))</f>
        <v/>
      </c>
      <c r="AV3" s="151" t="b">
        <f t="shared" ref="AV3:AV31" si="26">AND(AT3&lt;&gt;0,$M3&lt;AT3)</f>
        <v>0</v>
      </c>
      <c r="AW3" s="151" t="b">
        <f t="shared" ref="AW3:AW31" si="27">AND(AU3&lt;&gt;0,$M3&gt;AU3)</f>
        <v>0</v>
      </c>
      <c r="BA3" s="151" t="b">
        <f t="shared" ref="BA3:BA31" si="28">AND(AX3&lt;&gt;0,OR(BD3 =0,BD3&gt;AX3))</f>
        <v>0</v>
      </c>
      <c r="BB3" s="151" t="b">
        <f>AND(AY3&lt;&gt;"",AY3&lt;&gt;0,NOT(ContainsCaseInsensitive(AB3,AY3)))</f>
        <v>0</v>
      </c>
      <c r="BC3" s="152" t="b">
        <f t="shared" ref="BC3:BC31" si="29">AND(AZ3&lt;&gt;"",AZ3&lt;&gt;0,R3&lt;AZ3)</f>
        <v>0</v>
      </c>
      <c r="BD3" s="151">
        <f t="shared" ref="BD3:BD31" si="30">IF(AND(C3&gt;1,P3&gt;1,O3&gt;0),ROUND(H3/O3,2),0)</f>
        <v>0</v>
      </c>
      <c r="BF3" s="151" t="b">
        <f t="shared" ref="BF3:BF31" si="31">AND(BE3&lt;&gt;"",BE3&lt;&gt;0,NOT(ContainsCaseInsensitive(BE3,X3)))</f>
        <v>0</v>
      </c>
      <c r="BH3" s="152" t="b">
        <f t="shared" ref="BH3:BH31" si="32">AND(OR(AT3=0,AT3=""),BG3&lt;&gt;0,BG3&lt;&gt;"",M3&lt;0.9*BG3)</f>
        <v>0</v>
      </c>
      <c r="BI3" s="152" t="b">
        <f t="shared" ref="BI3:BI31" si="33">AND(OR(AU3=0,AU3=""),BG3&lt;&gt;0,BG3&lt;&gt;"",M3&gt;(1.1*BG3))</f>
        <v>0</v>
      </c>
      <c r="BK3" s="151" t="b">
        <f t="shared" si="16"/>
        <v>0</v>
      </c>
      <c r="BL3" s="151" t="b">
        <f t="shared" ref="BL3:BL31" si="34">OR(BH3,BI3)</f>
        <v>0</v>
      </c>
      <c r="BM3" s="151" t="b">
        <f t="shared" ref="BM3:BM31" si="35">OR(AV3,AW3,BK3)</f>
        <v>0</v>
      </c>
      <c r="BN3" s="151" t="b">
        <f t="shared" si="17"/>
        <v>0</v>
      </c>
      <c r="BO3" s="151" t="str">
        <f t="shared" ref="BO3:BO31" si="36">UPPER( TRIM(D3&amp;" "&amp;L3))</f>
        <v/>
      </c>
      <c r="BP3" t="b">
        <v>1</v>
      </c>
      <c r="BQ3" t="b">
        <v>0</v>
      </c>
      <c r="BR3" t="b">
        <v>1</v>
      </c>
      <c r="BS3" t="b">
        <v>0</v>
      </c>
    </row>
    <row r="4" spans="1:72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151">
        <f t="shared" si="1"/>
        <v>0</v>
      </c>
      <c r="K4">
        <f>IF(BQ4,H4,J4*H4)</f>
        <v>0</v>
      </c>
      <c r="M4" s="151">
        <f>IF(OR(_Pat_Gewicht=0,_Pat_Gewicht=""),0,K4/(IF(BR4,_Pat_Gewicht,IF(BS4,CalculateBSA(),1))))</f>
        <v>0</v>
      </c>
      <c r="N4" s="7">
        <f t="shared" si="18"/>
        <v>0</v>
      </c>
      <c r="O4">
        <v>0</v>
      </c>
      <c r="P4">
        <v>1</v>
      </c>
      <c r="Q4">
        <f t="shared" si="19"/>
        <v>0</v>
      </c>
      <c r="R4">
        <v>0</v>
      </c>
      <c r="S4">
        <f t="shared" si="3"/>
        <v>0</v>
      </c>
      <c r="T4">
        <f t="shared" si="4"/>
        <v>0</v>
      </c>
      <c r="U4">
        <f t="shared" si="5"/>
        <v>0</v>
      </c>
      <c r="W4" s="151" t="str">
        <f t="shared" si="20"/>
        <v/>
      </c>
      <c r="X4" s="151" t="str">
        <f t="shared" si="6"/>
        <v/>
      </c>
      <c r="Y4" s="151" t="str">
        <f t="shared" si="21"/>
        <v/>
      </c>
      <c r="Z4" s="151" t="str">
        <f t="shared" si="7"/>
        <v/>
      </c>
      <c r="AA4" s="151" t="str">
        <f t="shared" si="22"/>
        <v/>
      </c>
      <c r="AB4" s="152">
        <f t="shared" si="8"/>
        <v>0</v>
      </c>
      <c r="AC4" t="str">
        <f t="shared" si="9"/>
        <v/>
      </c>
      <c r="AE4" s="151" t="str">
        <f>IF(OR(W4="",W4=0),"",ConcatenateRange((W4,X4,Y4,Z4,AA4,AC4,AD4,V4,B4,AH4,AI4,AJ4,AK4,AL4,AM4,AO4), "||"))</f>
        <v/>
      </c>
      <c r="AF4">
        <f t="shared" si="23"/>
        <v>2</v>
      </c>
      <c r="AG4" s="151">
        <f t="shared" si="10"/>
        <v>0</v>
      </c>
      <c r="AH4" s="151" t="b">
        <v>0</v>
      </c>
      <c r="AK4">
        <v>0</v>
      </c>
      <c r="AN4" s="151" t="str">
        <f t="shared" si="11"/>
        <v/>
      </c>
      <c r="AO4" s="151" t="str">
        <f t="shared" si="12"/>
        <v/>
      </c>
      <c r="AP4" s="151" t="str">
        <f t="shared" si="13"/>
        <v/>
      </c>
      <c r="AQ4" s="151" t="str">
        <f t="shared" si="24"/>
        <v/>
      </c>
      <c r="AR4" s="151" t="str">
        <f t="shared" si="14"/>
        <v/>
      </c>
      <c r="AS4" s="151" t="str">
        <f t="shared" si="25"/>
        <v/>
      </c>
      <c r="AV4" s="151" t="b">
        <f t="shared" si="26"/>
        <v>0</v>
      </c>
      <c r="AW4" s="151" t="b">
        <f t="shared" si="27"/>
        <v>0</v>
      </c>
      <c r="BA4" s="151" t="b">
        <f t="shared" si="28"/>
        <v>0</v>
      </c>
      <c r="BB4" s="151" t="b">
        <f t="shared" si="15"/>
        <v>0</v>
      </c>
      <c r="BC4" s="152" t="b">
        <f t="shared" si="29"/>
        <v>0</v>
      </c>
      <c r="BD4" s="151">
        <f t="shared" si="30"/>
        <v>0</v>
      </c>
      <c r="BF4" s="151" t="b">
        <f t="shared" si="31"/>
        <v>0</v>
      </c>
      <c r="BH4" s="152" t="b">
        <f t="shared" si="32"/>
        <v>0</v>
      </c>
      <c r="BI4" s="152" t="b">
        <f t="shared" si="33"/>
        <v>0</v>
      </c>
      <c r="BK4" s="151" t="b">
        <f t="shared" si="16"/>
        <v>0</v>
      </c>
      <c r="BL4" s="151" t="b">
        <f t="shared" si="34"/>
        <v>0</v>
      </c>
      <c r="BM4" s="151" t="b">
        <f t="shared" si="35"/>
        <v>0</v>
      </c>
      <c r="BN4" s="151" t="b">
        <f t="shared" si="17"/>
        <v>0</v>
      </c>
      <c r="BO4" s="151" t="str">
        <f t="shared" si="36"/>
        <v/>
      </c>
      <c r="BP4" t="b">
        <v>1</v>
      </c>
      <c r="BQ4" t="b">
        <v>0</v>
      </c>
      <c r="BR4" t="b">
        <v>1</v>
      </c>
      <c r="BS4" t="b">
        <v>0</v>
      </c>
    </row>
    <row r="5" spans="1:72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151">
        <f t="shared" si="1"/>
        <v>0</v>
      </c>
      <c r="K5">
        <f t="shared" ref="K5:K31" si="37">IF(BQ5,H5,J5*H5)</f>
        <v>0</v>
      </c>
      <c r="M5" s="151">
        <f>IF(OR(_Pat_Gewicht=0,_Pat_Gewicht=""),0,K5/(IF(BR5,_Pat_Gewicht,IF(BS5,CalculateBSA(),1))))</f>
        <v>0</v>
      </c>
      <c r="N5" s="7">
        <f t="shared" si="18"/>
        <v>0</v>
      </c>
      <c r="O5">
        <v>0</v>
      </c>
      <c r="P5">
        <v>1</v>
      </c>
      <c r="Q5">
        <f t="shared" si="19"/>
        <v>0</v>
      </c>
      <c r="R5">
        <v>0</v>
      </c>
      <c r="S5">
        <f t="shared" si="3"/>
        <v>0</v>
      </c>
      <c r="T5">
        <f t="shared" si="4"/>
        <v>0</v>
      </c>
      <c r="U5">
        <f t="shared" si="5"/>
        <v>0</v>
      </c>
      <c r="W5" s="151" t="str">
        <f t="shared" si="20"/>
        <v/>
      </c>
      <c r="X5" s="151" t="str">
        <f t="shared" si="6"/>
        <v/>
      </c>
      <c r="Y5" s="151" t="str">
        <f t="shared" si="21"/>
        <v/>
      </c>
      <c r="Z5" s="151" t="str">
        <f t="shared" si="7"/>
        <v/>
      </c>
      <c r="AA5" s="151" t="str">
        <f t="shared" si="22"/>
        <v/>
      </c>
      <c r="AB5" s="152">
        <f t="shared" si="8"/>
        <v>0</v>
      </c>
      <c r="AC5" t="str">
        <f t="shared" si="9"/>
        <v/>
      </c>
      <c r="AE5" s="151" t="str">
        <f>IF(OR(W5="",W5=0),"",ConcatenateRange((W5,X5,Y5,Z5,AA5,AC5,AD5,V5,B5,AH5,AI5,AJ5,AK5,AL5,AM5,AO5), "||"))</f>
        <v/>
      </c>
      <c r="AF5">
        <f t="shared" si="23"/>
        <v>2</v>
      </c>
      <c r="AG5" s="151">
        <f t="shared" si="10"/>
        <v>0</v>
      </c>
      <c r="AH5" s="151" t="b">
        <v>0</v>
      </c>
      <c r="AK5">
        <v>0</v>
      </c>
      <c r="AN5" s="151" t="str">
        <f t="shared" si="11"/>
        <v/>
      </c>
      <c r="AO5" s="151" t="str">
        <f t="shared" si="12"/>
        <v/>
      </c>
      <c r="AP5" s="151" t="str">
        <f t="shared" si="13"/>
        <v/>
      </c>
      <c r="AQ5" s="151" t="str">
        <f t="shared" si="24"/>
        <v/>
      </c>
      <c r="AR5" s="151" t="str">
        <f t="shared" si="14"/>
        <v/>
      </c>
      <c r="AS5" s="151" t="str">
        <f t="shared" si="25"/>
        <v/>
      </c>
      <c r="AV5" s="151" t="b">
        <f t="shared" si="26"/>
        <v>0</v>
      </c>
      <c r="AW5" s="151" t="b">
        <f t="shared" si="27"/>
        <v>0</v>
      </c>
      <c r="BA5" s="151" t="b">
        <f t="shared" si="28"/>
        <v>0</v>
      </c>
      <c r="BB5" s="151" t="b">
        <f t="shared" si="15"/>
        <v>0</v>
      </c>
      <c r="BC5" s="152" t="b">
        <f t="shared" si="29"/>
        <v>0</v>
      </c>
      <c r="BD5" s="151">
        <f t="shared" si="30"/>
        <v>0</v>
      </c>
      <c r="BF5" s="151" t="b">
        <f t="shared" si="31"/>
        <v>0</v>
      </c>
      <c r="BH5" s="152" t="b">
        <f t="shared" si="32"/>
        <v>0</v>
      </c>
      <c r="BI5" s="152" t="b">
        <f t="shared" si="33"/>
        <v>0</v>
      </c>
      <c r="BK5" s="151" t="b">
        <f t="shared" si="16"/>
        <v>0</v>
      </c>
      <c r="BL5" s="151" t="b">
        <f t="shared" si="34"/>
        <v>0</v>
      </c>
      <c r="BM5" s="151" t="b">
        <f t="shared" si="35"/>
        <v>0</v>
      </c>
      <c r="BN5" s="151" t="b">
        <f t="shared" si="17"/>
        <v>0</v>
      </c>
      <c r="BO5" s="151" t="str">
        <f t="shared" si="36"/>
        <v/>
      </c>
      <c r="BP5" t="b">
        <v>1</v>
      </c>
      <c r="BQ5" t="b">
        <v>0</v>
      </c>
      <c r="BR5" t="b">
        <v>1</v>
      </c>
      <c r="BS5" t="b">
        <v>0</v>
      </c>
    </row>
    <row r="6" spans="1:72" x14ac:dyDescent="0.2">
      <c r="A6" s="179">
        <v>5</v>
      </c>
      <c r="E6" s="5">
        <v>0</v>
      </c>
      <c r="G6">
        <v>0</v>
      </c>
      <c r="H6">
        <f t="shared" si="0"/>
        <v>0</v>
      </c>
      <c r="I6">
        <v>1</v>
      </c>
      <c r="J6" s="151">
        <f t="shared" si="1"/>
        <v>0</v>
      </c>
      <c r="K6">
        <f t="shared" si="37"/>
        <v>0</v>
      </c>
      <c r="M6" s="151">
        <f>IF(OR(_Pat_Gewicht=0,_Pat_Gewicht=""),0,K6/(IF(BR6,_Pat_Gewicht,IF(BS6,CalculateBSA(),1))))</f>
        <v>0</v>
      </c>
      <c r="N6" s="7">
        <f t="shared" si="18"/>
        <v>0</v>
      </c>
      <c r="O6">
        <v>0</v>
      </c>
      <c r="P6">
        <v>1</v>
      </c>
      <c r="Q6">
        <f t="shared" si="19"/>
        <v>0</v>
      </c>
      <c r="R6">
        <v>0</v>
      </c>
      <c r="S6">
        <f t="shared" si="3"/>
        <v>0</v>
      </c>
      <c r="T6">
        <f t="shared" si="4"/>
        <v>0</v>
      </c>
      <c r="U6">
        <f t="shared" si="5"/>
        <v>0</v>
      </c>
      <c r="W6" s="151" t="str">
        <f t="shared" si="20"/>
        <v/>
      </c>
      <c r="X6" s="151" t="str">
        <f t="shared" si="6"/>
        <v/>
      </c>
      <c r="Y6" s="151" t="str">
        <f t="shared" si="21"/>
        <v/>
      </c>
      <c r="Z6" s="151" t="str">
        <f t="shared" si="7"/>
        <v/>
      </c>
      <c r="AA6" s="151" t="str">
        <f t="shared" si="22"/>
        <v/>
      </c>
      <c r="AB6" s="152">
        <f t="shared" si="8"/>
        <v>0</v>
      </c>
      <c r="AC6" t="str">
        <f t="shared" si="9"/>
        <v/>
      </c>
      <c r="AE6" s="151" t="str">
        <f>IF(OR(W6="",W6=0),"",ConcatenateRange((W6,X6,Y6,Z6,AA6,AC6,AD6,V6,B6,AH6,AI6,AJ6,AK6,AL6,AM6,AO6), "||"))</f>
        <v/>
      </c>
      <c r="AF6">
        <f t="shared" si="23"/>
        <v>2</v>
      </c>
      <c r="AG6" s="151">
        <f t="shared" si="10"/>
        <v>0</v>
      </c>
      <c r="AH6" s="151" t="b">
        <v>0</v>
      </c>
      <c r="AK6">
        <v>0</v>
      </c>
      <c r="AN6" s="151" t="str">
        <f t="shared" si="11"/>
        <v/>
      </c>
      <c r="AO6" s="151" t="str">
        <f t="shared" si="12"/>
        <v/>
      </c>
      <c r="AP6" s="151" t="str">
        <f t="shared" si="13"/>
        <v/>
      </c>
      <c r="AQ6" s="151" t="str">
        <f t="shared" si="24"/>
        <v/>
      </c>
      <c r="AR6" s="151" t="str">
        <f t="shared" si="14"/>
        <v/>
      </c>
      <c r="AS6" s="151" t="str">
        <f t="shared" si="25"/>
        <v/>
      </c>
      <c r="AV6" s="151" t="b">
        <f t="shared" si="26"/>
        <v>0</v>
      </c>
      <c r="AW6" s="151" t="b">
        <f t="shared" si="27"/>
        <v>0</v>
      </c>
      <c r="BA6" s="151" t="b">
        <f t="shared" si="28"/>
        <v>0</v>
      </c>
      <c r="BB6" s="151" t="b">
        <f t="shared" si="15"/>
        <v>0</v>
      </c>
      <c r="BC6" s="152" t="b">
        <f t="shared" si="29"/>
        <v>0</v>
      </c>
      <c r="BD6" s="151">
        <f t="shared" si="30"/>
        <v>0</v>
      </c>
      <c r="BF6" s="151" t="b">
        <f t="shared" si="31"/>
        <v>0</v>
      </c>
      <c r="BH6" s="152" t="b">
        <f t="shared" si="32"/>
        <v>0</v>
      </c>
      <c r="BI6" s="152" t="b">
        <f t="shared" si="33"/>
        <v>0</v>
      </c>
      <c r="BK6" s="151" t="b">
        <f t="shared" si="16"/>
        <v>0</v>
      </c>
      <c r="BL6" s="151" t="b">
        <f t="shared" si="34"/>
        <v>0</v>
      </c>
      <c r="BM6" s="151" t="b">
        <f t="shared" si="35"/>
        <v>0</v>
      </c>
      <c r="BN6" s="151" t="b">
        <f t="shared" si="17"/>
        <v>0</v>
      </c>
      <c r="BO6" s="151" t="str">
        <f t="shared" si="36"/>
        <v/>
      </c>
      <c r="BP6" t="b">
        <v>1</v>
      </c>
      <c r="BQ6" t="b">
        <v>0</v>
      </c>
      <c r="BR6" t="b">
        <v>1</v>
      </c>
      <c r="BS6" t="b">
        <v>0</v>
      </c>
    </row>
    <row r="7" spans="1:72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151">
        <f t="shared" si="1"/>
        <v>0</v>
      </c>
      <c r="K7">
        <f t="shared" si="37"/>
        <v>0</v>
      </c>
      <c r="M7" s="151">
        <f>IF(OR(_Pat_Gewicht=0,_Pat_Gewicht=""),0,K7/(IF(BR7,_Pat_Gewicht,IF(BS7,CalculateBSA(),1))))</f>
        <v>0</v>
      </c>
      <c r="N7" s="7">
        <f t="shared" si="18"/>
        <v>0</v>
      </c>
      <c r="O7">
        <v>0</v>
      </c>
      <c r="P7">
        <v>1</v>
      </c>
      <c r="Q7">
        <f t="shared" si="19"/>
        <v>0</v>
      </c>
      <c r="R7">
        <v>0</v>
      </c>
      <c r="S7">
        <f t="shared" si="3"/>
        <v>0</v>
      </c>
      <c r="T7">
        <f t="shared" si="4"/>
        <v>0</v>
      </c>
      <c r="U7">
        <f t="shared" si="5"/>
        <v>0</v>
      </c>
      <c r="W7" s="151" t="str">
        <f t="shared" si="20"/>
        <v/>
      </c>
      <c r="X7" s="151" t="str">
        <f t="shared" si="6"/>
        <v/>
      </c>
      <c r="Y7" s="151" t="str">
        <f t="shared" si="21"/>
        <v/>
      </c>
      <c r="Z7" s="151" t="str">
        <f t="shared" si="7"/>
        <v/>
      </c>
      <c r="AA7" s="151" t="str">
        <f t="shared" si="22"/>
        <v/>
      </c>
      <c r="AB7" s="152">
        <f t="shared" si="8"/>
        <v>0</v>
      </c>
      <c r="AC7" t="str">
        <f t="shared" si="9"/>
        <v/>
      </c>
      <c r="AE7" s="151" t="str">
        <f>IF(OR(W7="",W7=0),"",ConcatenateRange((W7,X7,Y7,Z7,AA7,AC7,AD7,V7,B7,AH7,AI7,AJ7,AK7,AL7,AM7,AO7), "||"))</f>
        <v/>
      </c>
      <c r="AF7">
        <f t="shared" si="23"/>
        <v>2</v>
      </c>
      <c r="AG7" s="151">
        <f t="shared" si="10"/>
        <v>0</v>
      </c>
      <c r="AH7" s="151" t="b">
        <v>0</v>
      </c>
      <c r="AK7">
        <v>0</v>
      </c>
      <c r="AN7" s="151" t="str">
        <f t="shared" si="11"/>
        <v/>
      </c>
      <c r="AO7" s="151" t="str">
        <f t="shared" si="12"/>
        <v/>
      </c>
      <c r="AP7" s="151" t="str">
        <f t="shared" si="13"/>
        <v/>
      </c>
      <c r="AQ7" s="151" t="str">
        <f t="shared" si="24"/>
        <v/>
      </c>
      <c r="AR7" s="151" t="str">
        <f t="shared" si="14"/>
        <v/>
      </c>
      <c r="AS7" s="151" t="str">
        <f t="shared" si="25"/>
        <v/>
      </c>
      <c r="AV7" s="151" t="b">
        <f t="shared" si="26"/>
        <v>0</v>
      </c>
      <c r="AW7" s="151" t="b">
        <f t="shared" si="27"/>
        <v>0</v>
      </c>
      <c r="BA7" s="151" t="b">
        <f t="shared" si="28"/>
        <v>0</v>
      </c>
      <c r="BB7" s="151" t="b">
        <f t="shared" si="15"/>
        <v>0</v>
      </c>
      <c r="BC7" s="152" t="b">
        <f t="shared" si="29"/>
        <v>0</v>
      </c>
      <c r="BD7" s="151">
        <f t="shared" si="30"/>
        <v>0</v>
      </c>
      <c r="BF7" s="151" t="b">
        <f t="shared" si="31"/>
        <v>0</v>
      </c>
      <c r="BH7" s="152" t="b">
        <f t="shared" si="32"/>
        <v>0</v>
      </c>
      <c r="BI7" s="152" t="b">
        <f t="shared" si="33"/>
        <v>0</v>
      </c>
      <c r="BK7" s="151" t="b">
        <f t="shared" si="16"/>
        <v>0</v>
      </c>
      <c r="BL7" s="151" t="b">
        <f t="shared" si="34"/>
        <v>0</v>
      </c>
      <c r="BM7" s="151" t="b">
        <f t="shared" si="35"/>
        <v>0</v>
      </c>
      <c r="BN7" s="151" t="b">
        <f t="shared" si="17"/>
        <v>0</v>
      </c>
      <c r="BO7" s="151" t="str">
        <f t="shared" si="36"/>
        <v/>
      </c>
      <c r="BP7" t="b">
        <v>1</v>
      </c>
      <c r="BQ7" t="b">
        <v>0</v>
      </c>
      <c r="BR7" t="b">
        <v>1</v>
      </c>
      <c r="BS7" t="b">
        <v>0</v>
      </c>
    </row>
    <row r="8" spans="1:72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151">
        <f t="shared" si="1"/>
        <v>0</v>
      </c>
      <c r="K8">
        <f t="shared" si="37"/>
        <v>0</v>
      </c>
      <c r="M8" s="151">
        <f>IF(OR(_Pat_Gewicht=0,_Pat_Gewicht=""),0,K8/(IF(BR8,_Pat_Gewicht,IF(BS8,CalculateBSA(),1))))</f>
        <v>0</v>
      </c>
      <c r="N8" s="7">
        <f t="shared" si="18"/>
        <v>0</v>
      </c>
      <c r="O8">
        <v>0</v>
      </c>
      <c r="P8">
        <v>1</v>
      </c>
      <c r="Q8">
        <f t="shared" si="19"/>
        <v>0</v>
      </c>
      <c r="R8">
        <v>0</v>
      </c>
      <c r="S8">
        <f t="shared" si="3"/>
        <v>0</v>
      </c>
      <c r="T8">
        <f t="shared" si="4"/>
        <v>0</v>
      </c>
      <c r="U8">
        <f t="shared" si="5"/>
        <v>0</v>
      </c>
      <c r="W8" s="151" t="str">
        <f t="shared" si="20"/>
        <v/>
      </c>
      <c r="X8" s="151" t="str">
        <f t="shared" si="6"/>
        <v/>
      </c>
      <c r="Y8" s="151" t="str">
        <f t="shared" si="21"/>
        <v/>
      </c>
      <c r="Z8" s="151" t="str">
        <f t="shared" si="7"/>
        <v/>
      </c>
      <c r="AA8" s="151" t="str">
        <f t="shared" si="22"/>
        <v/>
      </c>
      <c r="AB8" s="152">
        <f t="shared" si="8"/>
        <v>0</v>
      </c>
      <c r="AC8" t="str">
        <f t="shared" si="9"/>
        <v/>
      </c>
      <c r="AE8" s="151" t="str">
        <f>IF(OR(W8="",W8=0),"",ConcatenateRange((W8,X8,Y8,Z8,AA8,AC8,AD8,V8,B8,AH8,AI8,AJ8,AK8,AL8,AM8,AO8), "||"))</f>
        <v/>
      </c>
      <c r="AF8">
        <f t="shared" si="23"/>
        <v>2</v>
      </c>
      <c r="AG8" s="151">
        <f t="shared" si="10"/>
        <v>0</v>
      </c>
      <c r="AH8" s="151" t="b">
        <v>0</v>
      </c>
      <c r="AK8">
        <v>0</v>
      </c>
      <c r="AN8" s="151" t="str">
        <f t="shared" si="11"/>
        <v/>
      </c>
      <c r="AO8" s="151" t="str">
        <f t="shared" si="12"/>
        <v/>
      </c>
      <c r="AP8" s="151" t="str">
        <f t="shared" si="13"/>
        <v/>
      </c>
      <c r="AQ8" s="151" t="str">
        <f t="shared" si="24"/>
        <v/>
      </c>
      <c r="AR8" s="151" t="str">
        <f t="shared" si="14"/>
        <v/>
      </c>
      <c r="AS8" s="151" t="str">
        <f t="shared" si="25"/>
        <v/>
      </c>
      <c r="AV8" s="151" t="b">
        <f t="shared" si="26"/>
        <v>0</v>
      </c>
      <c r="AW8" s="151" t="b">
        <f t="shared" si="27"/>
        <v>0</v>
      </c>
      <c r="BA8" s="151" t="b">
        <f t="shared" si="28"/>
        <v>0</v>
      </c>
      <c r="BB8" s="151" t="b">
        <f t="shared" si="15"/>
        <v>0</v>
      </c>
      <c r="BC8" s="152" t="b">
        <f t="shared" si="29"/>
        <v>0</v>
      </c>
      <c r="BD8" s="151">
        <f t="shared" si="30"/>
        <v>0</v>
      </c>
      <c r="BF8" s="151" t="b">
        <f t="shared" si="31"/>
        <v>0</v>
      </c>
      <c r="BH8" s="152" t="b">
        <f t="shared" si="32"/>
        <v>0</v>
      </c>
      <c r="BI8" s="152" t="b">
        <f t="shared" si="33"/>
        <v>0</v>
      </c>
      <c r="BK8" s="151" t="b">
        <f t="shared" si="16"/>
        <v>0</v>
      </c>
      <c r="BL8" s="151" t="b">
        <f t="shared" si="34"/>
        <v>0</v>
      </c>
      <c r="BM8" s="151" t="b">
        <f t="shared" si="35"/>
        <v>0</v>
      </c>
      <c r="BN8" s="151" t="b">
        <f t="shared" si="17"/>
        <v>0</v>
      </c>
      <c r="BO8" s="151" t="str">
        <f t="shared" si="36"/>
        <v/>
      </c>
      <c r="BP8" t="b">
        <v>1</v>
      </c>
      <c r="BQ8" t="b">
        <v>0</v>
      </c>
      <c r="BR8" t="b">
        <v>1</v>
      </c>
      <c r="BS8" t="b">
        <v>0</v>
      </c>
    </row>
    <row r="9" spans="1:72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151">
        <f t="shared" si="1"/>
        <v>0</v>
      </c>
      <c r="K9">
        <f t="shared" si="37"/>
        <v>0</v>
      </c>
      <c r="M9" s="151">
        <f>IF(OR(_Pat_Gewicht=0,_Pat_Gewicht=""),0,K9/(IF(BR9,_Pat_Gewicht,IF(BS9,CalculateBSA(),1))))</f>
        <v>0</v>
      </c>
      <c r="N9" s="7">
        <f t="shared" si="18"/>
        <v>0</v>
      </c>
      <c r="O9">
        <v>0</v>
      </c>
      <c r="P9">
        <v>1</v>
      </c>
      <c r="Q9">
        <f t="shared" si="19"/>
        <v>0</v>
      </c>
      <c r="R9">
        <v>0</v>
      </c>
      <c r="S9">
        <f t="shared" si="3"/>
        <v>0</v>
      </c>
      <c r="T9">
        <f t="shared" si="4"/>
        <v>0</v>
      </c>
      <c r="U9">
        <f t="shared" si="5"/>
        <v>0</v>
      </c>
      <c r="W9" s="151" t="str">
        <f t="shared" si="20"/>
        <v/>
      </c>
      <c r="X9" s="151" t="str">
        <f t="shared" si="6"/>
        <v/>
      </c>
      <c r="Y9" s="151" t="str">
        <f t="shared" si="21"/>
        <v/>
      </c>
      <c r="Z9" s="151" t="str">
        <f t="shared" si="7"/>
        <v/>
      </c>
      <c r="AA9" s="151" t="str">
        <f t="shared" si="22"/>
        <v/>
      </c>
      <c r="AB9" s="152">
        <f t="shared" si="8"/>
        <v>0</v>
      </c>
      <c r="AC9" t="str">
        <f t="shared" si="9"/>
        <v/>
      </c>
      <c r="AE9" s="151" t="str">
        <f>IF(OR(W9="",W9=0),"",ConcatenateRange((W9,X9,Y9,Z9,AA9,AC9,AD9,V9,B9,AH9,AI9,AJ9,AK9,AL9,AM9,AO9), "||"))</f>
        <v/>
      </c>
      <c r="AF9">
        <f t="shared" si="23"/>
        <v>2</v>
      </c>
      <c r="AG9" s="151">
        <f t="shared" si="10"/>
        <v>0</v>
      </c>
      <c r="AH9" s="151" t="b">
        <v>0</v>
      </c>
      <c r="AK9">
        <v>0</v>
      </c>
      <c r="AN9" s="151" t="str">
        <f t="shared" si="11"/>
        <v/>
      </c>
      <c r="AO9" s="151" t="str">
        <f t="shared" si="12"/>
        <v/>
      </c>
      <c r="AP9" s="151" t="str">
        <f t="shared" si="13"/>
        <v/>
      </c>
      <c r="AQ9" s="151" t="str">
        <f t="shared" si="24"/>
        <v/>
      </c>
      <c r="AR9" s="151" t="str">
        <f t="shared" si="14"/>
        <v/>
      </c>
      <c r="AS9" s="151" t="str">
        <f t="shared" si="25"/>
        <v/>
      </c>
      <c r="AV9" s="151" t="b">
        <f t="shared" si="26"/>
        <v>0</v>
      </c>
      <c r="AW9" s="151" t="b">
        <f t="shared" si="27"/>
        <v>0</v>
      </c>
      <c r="BA9" s="151" t="b">
        <f t="shared" si="28"/>
        <v>0</v>
      </c>
      <c r="BB9" s="151" t="b">
        <f t="shared" si="15"/>
        <v>0</v>
      </c>
      <c r="BC9" s="152" t="b">
        <f t="shared" si="29"/>
        <v>0</v>
      </c>
      <c r="BD9" s="151">
        <f t="shared" si="30"/>
        <v>0</v>
      </c>
      <c r="BF9" s="151" t="b">
        <f t="shared" si="31"/>
        <v>0</v>
      </c>
      <c r="BH9" s="152" t="b">
        <f t="shared" si="32"/>
        <v>0</v>
      </c>
      <c r="BI9" s="152" t="b">
        <f t="shared" si="33"/>
        <v>0</v>
      </c>
      <c r="BK9" s="151" t="b">
        <f t="shared" si="16"/>
        <v>0</v>
      </c>
      <c r="BL9" s="151" t="b">
        <f t="shared" si="34"/>
        <v>0</v>
      </c>
      <c r="BM9" s="151" t="b">
        <f t="shared" si="35"/>
        <v>0</v>
      </c>
      <c r="BN9" s="151" t="b">
        <f t="shared" si="17"/>
        <v>0</v>
      </c>
      <c r="BO9" s="151" t="str">
        <f t="shared" si="36"/>
        <v/>
      </c>
      <c r="BP9" t="b">
        <v>1</v>
      </c>
      <c r="BQ9" t="b">
        <v>0</v>
      </c>
      <c r="BR9" t="b">
        <v>1</v>
      </c>
      <c r="BS9" t="b">
        <v>0</v>
      </c>
    </row>
    <row r="10" spans="1:72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151">
        <f t="shared" si="1"/>
        <v>0</v>
      </c>
      <c r="K10">
        <f t="shared" si="37"/>
        <v>0</v>
      </c>
      <c r="M10" s="151">
        <f>IF(OR(_Pat_Gewicht=0,_Pat_Gewicht=""),0,K10/(IF(BR10,_Pat_Gewicht,IF(BS10,CalculateBSA(),1))))</f>
        <v>0</v>
      </c>
      <c r="N10" s="7">
        <f t="shared" si="18"/>
        <v>0</v>
      </c>
      <c r="O10">
        <v>0</v>
      </c>
      <c r="P10">
        <v>1</v>
      </c>
      <c r="Q10">
        <f t="shared" si="19"/>
        <v>0</v>
      </c>
      <c r="R10">
        <v>0</v>
      </c>
      <c r="S10">
        <f t="shared" si="3"/>
        <v>0</v>
      </c>
      <c r="T10">
        <f t="shared" si="4"/>
        <v>0</v>
      </c>
      <c r="U10">
        <f t="shared" si="5"/>
        <v>0</v>
      </c>
      <c r="W10" s="151" t="str">
        <f t="shared" si="20"/>
        <v/>
      </c>
      <c r="X10" s="151" t="str">
        <f t="shared" si="6"/>
        <v/>
      </c>
      <c r="Y10" s="151" t="str">
        <f t="shared" si="21"/>
        <v/>
      </c>
      <c r="Z10" s="151" t="str">
        <f t="shared" si="7"/>
        <v/>
      </c>
      <c r="AA10" s="151" t="str">
        <f t="shared" si="22"/>
        <v/>
      </c>
      <c r="AB10" s="152">
        <f t="shared" si="8"/>
        <v>0</v>
      </c>
      <c r="AC10" t="str">
        <f t="shared" si="9"/>
        <v/>
      </c>
      <c r="AE10" s="151" t="str">
        <f>IF(OR(W10="",W10=0),"",ConcatenateRange((W10,X10,Y10,Z10,AA10,AC10,AD10,V10,B10,AH10,AI10,AJ10,AK10,AL10,AM10,AO10), "||"))</f>
        <v/>
      </c>
      <c r="AF10">
        <f t="shared" si="23"/>
        <v>2</v>
      </c>
      <c r="AG10" s="151">
        <f t="shared" si="10"/>
        <v>0</v>
      </c>
      <c r="AH10" s="151" t="b">
        <v>0</v>
      </c>
      <c r="AK10">
        <v>0</v>
      </c>
      <c r="AN10" s="151" t="str">
        <f t="shared" si="11"/>
        <v/>
      </c>
      <c r="AO10" s="151" t="str">
        <f t="shared" si="12"/>
        <v/>
      </c>
      <c r="AP10" s="151" t="str">
        <f t="shared" si="13"/>
        <v/>
      </c>
      <c r="AQ10" s="151" t="str">
        <f t="shared" si="24"/>
        <v/>
      </c>
      <c r="AR10" s="151" t="str">
        <f t="shared" si="14"/>
        <v/>
      </c>
      <c r="AS10" s="151" t="str">
        <f t="shared" si="25"/>
        <v/>
      </c>
      <c r="AV10" s="151" t="b">
        <f t="shared" si="26"/>
        <v>0</v>
      </c>
      <c r="AW10" s="151" t="b">
        <f t="shared" si="27"/>
        <v>0</v>
      </c>
      <c r="BA10" s="151" t="b">
        <f t="shared" si="28"/>
        <v>0</v>
      </c>
      <c r="BB10" s="151" t="b">
        <f t="shared" si="15"/>
        <v>0</v>
      </c>
      <c r="BC10" s="152" t="b">
        <f t="shared" si="29"/>
        <v>0</v>
      </c>
      <c r="BD10" s="151">
        <f t="shared" si="30"/>
        <v>0</v>
      </c>
      <c r="BF10" s="151" t="b">
        <f t="shared" si="31"/>
        <v>0</v>
      </c>
      <c r="BH10" s="152" t="b">
        <f t="shared" si="32"/>
        <v>0</v>
      </c>
      <c r="BI10" s="152" t="b">
        <f t="shared" si="33"/>
        <v>0</v>
      </c>
      <c r="BK10" s="151" t="b">
        <f t="shared" si="16"/>
        <v>0</v>
      </c>
      <c r="BL10" s="151" t="b">
        <f t="shared" si="34"/>
        <v>0</v>
      </c>
      <c r="BM10" s="151" t="b">
        <f t="shared" si="35"/>
        <v>0</v>
      </c>
      <c r="BN10" s="151" t="b">
        <f t="shared" si="17"/>
        <v>0</v>
      </c>
      <c r="BO10" s="151" t="str">
        <f t="shared" si="36"/>
        <v/>
      </c>
      <c r="BP10" t="b">
        <v>1</v>
      </c>
      <c r="BQ10" t="b">
        <v>0</v>
      </c>
      <c r="BR10" t="b">
        <v>1</v>
      </c>
      <c r="BS10" t="b">
        <v>0</v>
      </c>
    </row>
    <row r="11" spans="1:72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151">
        <f t="shared" si="1"/>
        <v>0</v>
      </c>
      <c r="K11">
        <f t="shared" si="37"/>
        <v>0</v>
      </c>
      <c r="M11" s="151">
        <f>IF(OR(_Pat_Gewicht=0,_Pat_Gewicht=""),0,K11/(IF(BR11,_Pat_Gewicht,IF(BS11,CalculateBSA(),1))))</f>
        <v>0</v>
      </c>
      <c r="N11" s="7">
        <f t="shared" si="18"/>
        <v>0</v>
      </c>
      <c r="O11">
        <v>0</v>
      </c>
      <c r="P11">
        <v>1</v>
      </c>
      <c r="Q11">
        <f t="shared" si="19"/>
        <v>0</v>
      </c>
      <c r="R11">
        <v>0</v>
      </c>
      <c r="S11">
        <f t="shared" si="3"/>
        <v>0</v>
      </c>
      <c r="T11">
        <f t="shared" si="4"/>
        <v>0</v>
      </c>
      <c r="U11">
        <f t="shared" si="5"/>
        <v>0</v>
      </c>
      <c r="W11" s="151" t="str">
        <f t="shared" si="20"/>
        <v/>
      </c>
      <c r="X11" s="151" t="str">
        <f t="shared" si="6"/>
        <v/>
      </c>
      <c r="Y11" s="151" t="str">
        <f t="shared" si="21"/>
        <v/>
      </c>
      <c r="Z11" s="151" t="str">
        <f t="shared" si="7"/>
        <v/>
      </c>
      <c r="AA11" s="151" t="str">
        <f t="shared" si="22"/>
        <v/>
      </c>
      <c r="AB11" s="152">
        <f t="shared" si="8"/>
        <v>0</v>
      </c>
      <c r="AC11" t="str">
        <f t="shared" si="9"/>
        <v/>
      </c>
      <c r="AE11" s="151" t="str">
        <f>IF(OR(W11="",W11=0),"",ConcatenateRange((W11,X11,Y11,Z11,AA11,AC11,AD11,V11,B11,AH11,AI11,AJ11,AK11,AL11,AM11,AO11), "||"))</f>
        <v/>
      </c>
      <c r="AF11">
        <f t="shared" si="23"/>
        <v>2</v>
      </c>
      <c r="AG11" s="151">
        <f t="shared" si="10"/>
        <v>0</v>
      </c>
      <c r="AH11" s="151" t="b">
        <v>0</v>
      </c>
      <c r="AK11">
        <v>0</v>
      </c>
      <c r="AN11" s="151" t="str">
        <f t="shared" si="11"/>
        <v/>
      </c>
      <c r="AO11" s="151" t="str">
        <f t="shared" si="12"/>
        <v/>
      </c>
      <c r="AP11" s="151" t="str">
        <f t="shared" si="13"/>
        <v/>
      </c>
      <c r="AQ11" s="151" t="str">
        <f t="shared" si="24"/>
        <v/>
      </c>
      <c r="AR11" s="151" t="str">
        <f t="shared" si="14"/>
        <v/>
      </c>
      <c r="AS11" s="151" t="str">
        <f t="shared" si="25"/>
        <v/>
      </c>
      <c r="AV11" s="151" t="b">
        <f t="shared" si="26"/>
        <v>0</v>
      </c>
      <c r="AW11" s="151" t="b">
        <f t="shared" si="27"/>
        <v>0</v>
      </c>
      <c r="BA11" s="151" t="b">
        <f t="shared" si="28"/>
        <v>0</v>
      </c>
      <c r="BB11" s="151" t="b">
        <f t="shared" si="15"/>
        <v>0</v>
      </c>
      <c r="BC11" s="152" t="b">
        <f t="shared" si="29"/>
        <v>0</v>
      </c>
      <c r="BD11" s="151">
        <f t="shared" si="30"/>
        <v>0</v>
      </c>
      <c r="BF11" s="151" t="b">
        <f t="shared" si="31"/>
        <v>0</v>
      </c>
      <c r="BH11" s="152" t="b">
        <f t="shared" si="32"/>
        <v>0</v>
      </c>
      <c r="BI11" s="152" t="b">
        <f t="shared" si="33"/>
        <v>0</v>
      </c>
      <c r="BK11" s="151" t="b">
        <f t="shared" si="16"/>
        <v>0</v>
      </c>
      <c r="BL11" s="151" t="b">
        <f t="shared" si="34"/>
        <v>0</v>
      </c>
      <c r="BM11" s="151" t="b">
        <f t="shared" si="35"/>
        <v>0</v>
      </c>
      <c r="BN11" s="151" t="b">
        <f t="shared" si="17"/>
        <v>0</v>
      </c>
      <c r="BO11" s="151" t="str">
        <f t="shared" si="36"/>
        <v/>
      </c>
      <c r="BP11" t="b">
        <v>1</v>
      </c>
      <c r="BQ11" t="b">
        <v>0</v>
      </c>
      <c r="BR11" t="b">
        <v>1</v>
      </c>
      <c r="BS11" t="b">
        <v>0</v>
      </c>
    </row>
    <row r="12" spans="1:72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151">
        <f t="shared" si="1"/>
        <v>0</v>
      </c>
      <c r="K12">
        <f t="shared" si="37"/>
        <v>0</v>
      </c>
      <c r="M12" s="151">
        <f>IF(OR(_Pat_Gewicht=0,_Pat_Gewicht=""),0,K12/(IF(BR12,_Pat_Gewicht,IF(BS12,CalculateBSA(),1))))</f>
        <v>0</v>
      </c>
      <c r="N12" s="7">
        <f t="shared" si="18"/>
        <v>0</v>
      </c>
      <c r="O12">
        <v>0</v>
      </c>
      <c r="P12">
        <v>1</v>
      </c>
      <c r="Q12">
        <f t="shared" si="19"/>
        <v>0</v>
      </c>
      <c r="R12">
        <v>0</v>
      </c>
      <c r="S12">
        <f t="shared" si="3"/>
        <v>0</v>
      </c>
      <c r="T12">
        <f t="shared" si="4"/>
        <v>0</v>
      </c>
      <c r="U12">
        <f t="shared" si="5"/>
        <v>0</v>
      </c>
      <c r="W12" s="151" t="str">
        <f t="shared" si="20"/>
        <v/>
      </c>
      <c r="X12" s="151" t="str">
        <f t="shared" si="6"/>
        <v/>
      </c>
      <c r="Y12" s="151" t="str">
        <f t="shared" si="21"/>
        <v/>
      </c>
      <c r="Z12" s="151" t="str">
        <f t="shared" si="7"/>
        <v/>
      </c>
      <c r="AA12" s="151" t="str">
        <f t="shared" si="22"/>
        <v/>
      </c>
      <c r="AB12" s="152">
        <f t="shared" si="8"/>
        <v>0</v>
      </c>
      <c r="AC12" t="str">
        <f t="shared" si="9"/>
        <v/>
      </c>
      <c r="AE12" s="151" t="str">
        <f>IF(OR(W12="",W12=0),"",ConcatenateRange((W12,X12,Y12,Z12,AA12,AC12,AD12,V12,B12,AH12,AI12,AJ12,AK12,AL12,AM12,AO12), "||"))</f>
        <v/>
      </c>
      <c r="AF12">
        <f t="shared" si="23"/>
        <v>2</v>
      </c>
      <c r="AG12" s="151">
        <f t="shared" si="10"/>
        <v>0</v>
      </c>
      <c r="AH12" s="151" t="b">
        <v>0</v>
      </c>
      <c r="AK12">
        <v>0</v>
      </c>
      <c r="AN12" s="151" t="str">
        <f t="shared" si="11"/>
        <v/>
      </c>
      <c r="AO12" s="151" t="str">
        <f t="shared" si="12"/>
        <v/>
      </c>
      <c r="AP12" s="151" t="str">
        <f t="shared" si="13"/>
        <v/>
      </c>
      <c r="AQ12" s="151" t="str">
        <f t="shared" si="24"/>
        <v/>
      </c>
      <c r="AR12" s="151" t="str">
        <f t="shared" si="14"/>
        <v/>
      </c>
      <c r="AS12" s="151" t="str">
        <f t="shared" si="25"/>
        <v/>
      </c>
      <c r="AV12" s="151" t="b">
        <f t="shared" si="26"/>
        <v>0</v>
      </c>
      <c r="AW12" s="151" t="b">
        <f t="shared" si="27"/>
        <v>0</v>
      </c>
      <c r="BA12" s="151" t="b">
        <f t="shared" si="28"/>
        <v>0</v>
      </c>
      <c r="BB12" s="151" t="b">
        <f t="shared" si="15"/>
        <v>0</v>
      </c>
      <c r="BC12" s="152" t="b">
        <f t="shared" si="29"/>
        <v>0</v>
      </c>
      <c r="BD12" s="151">
        <f t="shared" si="30"/>
        <v>0</v>
      </c>
      <c r="BF12" s="151" t="b">
        <f t="shared" si="31"/>
        <v>0</v>
      </c>
      <c r="BH12" s="152" t="b">
        <f t="shared" si="32"/>
        <v>0</v>
      </c>
      <c r="BI12" s="152" t="b">
        <f t="shared" si="33"/>
        <v>0</v>
      </c>
      <c r="BK12" s="151" t="b">
        <f t="shared" si="16"/>
        <v>0</v>
      </c>
      <c r="BL12" s="151" t="b">
        <f t="shared" si="34"/>
        <v>0</v>
      </c>
      <c r="BM12" s="151" t="b">
        <f t="shared" si="35"/>
        <v>0</v>
      </c>
      <c r="BN12" s="151" t="b">
        <f t="shared" si="17"/>
        <v>0</v>
      </c>
      <c r="BO12" s="151" t="str">
        <f t="shared" si="36"/>
        <v/>
      </c>
      <c r="BP12" t="b">
        <v>1</v>
      </c>
      <c r="BQ12" t="b">
        <v>0</v>
      </c>
      <c r="BR12" t="b">
        <v>1</v>
      </c>
      <c r="BS12" t="b">
        <v>0</v>
      </c>
    </row>
    <row r="13" spans="1:72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151">
        <f t="shared" si="1"/>
        <v>0</v>
      </c>
      <c r="K13">
        <f t="shared" si="37"/>
        <v>0</v>
      </c>
      <c r="M13" s="151">
        <f>IF(OR(_Pat_Gewicht=0,_Pat_Gewicht=""),0,K13/(IF(BR13,_Pat_Gewicht,IF(BS13,CalculateBSA(),1))))</f>
        <v>0</v>
      </c>
      <c r="N13" s="7">
        <f t="shared" si="18"/>
        <v>0</v>
      </c>
      <c r="O13">
        <v>0</v>
      </c>
      <c r="P13">
        <v>1</v>
      </c>
      <c r="Q13">
        <f t="shared" si="19"/>
        <v>0</v>
      </c>
      <c r="R13">
        <v>0</v>
      </c>
      <c r="S13">
        <f t="shared" si="3"/>
        <v>0</v>
      </c>
      <c r="T13">
        <f t="shared" si="4"/>
        <v>0</v>
      </c>
      <c r="U13">
        <f t="shared" si="5"/>
        <v>0</v>
      </c>
      <c r="W13" s="151" t="str">
        <f t="shared" si="20"/>
        <v/>
      </c>
      <c r="X13" s="151" t="str">
        <f t="shared" si="6"/>
        <v/>
      </c>
      <c r="Y13" s="151" t="str">
        <f t="shared" si="21"/>
        <v/>
      </c>
      <c r="Z13" s="151" t="str">
        <f t="shared" si="7"/>
        <v/>
      </c>
      <c r="AA13" s="151" t="str">
        <f t="shared" si="22"/>
        <v/>
      </c>
      <c r="AB13" s="152">
        <f t="shared" si="8"/>
        <v>0</v>
      </c>
      <c r="AC13" t="str">
        <f t="shared" si="9"/>
        <v/>
      </c>
      <c r="AE13" s="151" t="str">
        <f>IF(OR(W13="",W13=0),"",ConcatenateRange((W13,X13,Y13,Z13,AA13,AC13,AD13,V13,B13,AH13,AI13,AJ13,AK13,AL13,AM13,AO13), "||"))</f>
        <v/>
      </c>
      <c r="AF13">
        <f t="shared" si="23"/>
        <v>2</v>
      </c>
      <c r="AG13" s="151">
        <f t="shared" si="10"/>
        <v>0</v>
      </c>
      <c r="AH13" s="151" t="b">
        <v>0</v>
      </c>
      <c r="AK13">
        <v>0</v>
      </c>
      <c r="AN13" s="151" t="str">
        <f t="shared" si="11"/>
        <v/>
      </c>
      <c r="AO13" s="151" t="str">
        <f t="shared" si="12"/>
        <v/>
      </c>
      <c r="AP13" s="151" t="str">
        <f t="shared" si="13"/>
        <v/>
      </c>
      <c r="AQ13" s="151" t="str">
        <f t="shared" si="24"/>
        <v/>
      </c>
      <c r="AR13" s="151" t="str">
        <f t="shared" si="14"/>
        <v/>
      </c>
      <c r="AS13" s="151" t="str">
        <f t="shared" si="25"/>
        <v/>
      </c>
      <c r="AV13" s="151" t="b">
        <f t="shared" si="26"/>
        <v>0</v>
      </c>
      <c r="AW13" s="151" t="b">
        <f t="shared" si="27"/>
        <v>0</v>
      </c>
      <c r="BA13" s="151" t="b">
        <f t="shared" si="28"/>
        <v>0</v>
      </c>
      <c r="BB13" s="151" t="b">
        <f t="shared" si="15"/>
        <v>0</v>
      </c>
      <c r="BC13" s="152" t="b">
        <f t="shared" si="29"/>
        <v>0</v>
      </c>
      <c r="BD13" s="151">
        <f t="shared" si="30"/>
        <v>0</v>
      </c>
      <c r="BF13" s="151" t="b">
        <f t="shared" si="31"/>
        <v>0</v>
      </c>
      <c r="BH13" s="152" t="b">
        <f t="shared" si="32"/>
        <v>0</v>
      </c>
      <c r="BI13" s="152" t="b">
        <f t="shared" si="33"/>
        <v>0</v>
      </c>
      <c r="BK13" s="151" t="b">
        <f t="shared" si="16"/>
        <v>0</v>
      </c>
      <c r="BL13" s="151" t="b">
        <f t="shared" si="34"/>
        <v>0</v>
      </c>
      <c r="BM13" s="151" t="b">
        <f t="shared" si="35"/>
        <v>0</v>
      </c>
      <c r="BN13" s="151" t="b">
        <f t="shared" si="17"/>
        <v>0</v>
      </c>
      <c r="BO13" s="151" t="str">
        <f t="shared" si="36"/>
        <v/>
      </c>
      <c r="BP13" t="b">
        <v>1</v>
      </c>
      <c r="BQ13" t="b">
        <v>0</v>
      </c>
      <c r="BR13" t="b">
        <v>1</v>
      </c>
      <c r="BS13" t="b">
        <v>0</v>
      </c>
    </row>
    <row r="14" spans="1:72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151">
        <f t="shared" si="1"/>
        <v>0</v>
      </c>
      <c r="K14">
        <f t="shared" si="37"/>
        <v>0</v>
      </c>
      <c r="M14" s="151">
        <f>IF(OR(_Pat_Gewicht=0,_Pat_Gewicht=""),0,K14/(IF(BR14,_Pat_Gewicht,IF(BS14,CalculateBSA(),1))))</f>
        <v>0</v>
      </c>
      <c r="N14" s="7">
        <f t="shared" si="18"/>
        <v>0</v>
      </c>
      <c r="O14">
        <v>0</v>
      </c>
      <c r="P14">
        <v>1</v>
      </c>
      <c r="Q14">
        <f t="shared" si="19"/>
        <v>0</v>
      </c>
      <c r="R14">
        <v>0</v>
      </c>
      <c r="S14">
        <f t="shared" si="3"/>
        <v>0</v>
      </c>
      <c r="T14">
        <f t="shared" si="4"/>
        <v>0</v>
      </c>
      <c r="U14">
        <f t="shared" si="5"/>
        <v>0</v>
      </c>
      <c r="W14" s="151" t="str">
        <f t="shared" si="20"/>
        <v/>
      </c>
      <c r="X14" s="151" t="str">
        <f t="shared" si="6"/>
        <v/>
      </c>
      <c r="Y14" s="151" t="str">
        <f t="shared" si="21"/>
        <v/>
      </c>
      <c r="Z14" s="151" t="str">
        <f t="shared" si="7"/>
        <v/>
      </c>
      <c r="AA14" s="151" t="str">
        <f t="shared" si="22"/>
        <v/>
      </c>
      <c r="AB14" s="152">
        <f t="shared" si="8"/>
        <v>0</v>
      </c>
      <c r="AC14" t="str">
        <f t="shared" si="9"/>
        <v/>
      </c>
      <c r="AE14" s="151" t="str">
        <f>IF(OR(W14="",W14=0),"",ConcatenateRange((W14,X14,Y14,Z14,AA14,AC14,AD14,V14,B14,AH14,AI14,AJ14,AK14,AL14,AM14,AO14), "||"))</f>
        <v/>
      </c>
      <c r="AF14">
        <f t="shared" si="23"/>
        <v>2</v>
      </c>
      <c r="AG14" s="151">
        <f t="shared" si="10"/>
        <v>0</v>
      </c>
      <c r="AH14" s="151" t="b">
        <v>0</v>
      </c>
      <c r="AK14">
        <v>0</v>
      </c>
      <c r="AN14" s="151" t="str">
        <f t="shared" si="11"/>
        <v/>
      </c>
      <c r="AO14" s="151" t="str">
        <f t="shared" si="12"/>
        <v/>
      </c>
      <c r="AP14" s="151" t="str">
        <f t="shared" si="13"/>
        <v/>
      </c>
      <c r="AQ14" s="151" t="str">
        <f t="shared" si="24"/>
        <v/>
      </c>
      <c r="AR14" s="151" t="str">
        <f t="shared" si="14"/>
        <v/>
      </c>
      <c r="AS14" s="151" t="str">
        <f t="shared" si="25"/>
        <v/>
      </c>
      <c r="AV14" s="151" t="b">
        <f t="shared" si="26"/>
        <v>0</v>
      </c>
      <c r="AW14" s="151" t="b">
        <f t="shared" si="27"/>
        <v>0</v>
      </c>
      <c r="BA14" s="151" t="b">
        <f t="shared" si="28"/>
        <v>0</v>
      </c>
      <c r="BB14" s="151" t="b">
        <f t="shared" si="15"/>
        <v>0</v>
      </c>
      <c r="BC14" s="152" t="b">
        <f t="shared" si="29"/>
        <v>0</v>
      </c>
      <c r="BD14" s="151">
        <f t="shared" si="30"/>
        <v>0</v>
      </c>
      <c r="BF14" s="151" t="b">
        <f t="shared" si="31"/>
        <v>0</v>
      </c>
      <c r="BH14" s="152" t="b">
        <f t="shared" si="32"/>
        <v>0</v>
      </c>
      <c r="BI14" s="152" t="b">
        <f t="shared" si="33"/>
        <v>0</v>
      </c>
      <c r="BK14" s="151" t="b">
        <f t="shared" si="16"/>
        <v>0</v>
      </c>
      <c r="BL14" s="151" t="b">
        <f t="shared" si="34"/>
        <v>0</v>
      </c>
      <c r="BM14" s="151" t="b">
        <f t="shared" si="35"/>
        <v>0</v>
      </c>
      <c r="BN14" s="151" t="b">
        <f t="shared" si="17"/>
        <v>0</v>
      </c>
      <c r="BO14" s="151" t="str">
        <f t="shared" si="36"/>
        <v/>
      </c>
      <c r="BP14" t="b">
        <v>1</v>
      </c>
      <c r="BQ14" t="b">
        <v>0</v>
      </c>
      <c r="BR14" t="b">
        <v>1</v>
      </c>
      <c r="BS14" t="b">
        <v>0</v>
      </c>
    </row>
    <row r="15" spans="1:72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151">
        <f t="shared" si="1"/>
        <v>0</v>
      </c>
      <c r="K15">
        <f t="shared" si="37"/>
        <v>0</v>
      </c>
      <c r="M15" s="151">
        <f>IF(OR(_Pat_Gewicht=0,_Pat_Gewicht=""),0,K15/(IF(BR15,_Pat_Gewicht,IF(BS15,CalculateBSA(),1))))</f>
        <v>0</v>
      </c>
      <c r="N15" s="7">
        <f t="shared" si="18"/>
        <v>0</v>
      </c>
      <c r="O15">
        <v>0</v>
      </c>
      <c r="P15">
        <v>1</v>
      </c>
      <c r="Q15">
        <f t="shared" si="19"/>
        <v>0</v>
      </c>
      <c r="R15">
        <v>0</v>
      </c>
      <c r="S15">
        <f t="shared" si="3"/>
        <v>0</v>
      </c>
      <c r="T15">
        <f t="shared" si="4"/>
        <v>0</v>
      </c>
      <c r="U15">
        <f t="shared" si="5"/>
        <v>0</v>
      </c>
      <c r="W15" s="151" t="str">
        <f t="shared" si="20"/>
        <v/>
      </c>
      <c r="X15" s="151" t="str">
        <f t="shared" si="6"/>
        <v/>
      </c>
      <c r="Y15" s="151" t="str">
        <f t="shared" si="21"/>
        <v/>
      </c>
      <c r="Z15" s="151" t="str">
        <f t="shared" si="7"/>
        <v/>
      </c>
      <c r="AA15" s="151" t="str">
        <f t="shared" si="22"/>
        <v/>
      </c>
      <c r="AB15" s="152">
        <f t="shared" si="8"/>
        <v>0</v>
      </c>
      <c r="AC15" t="str">
        <f t="shared" si="9"/>
        <v/>
      </c>
      <c r="AE15" s="151" t="str">
        <f>IF(OR(W15="",W15=0),"",ConcatenateRange((W15,X15,Y15,Z15,AA15,AC15,AD15,V15,B15,AH15,AI15,AJ15,AK15,AL15,AM15,AO15), "||"))</f>
        <v/>
      </c>
      <c r="AF15">
        <f t="shared" si="23"/>
        <v>2</v>
      </c>
      <c r="AG15" s="151">
        <f t="shared" si="10"/>
        <v>0</v>
      </c>
      <c r="AH15" s="151" t="b">
        <v>0</v>
      </c>
      <c r="AK15">
        <v>0</v>
      </c>
      <c r="AN15" s="151" t="str">
        <f t="shared" si="11"/>
        <v/>
      </c>
      <c r="AO15" s="151" t="str">
        <f t="shared" si="12"/>
        <v/>
      </c>
      <c r="AP15" s="151" t="str">
        <f t="shared" si="13"/>
        <v/>
      </c>
      <c r="AQ15" s="151" t="str">
        <f t="shared" si="24"/>
        <v/>
      </c>
      <c r="AR15" s="151" t="str">
        <f t="shared" si="14"/>
        <v/>
      </c>
      <c r="AS15" s="151" t="str">
        <f t="shared" si="25"/>
        <v/>
      </c>
      <c r="AV15" s="151" t="b">
        <f t="shared" si="26"/>
        <v>0</v>
      </c>
      <c r="AW15" s="151" t="b">
        <f t="shared" si="27"/>
        <v>0</v>
      </c>
      <c r="BA15" s="151" t="b">
        <f t="shared" si="28"/>
        <v>0</v>
      </c>
      <c r="BB15" s="151" t="b">
        <f t="shared" si="15"/>
        <v>0</v>
      </c>
      <c r="BC15" s="152" t="b">
        <f t="shared" si="29"/>
        <v>0</v>
      </c>
      <c r="BD15" s="151">
        <f t="shared" si="30"/>
        <v>0</v>
      </c>
      <c r="BF15" s="151" t="b">
        <f t="shared" si="31"/>
        <v>0</v>
      </c>
      <c r="BH15" s="152" t="b">
        <f t="shared" si="32"/>
        <v>0</v>
      </c>
      <c r="BI15" s="152" t="b">
        <f t="shared" si="33"/>
        <v>0</v>
      </c>
      <c r="BK15" s="151" t="b">
        <f t="shared" si="16"/>
        <v>0</v>
      </c>
      <c r="BL15" s="151" t="b">
        <f t="shared" si="34"/>
        <v>0</v>
      </c>
      <c r="BM15" s="151" t="b">
        <f t="shared" si="35"/>
        <v>0</v>
      </c>
      <c r="BN15" s="151" t="b">
        <f t="shared" si="17"/>
        <v>0</v>
      </c>
      <c r="BO15" s="151" t="str">
        <f t="shared" si="36"/>
        <v/>
      </c>
      <c r="BP15" t="b">
        <v>1</v>
      </c>
      <c r="BQ15" t="b">
        <v>0</v>
      </c>
      <c r="BR15" t="b">
        <v>1</v>
      </c>
      <c r="BS15" t="b">
        <v>0</v>
      </c>
    </row>
    <row r="16" spans="1:72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151">
        <f t="shared" si="1"/>
        <v>0</v>
      </c>
      <c r="K16">
        <f t="shared" si="37"/>
        <v>0</v>
      </c>
      <c r="M16" s="151">
        <f>IF(OR(_Pat_Gewicht=0,_Pat_Gewicht=""),0,K16/(IF(BR16,_Pat_Gewicht,IF(BS16,CalculateBSA(),1))))</f>
        <v>0</v>
      </c>
      <c r="N16" s="7">
        <f t="shared" si="18"/>
        <v>0</v>
      </c>
      <c r="O16">
        <v>0</v>
      </c>
      <c r="P16">
        <v>1</v>
      </c>
      <c r="Q16">
        <f t="shared" si="19"/>
        <v>0</v>
      </c>
      <c r="R16">
        <v>0</v>
      </c>
      <c r="S16">
        <f t="shared" si="3"/>
        <v>0</v>
      </c>
      <c r="T16">
        <f t="shared" si="4"/>
        <v>0</v>
      </c>
      <c r="U16">
        <f t="shared" si="5"/>
        <v>0</v>
      </c>
      <c r="W16" s="151" t="str">
        <f t="shared" si="20"/>
        <v/>
      </c>
      <c r="X16" s="151" t="str">
        <f t="shared" si="6"/>
        <v/>
      </c>
      <c r="Y16" s="151" t="str">
        <f t="shared" si="21"/>
        <v/>
      </c>
      <c r="Z16" s="151" t="str">
        <f t="shared" si="7"/>
        <v/>
      </c>
      <c r="AA16" s="151" t="str">
        <f t="shared" si="22"/>
        <v/>
      </c>
      <c r="AB16" s="152">
        <f t="shared" si="8"/>
        <v>0</v>
      </c>
      <c r="AC16" t="str">
        <f t="shared" si="9"/>
        <v/>
      </c>
      <c r="AE16" s="151" t="str">
        <f>IF(OR(W16="",W16=0),"",ConcatenateRange((W16,X16,Y16,Z16,AA16,AC16,AD16,V16,B16,AH16,AI16,AJ16,AK16,AL16,AM16,AO16), "||"))</f>
        <v/>
      </c>
      <c r="AF16">
        <f t="shared" si="23"/>
        <v>2</v>
      </c>
      <c r="AG16" s="151">
        <f t="shared" si="10"/>
        <v>0</v>
      </c>
      <c r="AH16" s="151" t="b">
        <v>0</v>
      </c>
      <c r="AK16">
        <v>0</v>
      </c>
      <c r="AN16" s="151" t="str">
        <f t="shared" si="11"/>
        <v/>
      </c>
      <c r="AO16" s="151" t="str">
        <f t="shared" si="12"/>
        <v/>
      </c>
      <c r="AP16" s="151" t="str">
        <f t="shared" si="13"/>
        <v/>
      </c>
      <c r="AQ16" s="151" t="str">
        <f t="shared" si="24"/>
        <v/>
      </c>
      <c r="AR16" s="151" t="str">
        <f t="shared" si="14"/>
        <v/>
      </c>
      <c r="AS16" s="151" t="str">
        <f t="shared" si="25"/>
        <v/>
      </c>
      <c r="AV16" s="151" t="b">
        <f t="shared" si="26"/>
        <v>0</v>
      </c>
      <c r="AW16" s="151" t="b">
        <f t="shared" si="27"/>
        <v>0</v>
      </c>
      <c r="BA16" s="151" t="b">
        <f t="shared" si="28"/>
        <v>0</v>
      </c>
      <c r="BB16" s="151" t="b">
        <f t="shared" si="15"/>
        <v>0</v>
      </c>
      <c r="BC16" s="152" t="b">
        <f t="shared" si="29"/>
        <v>0</v>
      </c>
      <c r="BD16" s="151">
        <f t="shared" si="30"/>
        <v>0</v>
      </c>
      <c r="BF16" s="151" t="b">
        <f t="shared" si="31"/>
        <v>0</v>
      </c>
      <c r="BH16" s="152" t="b">
        <f t="shared" si="32"/>
        <v>0</v>
      </c>
      <c r="BI16" s="152" t="b">
        <f t="shared" si="33"/>
        <v>0</v>
      </c>
      <c r="BK16" s="151" t="b">
        <f t="shared" si="16"/>
        <v>0</v>
      </c>
      <c r="BL16" s="151" t="b">
        <f t="shared" si="34"/>
        <v>0</v>
      </c>
      <c r="BM16" s="151" t="b">
        <f t="shared" si="35"/>
        <v>0</v>
      </c>
      <c r="BN16" s="151" t="b">
        <f t="shared" si="17"/>
        <v>0</v>
      </c>
      <c r="BO16" s="151" t="str">
        <f t="shared" si="36"/>
        <v/>
      </c>
      <c r="BP16" t="b">
        <v>1</v>
      </c>
      <c r="BQ16" t="b">
        <v>0</v>
      </c>
      <c r="BR16" t="b">
        <v>1</v>
      </c>
      <c r="BS16" t="b">
        <v>0</v>
      </c>
    </row>
    <row r="17" spans="1:71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151">
        <f t="shared" si="1"/>
        <v>0</v>
      </c>
      <c r="K17">
        <f t="shared" si="37"/>
        <v>0</v>
      </c>
      <c r="M17" s="151">
        <f>IF(OR(_Pat_Gewicht=0,_Pat_Gewicht=""),0,K17/(IF(BR17,_Pat_Gewicht,IF(BS17,CalculateBSA(),1))))</f>
        <v>0</v>
      </c>
      <c r="N17" s="7">
        <f t="shared" si="18"/>
        <v>0</v>
      </c>
      <c r="O17">
        <v>0</v>
      </c>
      <c r="P17">
        <v>1</v>
      </c>
      <c r="Q17">
        <f t="shared" si="19"/>
        <v>0</v>
      </c>
      <c r="R17">
        <v>0</v>
      </c>
      <c r="S17">
        <f t="shared" si="3"/>
        <v>0</v>
      </c>
      <c r="T17">
        <f t="shared" si="4"/>
        <v>0</v>
      </c>
      <c r="U17">
        <f t="shared" si="5"/>
        <v>0</v>
      </c>
      <c r="W17" s="151" t="str">
        <f t="shared" si="20"/>
        <v/>
      </c>
      <c r="X17" s="151" t="str">
        <f t="shared" si="6"/>
        <v/>
      </c>
      <c r="Y17" s="151" t="str">
        <f t="shared" si="21"/>
        <v/>
      </c>
      <c r="Z17" s="151" t="str">
        <f t="shared" si="7"/>
        <v/>
      </c>
      <c r="AA17" s="151" t="str">
        <f t="shared" si="22"/>
        <v/>
      </c>
      <c r="AB17" s="152">
        <f t="shared" si="8"/>
        <v>0</v>
      </c>
      <c r="AC17" t="str">
        <f t="shared" si="9"/>
        <v/>
      </c>
      <c r="AE17" s="151" t="str">
        <f>IF(OR(W17="",W17=0),"",ConcatenateRange((W17,X17,Y17,Z17,AA17,AC17,AD17,V17,B17,AH17,AI17,AJ17,AK17,AL17,AM17,AO17), "||"))</f>
        <v/>
      </c>
      <c r="AF17">
        <f t="shared" si="23"/>
        <v>2</v>
      </c>
      <c r="AG17" s="151">
        <f t="shared" si="10"/>
        <v>0</v>
      </c>
      <c r="AH17" s="151" t="b">
        <v>0</v>
      </c>
      <c r="AK17">
        <v>0</v>
      </c>
      <c r="AN17" s="151" t="str">
        <f t="shared" si="11"/>
        <v/>
      </c>
      <c r="AO17" s="151" t="str">
        <f t="shared" si="12"/>
        <v/>
      </c>
      <c r="AP17" s="151" t="str">
        <f t="shared" si="13"/>
        <v/>
      </c>
      <c r="AQ17" s="151" t="str">
        <f t="shared" si="24"/>
        <v/>
      </c>
      <c r="AR17" s="151" t="str">
        <f t="shared" si="14"/>
        <v/>
      </c>
      <c r="AS17" s="151" t="str">
        <f t="shared" si="25"/>
        <v/>
      </c>
      <c r="AV17" s="151" t="b">
        <f t="shared" si="26"/>
        <v>0</v>
      </c>
      <c r="AW17" s="151" t="b">
        <f t="shared" si="27"/>
        <v>0</v>
      </c>
      <c r="BA17" s="151" t="b">
        <f t="shared" si="28"/>
        <v>0</v>
      </c>
      <c r="BB17" s="151" t="b">
        <f t="shared" si="15"/>
        <v>0</v>
      </c>
      <c r="BC17" s="152" t="b">
        <f t="shared" si="29"/>
        <v>0</v>
      </c>
      <c r="BD17" s="151">
        <f t="shared" si="30"/>
        <v>0</v>
      </c>
      <c r="BF17" s="151" t="b">
        <f t="shared" si="31"/>
        <v>0</v>
      </c>
      <c r="BH17" s="152" t="b">
        <f t="shared" si="32"/>
        <v>0</v>
      </c>
      <c r="BI17" s="152" t="b">
        <f t="shared" si="33"/>
        <v>0</v>
      </c>
      <c r="BK17" s="151" t="b">
        <f t="shared" si="16"/>
        <v>0</v>
      </c>
      <c r="BL17" s="151" t="b">
        <f t="shared" si="34"/>
        <v>0</v>
      </c>
      <c r="BM17" s="151" t="b">
        <f t="shared" si="35"/>
        <v>0</v>
      </c>
      <c r="BN17" s="151" t="b">
        <f t="shared" si="17"/>
        <v>0</v>
      </c>
      <c r="BO17" s="151" t="str">
        <f t="shared" si="36"/>
        <v/>
      </c>
      <c r="BP17" t="b">
        <v>1</v>
      </c>
      <c r="BQ17" t="b">
        <v>0</v>
      </c>
      <c r="BR17" t="b">
        <v>1</v>
      </c>
      <c r="BS17" t="b">
        <v>0</v>
      </c>
    </row>
    <row r="18" spans="1:71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151">
        <f t="shared" si="1"/>
        <v>0</v>
      </c>
      <c r="K18">
        <f t="shared" si="37"/>
        <v>0</v>
      </c>
      <c r="M18" s="151">
        <f>IF(OR(_Pat_Gewicht=0,_Pat_Gewicht=""),0,K18/(IF(BR18,_Pat_Gewicht,IF(BS18,CalculateBSA(),1))))</f>
        <v>0</v>
      </c>
      <c r="N18" s="7">
        <f t="shared" si="18"/>
        <v>0</v>
      </c>
      <c r="O18">
        <v>0</v>
      </c>
      <c r="P18">
        <v>1</v>
      </c>
      <c r="Q18">
        <f t="shared" si="19"/>
        <v>0</v>
      </c>
      <c r="R18">
        <v>0</v>
      </c>
      <c r="S18">
        <f t="shared" si="3"/>
        <v>0</v>
      </c>
      <c r="T18">
        <f t="shared" si="4"/>
        <v>0</v>
      </c>
      <c r="U18">
        <f t="shared" si="5"/>
        <v>0</v>
      </c>
      <c r="W18" s="151" t="str">
        <f t="shared" si="20"/>
        <v/>
      </c>
      <c r="X18" s="151" t="str">
        <f t="shared" si="6"/>
        <v/>
      </c>
      <c r="Y18" s="151" t="str">
        <f t="shared" si="21"/>
        <v/>
      </c>
      <c r="Z18" s="151" t="str">
        <f t="shared" si="7"/>
        <v/>
      </c>
      <c r="AA18" s="151" t="str">
        <f t="shared" si="22"/>
        <v/>
      </c>
      <c r="AB18" s="152">
        <f t="shared" si="8"/>
        <v>0</v>
      </c>
      <c r="AC18" t="str">
        <f t="shared" si="9"/>
        <v/>
      </c>
      <c r="AE18" s="151" t="str">
        <f>IF(OR(W18="",W18=0),"",ConcatenateRange((W18,X18,Y18,Z18,AA18,AC18,AD18,V18,B18,AH18,AI18,AJ18,AK18,AL18,AM18,AO18), "||"))</f>
        <v/>
      </c>
      <c r="AF18">
        <f t="shared" si="23"/>
        <v>2</v>
      </c>
      <c r="AG18" s="151">
        <f t="shared" si="10"/>
        <v>0</v>
      </c>
      <c r="AH18" s="151" t="b">
        <v>0</v>
      </c>
      <c r="AK18">
        <v>0</v>
      </c>
      <c r="AN18" s="151" t="str">
        <f t="shared" si="11"/>
        <v/>
      </c>
      <c r="AO18" s="151" t="str">
        <f t="shared" si="12"/>
        <v/>
      </c>
      <c r="AP18" s="151" t="str">
        <f t="shared" si="13"/>
        <v/>
      </c>
      <c r="AQ18" s="151" t="str">
        <f t="shared" si="24"/>
        <v/>
      </c>
      <c r="AR18" s="151" t="str">
        <f t="shared" si="14"/>
        <v/>
      </c>
      <c r="AS18" s="151" t="str">
        <f t="shared" si="25"/>
        <v/>
      </c>
      <c r="AV18" s="151" t="b">
        <f t="shared" si="26"/>
        <v>0</v>
      </c>
      <c r="AW18" s="151" t="b">
        <f t="shared" si="27"/>
        <v>0</v>
      </c>
      <c r="BA18" s="151" t="b">
        <f t="shared" si="28"/>
        <v>0</v>
      </c>
      <c r="BB18" s="151" t="b">
        <f t="shared" si="15"/>
        <v>0</v>
      </c>
      <c r="BC18" s="152" t="b">
        <f t="shared" si="29"/>
        <v>0</v>
      </c>
      <c r="BD18" s="151">
        <f t="shared" si="30"/>
        <v>0</v>
      </c>
      <c r="BF18" s="151" t="b">
        <f t="shared" si="31"/>
        <v>0</v>
      </c>
      <c r="BH18" s="152" t="b">
        <f t="shared" si="32"/>
        <v>0</v>
      </c>
      <c r="BI18" s="152" t="b">
        <f t="shared" si="33"/>
        <v>0</v>
      </c>
      <c r="BK18" s="151" t="b">
        <f t="shared" si="16"/>
        <v>0</v>
      </c>
      <c r="BL18" s="151" t="b">
        <f t="shared" si="34"/>
        <v>0</v>
      </c>
      <c r="BM18" s="151" t="b">
        <f t="shared" si="35"/>
        <v>0</v>
      </c>
      <c r="BN18" s="151" t="b">
        <f t="shared" si="17"/>
        <v>0</v>
      </c>
      <c r="BO18" s="151" t="str">
        <f t="shared" si="36"/>
        <v/>
      </c>
      <c r="BP18" t="b">
        <v>1</v>
      </c>
      <c r="BQ18" t="b">
        <v>0</v>
      </c>
      <c r="BR18" t="b">
        <v>1</v>
      </c>
      <c r="BS18" t="b">
        <v>0</v>
      </c>
    </row>
    <row r="19" spans="1:71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151">
        <f t="shared" si="1"/>
        <v>0</v>
      </c>
      <c r="K19">
        <f t="shared" si="37"/>
        <v>0</v>
      </c>
      <c r="M19" s="151">
        <f>IF(OR(_Pat_Gewicht=0,_Pat_Gewicht=""),0,K19/(IF(BR19,_Pat_Gewicht,IF(BS19,CalculateBSA(),1))))</f>
        <v>0</v>
      </c>
      <c r="N19" s="7">
        <f t="shared" si="18"/>
        <v>0</v>
      </c>
      <c r="O19">
        <v>0</v>
      </c>
      <c r="P19">
        <v>1</v>
      </c>
      <c r="Q19">
        <f t="shared" si="19"/>
        <v>0</v>
      </c>
      <c r="R19">
        <v>0</v>
      </c>
      <c r="S19">
        <f t="shared" si="3"/>
        <v>0</v>
      </c>
      <c r="T19">
        <f t="shared" si="4"/>
        <v>0</v>
      </c>
      <c r="U19">
        <f t="shared" si="5"/>
        <v>0</v>
      </c>
      <c r="W19" s="151" t="str">
        <f t="shared" si="20"/>
        <v/>
      </c>
      <c r="X19" s="151" t="str">
        <f t="shared" si="6"/>
        <v/>
      </c>
      <c r="Y19" s="151" t="str">
        <f t="shared" si="21"/>
        <v/>
      </c>
      <c r="Z19" s="151" t="str">
        <f t="shared" si="7"/>
        <v/>
      </c>
      <c r="AA19" s="151" t="str">
        <f t="shared" si="22"/>
        <v/>
      </c>
      <c r="AB19" s="152">
        <f t="shared" si="8"/>
        <v>0</v>
      </c>
      <c r="AC19" t="str">
        <f t="shared" si="9"/>
        <v/>
      </c>
      <c r="AE19" s="151" t="str">
        <f>IF(OR(W19="",W19=0),"",ConcatenateRange((W19,X19,Y19,Z19,AA19,AC19,AD19,V19,B19,AH19,AI19,AJ19,AK19,AL19,AM19,AO19), "||"))</f>
        <v/>
      </c>
      <c r="AF19">
        <f t="shared" si="23"/>
        <v>2</v>
      </c>
      <c r="AG19" s="151">
        <f t="shared" si="10"/>
        <v>0</v>
      </c>
      <c r="AH19" s="151" t="b">
        <v>0</v>
      </c>
      <c r="AK19">
        <v>0</v>
      </c>
      <c r="AN19" s="151" t="str">
        <f t="shared" si="11"/>
        <v/>
      </c>
      <c r="AO19" s="151" t="str">
        <f t="shared" si="12"/>
        <v/>
      </c>
      <c r="AP19" s="151" t="str">
        <f t="shared" si="13"/>
        <v/>
      </c>
      <c r="AQ19" s="151" t="str">
        <f t="shared" si="24"/>
        <v/>
      </c>
      <c r="AR19" s="151" t="str">
        <f t="shared" si="14"/>
        <v/>
      </c>
      <c r="AS19" s="151" t="str">
        <f t="shared" si="25"/>
        <v/>
      </c>
      <c r="AV19" s="151" t="b">
        <f t="shared" si="26"/>
        <v>0</v>
      </c>
      <c r="AW19" s="151" t="b">
        <f t="shared" si="27"/>
        <v>0</v>
      </c>
      <c r="BA19" s="151" t="b">
        <f t="shared" si="28"/>
        <v>0</v>
      </c>
      <c r="BB19" s="151" t="b">
        <f t="shared" si="15"/>
        <v>0</v>
      </c>
      <c r="BC19" s="152" t="b">
        <f t="shared" si="29"/>
        <v>0</v>
      </c>
      <c r="BD19" s="151">
        <f t="shared" si="30"/>
        <v>0</v>
      </c>
      <c r="BF19" s="151" t="b">
        <f t="shared" si="31"/>
        <v>0</v>
      </c>
      <c r="BH19" s="152" t="b">
        <f t="shared" si="32"/>
        <v>0</v>
      </c>
      <c r="BI19" s="152" t="b">
        <f t="shared" si="33"/>
        <v>0</v>
      </c>
      <c r="BK19" s="151" t="b">
        <f t="shared" si="16"/>
        <v>0</v>
      </c>
      <c r="BL19" s="151" t="b">
        <f t="shared" si="34"/>
        <v>0</v>
      </c>
      <c r="BM19" s="151" t="b">
        <f t="shared" si="35"/>
        <v>0</v>
      </c>
      <c r="BN19" s="151" t="b">
        <f t="shared" si="17"/>
        <v>0</v>
      </c>
      <c r="BO19" s="151" t="str">
        <f t="shared" si="36"/>
        <v/>
      </c>
      <c r="BP19" t="b">
        <v>1</v>
      </c>
      <c r="BQ19" t="b">
        <v>0</v>
      </c>
      <c r="BR19" t="b">
        <v>1</v>
      </c>
      <c r="BS19" t="b">
        <v>0</v>
      </c>
    </row>
    <row r="20" spans="1:71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151">
        <f t="shared" si="1"/>
        <v>0</v>
      </c>
      <c r="K20">
        <f t="shared" si="37"/>
        <v>0</v>
      </c>
      <c r="M20" s="151">
        <f>IF(OR(_Pat_Gewicht=0,_Pat_Gewicht=""),0,K20/(IF(BR20,_Pat_Gewicht,IF(BS20,CalculateBSA(),1))))</f>
        <v>0</v>
      </c>
      <c r="N20" s="7">
        <f t="shared" si="18"/>
        <v>0</v>
      </c>
      <c r="O20">
        <v>0</v>
      </c>
      <c r="P20">
        <v>1</v>
      </c>
      <c r="Q20">
        <f t="shared" si="19"/>
        <v>0</v>
      </c>
      <c r="R20">
        <v>0</v>
      </c>
      <c r="S20">
        <f t="shared" si="3"/>
        <v>0</v>
      </c>
      <c r="T20">
        <f t="shared" si="4"/>
        <v>0</v>
      </c>
      <c r="U20">
        <f t="shared" si="5"/>
        <v>0</v>
      </c>
      <c r="W20" s="151" t="str">
        <f t="shared" si="20"/>
        <v/>
      </c>
      <c r="X20" s="151" t="str">
        <f t="shared" si="6"/>
        <v/>
      </c>
      <c r="Y20" s="151" t="str">
        <f t="shared" si="21"/>
        <v/>
      </c>
      <c r="Z20" s="151" t="str">
        <f t="shared" si="7"/>
        <v/>
      </c>
      <c r="AA20" s="151" t="str">
        <f t="shared" si="22"/>
        <v/>
      </c>
      <c r="AB20" s="152">
        <f t="shared" si="8"/>
        <v>0</v>
      </c>
      <c r="AC20" t="str">
        <f t="shared" si="9"/>
        <v/>
      </c>
      <c r="AE20" s="151" t="str">
        <f>IF(OR(W20="",W20=0),"",ConcatenateRange((W20,X20,Y20,Z20,AA20,AC20,AD20,V20,B20,AH20,AI20,AJ20,AK20,AL20,AM20,AO20), "||"))</f>
        <v/>
      </c>
      <c r="AF20">
        <f t="shared" si="23"/>
        <v>2</v>
      </c>
      <c r="AG20" s="151">
        <f t="shared" si="10"/>
        <v>0</v>
      </c>
      <c r="AH20" s="151" t="b">
        <v>0</v>
      </c>
      <c r="AK20">
        <v>0</v>
      </c>
      <c r="AN20" s="151" t="str">
        <f t="shared" si="11"/>
        <v/>
      </c>
      <c r="AO20" s="151" t="str">
        <f t="shared" si="12"/>
        <v/>
      </c>
      <c r="AP20" s="151" t="str">
        <f t="shared" si="13"/>
        <v/>
      </c>
      <c r="AQ20" s="151" t="str">
        <f t="shared" si="24"/>
        <v/>
      </c>
      <c r="AR20" s="151" t="str">
        <f t="shared" si="14"/>
        <v/>
      </c>
      <c r="AS20" s="151" t="str">
        <f t="shared" si="25"/>
        <v/>
      </c>
      <c r="AV20" s="151" t="b">
        <f t="shared" si="26"/>
        <v>0</v>
      </c>
      <c r="AW20" s="151" t="b">
        <f t="shared" si="27"/>
        <v>0</v>
      </c>
      <c r="BA20" s="151" t="b">
        <f t="shared" si="28"/>
        <v>0</v>
      </c>
      <c r="BB20" s="151" t="b">
        <f t="shared" si="15"/>
        <v>0</v>
      </c>
      <c r="BC20" s="152" t="b">
        <f t="shared" si="29"/>
        <v>0</v>
      </c>
      <c r="BD20" s="151">
        <f t="shared" si="30"/>
        <v>0</v>
      </c>
      <c r="BF20" s="151" t="b">
        <f t="shared" si="31"/>
        <v>0</v>
      </c>
      <c r="BH20" s="152" t="b">
        <f t="shared" si="32"/>
        <v>0</v>
      </c>
      <c r="BI20" s="152" t="b">
        <f t="shared" si="33"/>
        <v>0</v>
      </c>
      <c r="BK20" s="151" t="b">
        <f t="shared" si="16"/>
        <v>0</v>
      </c>
      <c r="BL20" s="151" t="b">
        <f t="shared" si="34"/>
        <v>0</v>
      </c>
      <c r="BM20" s="151" t="b">
        <f t="shared" si="35"/>
        <v>0</v>
      </c>
      <c r="BN20" s="151" t="b">
        <f t="shared" si="17"/>
        <v>0</v>
      </c>
      <c r="BO20" s="151" t="str">
        <f t="shared" si="36"/>
        <v/>
      </c>
      <c r="BP20" t="b">
        <v>1</v>
      </c>
      <c r="BQ20" t="b">
        <v>0</v>
      </c>
      <c r="BR20" t="b">
        <v>1</v>
      </c>
      <c r="BS20" t="b">
        <v>0</v>
      </c>
    </row>
    <row r="21" spans="1:71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151">
        <f t="shared" si="1"/>
        <v>0</v>
      </c>
      <c r="K21">
        <f t="shared" si="37"/>
        <v>0</v>
      </c>
      <c r="M21" s="151">
        <f>IF(OR(_Pat_Gewicht=0,_Pat_Gewicht=""),0,K21/(IF(BR21,_Pat_Gewicht,IF(BS21,CalculateBSA(),1))))</f>
        <v>0</v>
      </c>
      <c r="N21" s="7">
        <f t="shared" si="18"/>
        <v>0</v>
      </c>
      <c r="O21">
        <v>0</v>
      </c>
      <c r="P21">
        <v>1</v>
      </c>
      <c r="Q21">
        <f t="shared" si="19"/>
        <v>0</v>
      </c>
      <c r="R21">
        <v>0</v>
      </c>
      <c r="S21">
        <f t="shared" si="3"/>
        <v>0</v>
      </c>
      <c r="T21">
        <f t="shared" si="4"/>
        <v>0</v>
      </c>
      <c r="U21">
        <f t="shared" si="5"/>
        <v>0</v>
      </c>
      <c r="W21" s="151" t="str">
        <f t="shared" si="20"/>
        <v/>
      </c>
      <c r="X21" s="151" t="str">
        <f t="shared" si="6"/>
        <v/>
      </c>
      <c r="Y21" s="151" t="str">
        <f t="shared" si="21"/>
        <v/>
      </c>
      <c r="Z21" s="151" t="str">
        <f t="shared" si="7"/>
        <v/>
      </c>
      <c r="AA21" s="151" t="str">
        <f t="shared" si="22"/>
        <v/>
      </c>
      <c r="AB21" s="152">
        <f t="shared" si="8"/>
        <v>0</v>
      </c>
      <c r="AC21" t="str">
        <f t="shared" si="9"/>
        <v/>
      </c>
      <c r="AE21" s="151" t="str">
        <f>IF(OR(W21="",W21=0),"",ConcatenateRange((W21,X21,Y21,Z21,AA21,AC21,AD21,V21,B21,AH21,AI21,AJ21,AK21,AL21,AM21,AO21), "||"))</f>
        <v/>
      </c>
      <c r="AF21">
        <f t="shared" si="23"/>
        <v>2</v>
      </c>
      <c r="AG21" s="151">
        <f t="shared" si="10"/>
        <v>0</v>
      </c>
      <c r="AH21" s="151" t="b">
        <v>0</v>
      </c>
      <c r="AK21">
        <v>0</v>
      </c>
      <c r="AN21" s="151" t="str">
        <f t="shared" si="11"/>
        <v/>
      </c>
      <c r="AO21" s="151" t="str">
        <f t="shared" si="12"/>
        <v/>
      </c>
      <c r="AP21" s="151" t="str">
        <f t="shared" si="13"/>
        <v/>
      </c>
      <c r="AQ21" s="151" t="str">
        <f t="shared" si="24"/>
        <v/>
      </c>
      <c r="AR21" s="151" t="str">
        <f t="shared" si="14"/>
        <v/>
      </c>
      <c r="AS21" s="151" t="str">
        <f t="shared" si="25"/>
        <v/>
      </c>
      <c r="AV21" s="151" t="b">
        <f t="shared" si="26"/>
        <v>0</v>
      </c>
      <c r="AW21" s="151" t="b">
        <f t="shared" si="27"/>
        <v>0</v>
      </c>
      <c r="BA21" s="151" t="b">
        <f t="shared" si="28"/>
        <v>0</v>
      </c>
      <c r="BB21" s="151" t="b">
        <f t="shared" si="15"/>
        <v>0</v>
      </c>
      <c r="BC21" s="152" t="b">
        <f t="shared" si="29"/>
        <v>0</v>
      </c>
      <c r="BD21" s="151">
        <f t="shared" si="30"/>
        <v>0</v>
      </c>
      <c r="BF21" s="151" t="b">
        <f t="shared" si="31"/>
        <v>0</v>
      </c>
      <c r="BH21" s="152" t="b">
        <f t="shared" si="32"/>
        <v>0</v>
      </c>
      <c r="BI21" s="152" t="b">
        <f t="shared" si="33"/>
        <v>0</v>
      </c>
      <c r="BK21" s="151" t="b">
        <f t="shared" si="16"/>
        <v>0</v>
      </c>
      <c r="BL21" s="151" t="b">
        <f t="shared" si="34"/>
        <v>0</v>
      </c>
      <c r="BM21" s="151" t="b">
        <f t="shared" si="35"/>
        <v>0</v>
      </c>
      <c r="BN21" s="151" t="b">
        <f t="shared" si="17"/>
        <v>0</v>
      </c>
      <c r="BO21" s="151" t="str">
        <f t="shared" si="36"/>
        <v/>
      </c>
      <c r="BP21" t="b">
        <v>1</v>
      </c>
      <c r="BQ21" t="b">
        <v>0</v>
      </c>
      <c r="BR21" t="b">
        <v>1</v>
      </c>
      <c r="BS21" t="b">
        <v>0</v>
      </c>
    </row>
    <row r="22" spans="1:71" x14ac:dyDescent="0.2">
      <c r="A22" s="151">
        <v>21</v>
      </c>
      <c r="B22" s="151"/>
      <c r="C22" s="151"/>
      <c r="D22" s="151"/>
      <c r="E22" s="153">
        <v>0</v>
      </c>
      <c r="F22" s="151"/>
      <c r="G22" s="151">
        <v>0</v>
      </c>
      <c r="H22" s="151">
        <f t="shared" ref="H22:H31" si="38">E22*G22</f>
        <v>0</v>
      </c>
      <c r="I22" s="151">
        <v>1</v>
      </c>
      <c r="J22" s="151">
        <f t="shared" si="1"/>
        <v>0</v>
      </c>
      <c r="K22" s="151">
        <f t="shared" si="37"/>
        <v>0</v>
      </c>
      <c r="L22" s="151"/>
      <c r="M22" s="151">
        <f>IF(OR(_Pat_Gewicht=0,_Pat_Gewicht=""),0,K22/(IF(BR22,_Pat_Gewicht,IF(BS22,CalculateBSA(),1))))</f>
        <v>0</v>
      </c>
      <c r="N22" s="7">
        <f t="shared" si="18"/>
        <v>0</v>
      </c>
      <c r="O22" s="151">
        <v>0</v>
      </c>
      <c r="P22" s="151">
        <v>1</v>
      </c>
      <c r="Q22" s="151">
        <f t="shared" ref="Q22:Q31" si="39">IF(P22&gt;1,O22*J22,0)</f>
        <v>0</v>
      </c>
      <c r="R22" s="151">
        <v>0</v>
      </c>
      <c r="S22" s="151">
        <f t="shared" ref="S22:S31" si="40">IF(P22=2,Q22*0.155,0)</f>
        <v>0</v>
      </c>
      <c r="T22" s="151">
        <f t="shared" ref="T22:T31" si="41">IF(P22=3,Q22*0.05,0)</f>
        <v>0</v>
      </c>
      <c r="U22" s="151">
        <f t="shared" ref="U22:U31" si="42">IF(P22=4,Q22*0.1,0)</f>
        <v>0</v>
      </c>
      <c r="V22" s="151"/>
      <c r="W22" s="151" t="str">
        <f t="shared" si="20"/>
        <v/>
      </c>
      <c r="X22" s="151" t="str">
        <f t="shared" si="6"/>
        <v/>
      </c>
      <c r="Y22" s="151" t="str">
        <f t="shared" si="21"/>
        <v/>
      </c>
      <c r="Z22" s="151" t="str">
        <f t="shared" si="7"/>
        <v/>
      </c>
      <c r="AA22" s="151" t="str">
        <f t="shared" si="22"/>
        <v/>
      </c>
      <c r="AB22" s="152">
        <f t="shared" si="8"/>
        <v>0</v>
      </c>
      <c r="AC22" s="151" t="str">
        <f t="shared" si="9"/>
        <v/>
      </c>
      <c r="AD22" s="151"/>
      <c r="AE22" s="151" t="str">
        <f>IF(OR(W22="",W22=0),"",ConcatenateRange((W22,X22,Y22,Z22,AA22,AC22,AD22,V22,B22,AH22,AI22,AJ22,AK22,AL22,AM22,AO22), "||"))</f>
        <v/>
      </c>
      <c r="AF22" s="151">
        <f t="shared" ref="AF22:AF31" si="43">IF(AG22&gt;=10,0,IF(AG22&gt;=1,1,IF(AG22&gt;=0,2,IF(AG22&gt;=0.1,3,IF(AG22&gt;=0.01,4,5)))))</f>
        <v>2</v>
      </c>
      <c r="AG22" s="151">
        <f t="shared" si="10"/>
        <v>0</v>
      </c>
      <c r="AH22" s="151" t="b">
        <v>0</v>
      </c>
      <c r="AK22">
        <v>0</v>
      </c>
      <c r="AN22" s="151" t="str">
        <f t="shared" si="11"/>
        <v/>
      </c>
      <c r="AO22" s="151" t="str">
        <f t="shared" si="12"/>
        <v/>
      </c>
      <c r="AP22" s="151" t="str">
        <f t="shared" si="13"/>
        <v/>
      </c>
      <c r="AQ22" s="151" t="str">
        <f t="shared" si="24"/>
        <v/>
      </c>
      <c r="AR22" s="151" t="str">
        <f t="shared" si="14"/>
        <v/>
      </c>
      <c r="AS22" s="151" t="str">
        <f t="shared" si="25"/>
        <v/>
      </c>
      <c r="AV22" s="151" t="b">
        <f t="shared" si="26"/>
        <v>0</v>
      </c>
      <c r="AW22" s="151" t="b">
        <f t="shared" si="27"/>
        <v>0</v>
      </c>
      <c r="BA22" s="151" t="b">
        <f t="shared" si="28"/>
        <v>0</v>
      </c>
      <c r="BB22" s="151" t="b">
        <f t="shared" si="15"/>
        <v>0</v>
      </c>
      <c r="BC22" s="152" t="b">
        <f t="shared" si="29"/>
        <v>0</v>
      </c>
      <c r="BD22" s="151">
        <f t="shared" si="30"/>
        <v>0</v>
      </c>
      <c r="BF22" s="151" t="b">
        <f t="shared" si="31"/>
        <v>0</v>
      </c>
      <c r="BH22" s="152" t="b">
        <f t="shared" si="32"/>
        <v>0</v>
      </c>
      <c r="BI22" s="152" t="b">
        <f t="shared" si="33"/>
        <v>0</v>
      </c>
      <c r="BK22" s="151" t="b">
        <f t="shared" si="16"/>
        <v>0</v>
      </c>
      <c r="BL22" s="151" t="b">
        <f t="shared" si="34"/>
        <v>0</v>
      </c>
      <c r="BM22" s="151" t="b">
        <f t="shared" si="35"/>
        <v>0</v>
      </c>
      <c r="BN22" s="151" t="b">
        <f t="shared" si="17"/>
        <v>0</v>
      </c>
      <c r="BO22" s="151" t="str">
        <f t="shared" si="36"/>
        <v/>
      </c>
      <c r="BP22" t="b">
        <v>1</v>
      </c>
      <c r="BQ22" t="b">
        <v>0</v>
      </c>
      <c r="BR22" t="b">
        <v>1</v>
      </c>
      <c r="BS22" t="b">
        <v>0</v>
      </c>
    </row>
    <row r="23" spans="1:71" x14ac:dyDescent="0.2">
      <c r="A23" s="151">
        <v>22</v>
      </c>
      <c r="B23" s="151"/>
      <c r="C23" s="151"/>
      <c r="D23" s="151"/>
      <c r="E23" s="153">
        <v>0</v>
      </c>
      <c r="F23" s="151"/>
      <c r="G23" s="151">
        <v>0</v>
      </c>
      <c r="H23" s="151">
        <f t="shared" si="38"/>
        <v>0</v>
      </c>
      <c r="I23" s="151">
        <v>1</v>
      </c>
      <c r="J23" s="151">
        <f t="shared" si="1"/>
        <v>0</v>
      </c>
      <c r="K23" s="151">
        <f t="shared" si="37"/>
        <v>0</v>
      </c>
      <c r="L23" s="151"/>
      <c r="M23" s="151">
        <f>IF(OR(_Pat_Gewicht=0,_Pat_Gewicht=""),0,K23/(IF(BR23,_Pat_Gewicht,IF(BS23,CalculateBSA(),1))))</f>
        <v>0</v>
      </c>
      <c r="N23" s="7">
        <f t="shared" si="18"/>
        <v>0</v>
      </c>
      <c r="O23" s="151">
        <v>0</v>
      </c>
      <c r="P23" s="151">
        <v>1</v>
      </c>
      <c r="Q23" s="151">
        <f t="shared" si="39"/>
        <v>0</v>
      </c>
      <c r="R23" s="151">
        <v>0</v>
      </c>
      <c r="S23" s="151">
        <f t="shared" si="40"/>
        <v>0</v>
      </c>
      <c r="T23" s="151">
        <f t="shared" si="41"/>
        <v>0</v>
      </c>
      <c r="U23" s="151">
        <f t="shared" si="42"/>
        <v>0</v>
      </c>
      <c r="V23" s="151"/>
      <c r="W23" s="151" t="str">
        <f t="shared" si="20"/>
        <v/>
      </c>
      <c r="X23" s="151" t="str">
        <f t="shared" si="6"/>
        <v/>
      </c>
      <c r="Y23" s="151" t="str">
        <f t="shared" si="21"/>
        <v/>
      </c>
      <c r="Z23" s="151" t="str">
        <f t="shared" si="7"/>
        <v/>
      </c>
      <c r="AA23" s="151" t="str">
        <f t="shared" si="22"/>
        <v/>
      </c>
      <c r="AB23" s="152">
        <f t="shared" si="8"/>
        <v>0</v>
      </c>
      <c r="AC23" s="151" t="str">
        <f t="shared" si="9"/>
        <v/>
      </c>
      <c r="AD23" s="151"/>
      <c r="AE23" s="151" t="str">
        <f>IF(OR(W23="",W23=0),"",ConcatenateRange((W23,X23,Y23,Z23,AA23,AC23,AD23,V23,B23,AH23,AI23,AJ23,AK23,AL23,AM23,AO23), "||"))</f>
        <v/>
      </c>
      <c r="AF23" s="151">
        <f t="shared" si="43"/>
        <v>2</v>
      </c>
      <c r="AG23" s="151">
        <f t="shared" si="10"/>
        <v>0</v>
      </c>
      <c r="AH23" s="151" t="b">
        <v>0</v>
      </c>
      <c r="AK23">
        <v>0</v>
      </c>
      <c r="AN23" s="151" t="str">
        <f t="shared" si="11"/>
        <v/>
      </c>
      <c r="AO23" s="151" t="str">
        <f t="shared" si="12"/>
        <v/>
      </c>
      <c r="AP23" s="151" t="str">
        <f t="shared" si="13"/>
        <v/>
      </c>
      <c r="AQ23" s="151" t="str">
        <f t="shared" si="24"/>
        <v/>
      </c>
      <c r="AR23" s="151" t="str">
        <f t="shared" si="14"/>
        <v/>
      </c>
      <c r="AS23" s="151" t="str">
        <f t="shared" si="25"/>
        <v/>
      </c>
      <c r="AV23" s="151" t="b">
        <f t="shared" si="26"/>
        <v>0</v>
      </c>
      <c r="AW23" s="151" t="b">
        <f t="shared" si="27"/>
        <v>0</v>
      </c>
      <c r="BA23" s="151" t="b">
        <f t="shared" si="28"/>
        <v>0</v>
      </c>
      <c r="BB23" s="151" t="b">
        <f t="shared" si="15"/>
        <v>0</v>
      </c>
      <c r="BC23" s="152" t="b">
        <f t="shared" si="29"/>
        <v>0</v>
      </c>
      <c r="BD23" s="151">
        <f t="shared" si="30"/>
        <v>0</v>
      </c>
      <c r="BF23" s="151" t="b">
        <f t="shared" si="31"/>
        <v>0</v>
      </c>
      <c r="BH23" s="152" t="b">
        <f t="shared" si="32"/>
        <v>0</v>
      </c>
      <c r="BI23" s="152" t="b">
        <f t="shared" si="33"/>
        <v>0</v>
      </c>
      <c r="BK23" s="151" t="b">
        <f t="shared" si="16"/>
        <v>0</v>
      </c>
      <c r="BL23" s="151" t="b">
        <f t="shared" si="34"/>
        <v>0</v>
      </c>
      <c r="BM23" s="151" t="b">
        <f t="shared" si="35"/>
        <v>0</v>
      </c>
      <c r="BN23" s="151" t="b">
        <f t="shared" si="17"/>
        <v>0</v>
      </c>
      <c r="BO23" s="151" t="str">
        <f t="shared" si="36"/>
        <v/>
      </c>
      <c r="BP23" t="b">
        <v>1</v>
      </c>
      <c r="BQ23" t="b">
        <v>0</v>
      </c>
      <c r="BR23" t="b">
        <v>1</v>
      </c>
      <c r="BS23" t="b">
        <v>0</v>
      </c>
    </row>
    <row r="24" spans="1:71" x14ac:dyDescent="0.2">
      <c r="A24" s="151">
        <v>23</v>
      </c>
      <c r="B24" s="151"/>
      <c r="C24" s="151"/>
      <c r="D24" s="151"/>
      <c r="E24" s="153">
        <v>0</v>
      </c>
      <c r="F24" s="151"/>
      <c r="G24" s="151">
        <v>0</v>
      </c>
      <c r="H24" s="151">
        <f t="shared" si="38"/>
        <v>0</v>
      </c>
      <c r="I24" s="151">
        <v>1</v>
      </c>
      <c r="J24" s="151">
        <f t="shared" si="1"/>
        <v>0</v>
      </c>
      <c r="K24" s="151">
        <f t="shared" si="37"/>
        <v>0</v>
      </c>
      <c r="L24" s="151"/>
      <c r="M24" s="151">
        <f>IF(OR(_Pat_Gewicht=0,_Pat_Gewicht=""),0,K24/(IF(BR24,_Pat_Gewicht,IF(BS24,CalculateBSA(),1))))</f>
        <v>0</v>
      </c>
      <c r="N24" s="7">
        <f t="shared" si="18"/>
        <v>0</v>
      </c>
      <c r="O24" s="151">
        <v>0</v>
      </c>
      <c r="P24" s="151">
        <v>1</v>
      </c>
      <c r="Q24" s="151">
        <f t="shared" si="39"/>
        <v>0</v>
      </c>
      <c r="R24" s="151">
        <v>0</v>
      </c>
      <c r="S24" s="151">
        <f t="shared" si="40"/>
        <v>0</v>
      </c>
      <c r="T24" s="151">
        <f t="shared" si="41"/>
        <v>0</v>
      </c>
      <c r="U24" s="151">
        <f t="shared" si="42"/>
        <v>0</v>
      </c>
      <c r="V24" s="151"/>
      <c r="W24" s="151" t="str">
        <f t="shared" si="20"/>
        <v/>
      </c>
      <c r="X24" s="151" t="str">
        <f t="shared" si="6"/>
        <v/>
      </c>
      <c r="Y24" s="151" t="str">
        <f t="shared" si="21"/>
        <v/>
      </c>
      <c r="Z24" s="151" t="str">
        <f t="shared" si="7"/>
        <v/>
      </c>
      <c r="AA24" s="151" t="str">
        <f t="shared" si="22"/>
        <v/>
      </c>
      <c r="AB24" s="152">
        <f t="shared" si="8"/>
        <v>0</v>
      </c>
      <c r="AC24" s="151" t="str">
        <f t="shared" si="9"/>
        <v/>
      </c>
      <c r="AD24" s="151"/>
      <c r="AE24" s="151" t="str">
        <f>IF(OR(W24="",W24=0),"",ConcatenateRange((W24,X24,Y24,Z24,AA24,AC24,AD24,V24,B24,AH24,AI24,AJ24,AK24,AL24,AM24,AO24), "||"))</f>
        <v/>
      </c>
      <c r="AF24" s="151">
        <f t="shared" si="43"/>
        <v>2</v>
      </c>
      <c r="AG24" s="151">
        <f t="shared" si="10"/>
        <v>0</v>
      </c>
      <c r="AH24" s="151" t="b">
        <v>0</v>
      </c>
      <c r="AK24">
        <v>0</v>
      </c>
      <c r="AN24" s="151" t="str">
        <f t="shared" si="11"/>
        <v/>
      </c>
      <c r="AO24" s="151" t="str">
        <f t="shared" si="12"/>
        <v/>
      </c>
      <c r="AP24" s="151" t="str">
        <f t="shared" si="13"/>
        <v/>
      </c>
      <c r="AQ24" s="151" t="str">
        <f t="shared" si="24"/>
        <v/>
      </c>
      <c r="AR24" s="151" t="str">
        <f t="shared" si="14"/>
        <v/>
      </c>
      <c r="AS24" s="151" t="str">
        <f t="shared" si="25"/>
        <v/>
      </c>
      <c r="AV24" s="151" t="b">
        <f t="shared" si="26"/>
        <v>0</v>
      </c>
      <c r="AW24" s="151" t="b">
        <f t="shared" si="27"/>
        <v>0</v>
      </c>
      <c r="BA24" s="151" t="b">
        <f t="shared" si="28"/>
        <v>0</v>
      </c>
      <c r="BB24" s="151" t="b">
        <f t="shared" si="15"/>
        <v>0</v>
      </c>
      <c r="BC24" s="152" t="b">
        <f t="shared" si="29"/>
        <v>0</v>
      </c>
      <c r="BD24" s="151">
        <f t="shared" si="30"/>
        <v>0</v>
      </c>
      <c r="BF24" s="151" t="b">
        <f t="shared" si="31"/>
        <v>0</v>
      </c>
      <c r="BH24" s="152" t="b">
        <f t="shared" si="32"/>
        <v>0</v>
      </c>
      <c r="BI24" s="152" t="b">
        <f t="shared" si="33"/>
        <v>0</v>
      </c>
      <c r="BK24" s="151" t="b">
        <f t="shared" si="16"/>
        <v>0</v>
      </c>
      <c r="BL24" s="151" t="b">
        <f t="shared" si="34"/>
        <v>0</v>
      </c>
      <c r="BM24" s="151" t="b">
        <f t="shared" si="35"/>
        <v>0</v>
      </c>
      <c r="BN24" s="151" t="b">
        <f t="shared" si="17"/>
        <v>0</v>
      </c>
      <c r="BO24" s="151" t="str">
        <f t="shared" si="36"/>
        <v/>
      </c>
      <c r="BP24" t="b">
        <v>1</v>
      </c>
      <c r="BQ24" t="b">
        <v>0</v>
      </c>
      <c r="BR24" t="b">
        <v>1</v>
      </c>
      <c r="BS24" t="b">
        <v>0</v>
      </c>
    </row>
    <row r="25" spans="1:71" x14ac:dyDescent="0.2">
      <c r="A25" s="151">
        <v>24</v>
      </c>
      <c r="B25" s="151"/>
      <c r="C25" s="151"/>
      <c r="D25" s="151"/>
      <c r="E25" s="153">
        <v>0</v>
      </c>
      <c r="F25" s="151"/>
      <c r="G25" s="151">
        <v>0</v>
      </c>
      <c r="H25" s="151">
        <f t="shared" si="38"/>
        <v>0</v>
      </c>
      <c r="I25" s="151">
        <v>1</v>
      </c>
      <c r="J25" s="151">
        <f t="shared" si="1"/>
        <v>0</v>
      </c>
      <c r="K25" s="151">
        <f t="shared" si="37"/>
        <v>0</v>
      </c>
      <c r="L25" s="151"/>
      <c r="M25" s="151">
        <f>IF(OR(_Pat_Gewicht=0,_Pat_Gewicht=""),0,K25/(IF(BR25,_Pat_Gewicht,IF(BS25,CalculateBSA(),1))))</f>
        <v>0</v>
      </c>
      <c r="N25" s="7">
        <f t="shared" si="18"/>
        <v>0</v>
      </c>
      <c r="O25" s="151">
        <v>0</v>
      </c>
      <c r="P25" s="151">
        <v>1</v>
      </c>
      <c r="Q25" s="151">
        <f t="shared" si="39"/>
        <v>0</v>
      </c>
      <c r="R25" s="151">
        <v>0</v>
      </c>
      <c r="S25" s="151">
        <f t="shared" si="40"/>
        <v>0</v>
      </c>
      <c r="T25" s="151">
        <f t="shared" si="41"/>
        <v>0</v>
      </c>
      <c r="U25" s="151">
        <f t="shared" si="42"/>
        <v>0</v>
      </c>
      <c r="V25" s="151"/>
      <c r="W25" s="151" t="str">
        <f t="shared" si="20"/>
        <v/>
      </c>
      <c r="X25" s="151" t="str">
        <f t="shared" si="6"/>
        <v/>
      </c>
      <c r="Y25" s="151" t="str">
        <f t="shared" si="21"/>
        <v/>
      </c>
      <c r="Z25" s="151" t="str">
        <f t="shared" si="7"/>
        <v/>
      </c>
      <c r="AA25" s="151" t="str">
        <f t="shared" si="22"/>
        <v/>
      </c>
      <c r="AB25" s="152">
        <f t="shared" si="8"/>
        <v>0</v>
      </c>
      <c r="AC25" s="151" t="str">
        <f t="shared" si="9"/>
        <v/>
      </c>
      <c r="AD25" s="151"/>
      <c r="AE25" s="151" t="str">
        <f>IF(OR(W25="",W25=0),"",ConcatenateRange((W25,X25,Y25,Z25,AA25,AC25,AD25,V25,B25,AH25,AI25,AJ25,AK25,AL25,AM25,AO25), "||"))</f>
        <v/>
      </c>
      <c r="AF25" s="151">
        <f t="shared" si="43"/>
        <v>2</v>
      </c>
      <c r="AG25" s="151">
        <f t="shared" si="10"/>
        <v>0</v>
      </c>
      <c r="AH25" s="151" t="b">
        <v>0</v>
      </c>
      <c r="AK25">
        <v>0</v>
      </c>
      <c r="AN25" s="151" t="str">
        <f t="shared" si="11"/>
        <v/>
      </c>
      <c r="AO25" s="151" t="str">
        <f t="shared" si="12"/>
        <v/>
      </c>
      <c r="AP25" s="151" t="str">
        <f t="shared" si="13"/>
        <v/>
      </c>
      <c r="AQ25" s="151" t="str">
        <f t="shared" si="24"/>
        <v/>
      </c>
      <c r="AR25" s="151" t="str">
        <f t="shared" si="14"/>
        <v/>
      </c>
      <c r="AS25" s="151" t="str">
        <f t="shared" si="25"/>
        <v/>
      </c>
      <c r="AV25" s="151" t="b">
        <f t="shared" si="26"/>
        <v>0</v>
      </c>
      <c r="AW25" s="151" t="b">
        <f t="shared" si="27"/>
        <v>0</v>
      </c>
      <c r="BA25" s="151" t="b">
        <f t="shared" si="28"/>
        <v>0</v>
      </c>
      <c r="BB25" s="151" t="b">
        <f t="shared" si="15"/>
        <v>0</v>
      </c>
      <c r="BC25" s="152" t="b">
        <f t="shared" si="29"/>
        <v>0</v>
      </c>
      <c r="BD25" s="151">
        <f t="shared" si="30"/>
        <v>0</v>
      </c>
      <c r="BF25" s="151" t="b">
        <f t="shared" si="31"/>
        <v>0</v>
      </c>
      <c r="BH25" s="152" t="b">
        <f t="shared" si="32"/>
        <v>0</v>
      </c>
      <c r="BI25" s="152" t="b">
        <f t="shared" si="33"/>
        <v>0</v>
      </c>
      <c r="BK25" s="151" t="b">
        <f t="shared" si="16"/>
        <v>0</v>
      </c>
      <c r="BL25" s="151" t="b">
        <f t="shared" si="34"/>
        <v>0</v>
      </c>
      <c r="BM25" s="151" t="b">
        <f t="shared" si="35"/>
        <v>0</v>
      </c>
      <c r="BN25" s="151" t="b">
        <f t="shared" si="17"/>
        <v>0</v>
      </c>
      <c r="BO25" s="151" t="str">
        <f t="shared" si="36"/>
        <v/>
      </c>
      <c r="BP25" t="b">
        <v>1</v>
      </c>
      <c r="BQ25" t="b">
        <v>0</v>
      </c>
      <c r="BR25" t="b">
        <v>1</v>
      </c>
      <c r="BS25" t="b">
        <v>0</v>
      </c>
    </row>
    <row r="26" spans="1:71" x14ac:dyDescent="0.2">
      <c r="A26" s="151">
        <v>25</v>
      </c>
      <c r="B26" s="151"/>
      <c r="C26" s="151"/>
      <c r="D26" s="151"/>
      <c r="E26" s="153">
        <v>0</v>
      </c>
      <c r="F26" s="151"/>
      <c r="G26" s="151">
        <v>0</v>
      </c>
      <c r="H26" s="151">
        <f t="shared" si="38"/>
        <v>0</v>
      </c>
      <c r="I26" s="151">
        <v>1</v>
      </c>
      <c r="J26" s="151">
        <f t="shared" si="1"/>
        <v>0</v>
      </c>
      <c r="K26" s="151">
        <f t="shared" si="37"/>
        <v>0</v>
      </c>
      <c r="L26" s="151"/>
      <c r="M26" s="151">
        <f>IF(OR(_Pat_Gewicht=0,_Pat_Gewicht=""),0,K26/(IF(BR26,_Pat_Gewicht,IF(BS26,CalculateBSA(),1))))</f>
        <v>0</v>
      </c>
      <c r="N26" s="7">
        <f t="shared" si="18"/>
        <v>0</v>
      </c>
      <c r="O26" s="151">
        <v>0</v>
      </c>
      <c r="P26" s="151">
        <v>1</v>
      </c>
      <c r="Q26" s="151">
        <f t="shared" si="39"/>
        <v>0</v>
      </c>
      <c r="R26" s="151">
        <v>0</v>
      </c>
      <c r="S26" s="151">
        <f t="shared" si="40"/>
        <v>0</v>
      </c>
      <c r="T26" s="151">
        <f t="shared" si="41"/>
        <v>0</v>
      </c>
      <c r="U26" s="151">
        <f t="shared" si="42"/>
        <v>0</v>
      </c>
      <c r="V26" s="151"/>
      <c r="W26" s="151" t="str">
        <f t="shared" si="20"/>
        <v/>
      </c>
      <c r="X26" s="151" t="str">
        <f t="shared" si="6"/>
        <v/>
      </c>
      <c r="Y26" s="151" t="str">
        <f t="shared" si="21"/>
        <v/>
      </c>
      <c r="Z26" s="151" t="str">
        <f t="shared" si="7"/>
        <v/>
      </c>
      <c r="AA26" s="151" t="str">
        <f t="shared" si="22"/>
        <v/>
      </c>
      <c r="AB26" s="152">
        <f t="shared" si="8"/>
        <v>0</v>
      </c>
      <c r="AC26" s="151" t="str">
        <f t="shared" si="9"/>
        <v/>
      </c>
      <c r="AD26" s="151"/>
      <c r="AE26" s="151" t="str">
        <f>IF(OR(W26="",W26=0),"",ConcatenateRange((W26,X26,Y26,Z26,AA26,AC26,AD26,V26,B26,AH26,AI26,AJ26,AK26,AL26,AM26,AO26), "||"))</f>
        <v/>
      </c>
      <c r="AF26" s="151">
        <f t="shared" si="43"/>
        <v>2</v>
      </c>
      <c r="AG26" s="151">
        <f t="shared" si="10"/>
        <v>0</v>
      </c>
      <c r="AH26" s="151" t="b">
        <v>0</v>
      </c>
      <c r="AK26">
        <v>0</v>
      </c>
      <c r="AN26" s="151" t="str">
        <f t="shared" si="11"/>
        <v/>
      </c>
      <c r="AO26" s="151" t="str">
        <f t="shared" si="12"/>
        <v/>
      </c>
      <c r="AP26" s="151" t="str">
        <f t="shared" si="13"/>
        <v/>
      </c>
      <c r="AQ26" s="151" t="str">
        <f t="shared" si="24"/>
        <v/>
      </c>
      <c r="AR26" s="151" t="str">
        <f t="shared" si="14"/>
        <v/>
      </c>
      <c r="AS26" s="151" t="str">
        <f t="shared" si="25"/>
        <v/>
      </c>
      <c r="AV26" s="151" t="b">
        <f t="shared" si="26"/>
        <v>0</v>
      </c>
      <c r="AW26" s="151" t="b">
        <f t="shared" si="27"/>
        <v>0</v>
      </c>
      <c r="BA26" s="151" t="b">
        <f t="shared" si="28"/>
        <v>0</v>
      </c>
      <c r="BB26" s="151" t="b">
        <f t="shared" si="15"/>
        <v>0</v>
      </c>
      <c r="BC26" s="152" t="b">
        <f t="shared" si="29"/>
        <v>0</v>
      </c>
      <c r="BD26" s="151">
        <f t="shared" si="30"/>
        <v>0</v>
      </c>
      <c r="BF26" s="151" t="b">
        <f t="shared" si="31"/>
        <v>0</v>
      </c>
      <c r="BH26" s="152" t="b">
        <f t="shared" si="32"/>
        <v>0</v>
      </c>
      <c r="BI26" s="152" t="b">
        <f t="shared" si="33"/>
        <v>0</v>
      </c>
      <c r="BK26" s="151" t="b">
        <f t="shared" si="16"/>
        <v>0</v>
      </c>
      <c r="BL26" s="151" t="b">
        <f t="shared" si="34"/>
        <v>0</v>
      </c>
      <c r="BM26" s="151" t="b">
        <f t="shared" si="35"/>
        <v>0</v>
      </c>
      <c r="BN26" s="151" t="b">
        <f t="shared" si="17"/>
        <v>0</v>
      </c>
      <c r="BO26" s="151" t="str">
        <f t="shared" si="36"/>
        <v/>
      </c>
      <c r="BP26" t="b">
        <v>1</v>
      </c>
      <c r="BQ26" t="b">
        <v>0</v>
      </c>
      <c r="BR26" t="b">
        <v>1</v>
      </c>
      <c r="BS26" t="b">
        <v>0</v>
      </c>
    </row>
    <row r="27" spans="1:71" x14ac:dyDescent="0.2">
      <c r="A27" s="151">
        <v>26</v>
      </c>
      <c r="B27" s="151"/>
      <c r="C27" s="151"/>
      <c r="D27" s="151"/>
      <c r="E27" s="153">
        <v>0</v>
      </c>
      <c r="F27" s="151"/>
      <c r="G27" s="151">
        <v>0</v>
      </c>
      <c r="H27" s="151">
        <f t="shared" si="38"/>
        <v>0</v>
      </c>
      <c r="I27" s="151">
        <v>1</v>
      </c>
      <c r="J27" s="151">
        <f t="shared" si="1"/>
        <v>0</v>
      </c>
      <c r="K27" s="151">
        <f t="shared" si="37"/>
        <v>0</v>
      </c>
      <c r="L27" s="151"/>
      <c r="M27" s="151">
        <f>IF(OR(_Pat_Gewicht=0,_Pat_Gewicht=""),0,K27/(IF(BR27,_Pat_Gewicht,IF(BS27,CalculateBSA(),1))))</f>
        <v>0</v>
      </c>
      <c r="N27" s="7">
        <f t="shared" si="18"/>
        <v>0</v>
      </c>
      <c r="O27" s="151">
        <v>0</v>
      </c>
      <c r="P27" s="151">
        <v>1</v>
      </c>
      <c r="Q27" s="151">
        <f t="shared" si="39"/>
        <v>0</v>
      </c>
      <c r="R27" s="151">
        <v>0</v>
      </c>
      <c r="S27" s="151">
        <f t="shared" si="40"/>
        <v>0</v>
      </c>
      <c r="T27" s="151">
        <f t="shared" si="41"/>
        <v>0</v>
      </c>
      <c r="U27" s="151">
        <f t="shared" si="42"/>
        <v>0</v>
      </c>
      <c r="V27" s="151"/>
      <c r="W27" s="151" t="str">
        <f t="shared" si="20"/>
        <v/>
      </c>
      <c r="X27" s="151" t="str">
        <f t="shared" si="6"/>
        <v/>
      </c>
      <c r="Y27" s="151" t="str">
        <f t="shared" si="21"/>
        <v/>
      </c>
      <c r="Z27" s="151" t="str">
        <f t="shared" si="7"/>
        <v/>
      </c>
      <c r="AA27" s="151" t="str">
        <f t="shared" si="22"/>
        <v/>
      </c>
      <c r="AB27" s="152">
        <f t="shared" si="8"/>
        <v>0</v>
      </c>
      <c r="AC27" s="151" t="str">
        <f t="shared" si="9"/>
        <v/>
      </c>
      <c r="AD27" s="151"/>
      <c r="AE27" s="151" t="str">
        <f>IF(OR(W27="",W27=0),"",ConcatenateRange((W27,X27,Y27,Z27,AA27,AC27,AD27,V27,B27,AH27,AI27,AJ27,AK27,AL27,AM27,AO27), "||"))</f>
        <v/>
      </c>
      <c r="AF27" s="151">
        <f t="shared" si="43"/>
        <v>2</v>
      </c>
      <c r="AG27" s="151">
        <f t="shared" si="10"/>
        <v>0</v>
      </c>
      <c r="AH27" s="151" t="b">
        <v>0</v>
      </c>
      <c r="AK27">
        <v>0</v>
      </c>
      <c r="AN27" s="151" t="str">
        <f t="shared" si="11"/>
        <v/>
      </c>
      <c r="AO27" s="151" t="str">
        <f t="shared" si="12"/>
        <v/>
      </c>
      <c r="AP27" s="151" t="str">
        <f t="shared" si="13"/>
        <v/>
      </c>
      <c r="AQ27" s="151" t="str">
        <f t="shared" si="24"/>
        <v/>
      </c>
      <c r="AR27" s="151" t="str">
        <f t="shared" si="14"/>
        <v/>
      </c>
      <c r="AS27" s="151" t="str">
        <f t="shared" si="25"/>
        <v/>
      </c>
      <c r="AV27" s="151" t="b">
        <f t="shared" si="26"/>
        <v>0</v>
      </c>
      <c r="AW27" s="151" t="b">
        <f t="shared" si="27"/>
        <v>0</v>
      </c>
      <c r="BA27" s="151" t="b">
        <f t="shared" si="28"/>
        <v>0</v>
      </c>
      <c r="BB27" s="151" t="b">
        <f t="shared" si="15"/>
        <v>0</v>
      </c>
      <c r="BC27" s="152" t="b">
        <f t="shared" si="29"/>
        <v>0</v>
      </c>
      <c r="BD27" s="151">
        <f t="shared" si="30"/>
        <v>0</v>
      </c>
      <c r="BF27" s="151" t="b">
        <f t="shared" si="31"/>
        <v>0</v>
      </c>
      <c r="BH27" s="152" t="b">
        <f t="shared" si="32"/>
        <v>0</v>
      </c>
      <c r="BI27" s="152" t="b">
        <f t="shared" si="33"/>
        <v>0</v>
      </c>
      <c r="BK27" s="151" t="b">
        <f t="shared" si="16"/>
        <v>0</v>
      </c>
      <c r="BL27" s="151" t="b">
        <f t="shared" si="34"/>
        <v>0</v>
      </c>
      <c r="BM27" s="151" t="b">
        <f t="shared" si="35"/>
        <v>0</v>
      </c>
      <c r="BN27" s="151" t="b">
        <f t="shared" si="17"/>
        <v>0</v>
      </c>
      <c r="BO27" s="151" t="str">
        <f t="shared" si="36"/>
        <v/>
      </c>
      <c r="BP27" t="b">
        <v>1</v>
      </c>
      <c r="BQ27" t="b">
        <v>0</v>
      </c>
      <c r="BR27" t="b">
        <v>1</v>
      </c>
      <c r="BS27" t="b">
        <v>0</v>
      </c>
    </row>
    <row r="28" spans="1:71" x14ac:dyDescent="0.2">
      <c r="A28" s="151">
        <v>27</v>
      </c>
      <c r="B28" s="151"/>
      <c r="C28" s="151"/>
      <c r="D28" s="151"/>
      <c r="E28" s="153">
        <v>0</v>
      </c>
      <c r="F28" s="151"/>
      <c r="G28" s="151">
        <v>0</v>
      </c>
      <c r="H28" s="151">
        <f t="shared" si="38"/>
        <v>0</v>
      </c>
      <c r="I28" s="151">
        <v>1</v>
      </c>
      <c r="J28" s="151">
        <f t="shared" si="1"/>
        <v>0</v>
      </c>
      <c r="K28" s="151">
        <f t="shared" si="37"/>
        <v>0</v>
      </c>
      <c r="L28" s="151"/>
      <c r="M28" s="151">
        <f>IF(OR(_Pat_Gewicht=0,_Pat_Gewicht=""),0,K28/(IF(BR28,_Pat_Gewicht,IF(BS28,CalculateBSA(),1))))</f>
        <v>0</v>
      </c>
      <c r="N28" s="7">
        <f t="shared" si="18"/>
        <v>0</v>
      </c>
      <c r="O28" s="151">
        <v>0</v>
      </c>
      <c r="P28" s="151">
        <v>1</v>
      </c>
      <c r="Q28" s="151">
        <f t="shared" si="39"/>
        <v>0</v>
      </c>
      <c r="R28" s="151">
        <v>0</v>
      </c>
      <c r="S28" s="151">
        <f t="shared" si="40"/>
        <v>0</v>
      </c>
      <c r="T28" s="151">
        <f t="shared" si="41"/>
        <v>0</v>
      </c>
      <c r="U28" s="151">
        <f t="shared" si="42"/>
        <v>0</v>
      </c>
      <c r="V28" s="151"/>
      <c r="W28" s="151" t="str">
        <f t="shared" si="20"/>
        <v/>
      </c>
      <c r="X28" s="151" t="str">
        <f t="shared" si="6"/>
        <v/>
      </c>
      <c r="Y28" s="151" t="str">
        <f t="shared" si="21"/>
        <v/>
      </c>
      <c r="Z28" s="151" t="str">
        <f t="shared" si="7"/>
        <v/>
      </c>
      <c r="AA28" s="151" t="str">
        <f t="shared" si="22"/>
        <v/>
      </c>
      <c r="AB28" s="152">
        <f t="shared" si="8"/>
        <v>0</v>
      </c>
      <c r="AC28" s="151" t="str">
        <f t="shared" si="9"/>
        <v/>
      </c>
      <c r="AD28" s="151"/>
      <c r="AE28" s="151" t="str">
        <f>IF(OR(W28="",W28=0),"",ConcatenateRange((W28,X28,Y28,Z28,AA28,AC28,AD28,V28,B28,AH28,AI28,AJ28,AK28,AL28,AM28,AO28), "||"))</f>
        <v/>
      </c>
      <c r="AF28" s="151">
        <f t="shared" si="43"/>
        <v>2</v>
      </c>
      <c r="AG28" s="151">
        <f t="shared" si="10"/>
        <v>0</v>
      </c>
      <c r="AH28" s="151" t="b">
        <v>0</v>
      </c>
      <c r="AK28">
        <v>0</v>
      </c>
      <c r="AN28" s="151" t="str">
        <f t="shared" si="11"/>
        <v/>
      </c>
      <c r="AO28" s="151" t="str">
        <f t="shared" si="12"/>
        <v/>
      </c>
      <c r="AP28" s="151" t="str">
        <f t="shared" si="13"/>
        <v/>
      </c>
      <c r="AQ28" s="151" t="str">
        <f t="shared" si="24"/>
        <v/>
      </c>
      <c r="AR28" s="151" t="str">
        <f t="shared" si="14"/>
        <v/>
      </c>
      <c r="AS28" s="151" t="str">
        <f t="shared" si="25"/>
        <v/>
      </c>
      <c r="AV28" s="151" t="b">
        <f t="shared" si="26"/>
        <v>0</v>
      </c>
      <c r="AW28" s="151" t="b">
        <f t="shared" si="27"/>
        <v>0</v>
      </c>
      <c r="BA28" s="151" t="b">
        <f t="shared" si="28"/>
        <v>0</v>
      </c>
      <c r="BB28" s="151" t="b">
        <f t="shared" si="15"/>
        <v>0</v>
      </c>
      <c r="BC28" s="152" t="b">
        <f t="shared" si="29"/>
        <v>0</v>
      </c>
      <c r="BD28" s="151">
        <f t="shared" si="30"/>
        <v>0</v>
      </c>
      <c r="BF28" s="151" t="b">
        <f t="shared" si="31"/>
        <v>0</v>
      </c>
      <c r="BH28" s="152" t="b">
        <f t="shared" si="32"/>
        <v>0</v>
      </c>
      <c r="BI28" s="152" t="b">
        <f t="shared" si="33"/>
        <v>0</v>
      </c>
      <c r="BK28" s="151" t="b">
        <f t="shared" si="16"/>
        <v>0</v>
      </c>
      <c r="BL28" s="151" t="b">
        <f t="shared" si="34"/>
        <v>0</v>
      </c>
      <c r="BM28" s="151" t="b">
        <f t="shared" si="35"/>
        <v>0</v>
      </c>
      <c r="BN28" s="151" t="b">
        <f t="shared" si="17"/>
        <v>0</v>
      </c>
      <c r="BO28" s="151" t="str">
        <f t="shared" si="36"/>
        <v/>
      </c>
      <c r="BP28" t="b">
        <v>1</v>
      </c>
      <c r="BQ28" t="b">
        <v>0</v>
      </c>
      <c r="BR28" t="b">
        <v>1</v>
      </c>
      <c r="BS28" t="b">
        <v>0</v>
      </c>
    </row>
    <row r="29" spans="1:71" x14ac:dyDescent="0.2">
      <c r="A29" s="151">
        <v>28</v>
      </c>
      <c r="B29" s="151"/>
      <c r="C29" s="151"/>
      <c r="D29" s="151"/>
      <c r="E29" s="153">
        <v>0</v>
      </c>
      <c r="F29" s="151"/>
      <c r="G29" s="151">
        <v>0</v>
      </c>
      <c r="H29" s="151">
        <f t="shared" si="38"/>
        <v>0</v>
      </c>
      <c r="I29" s="151">
        <v>1</v>
      </c>
      <c r="J29" s="151">
        <f t="shared" si="1"/>
        <v>0</v>
      </c>
      <c r="K29" s="151">
        <f t="shared" si="37"/>
        <v>0</v>
      </c>
      <c r="L29" s="151"/>
      <c r="M29" s="151">
        <f>IF(OR(_Pat_Gewicht=0,_Pat_Gewicht=""),0,K29/(IF(BR29,_Pat_Gewicht,IF(BS29,CalculateBSA(),1))))</f>
        <v>0</v>
      </c>
      <c r="N29" s="7">
        <f t="shared" si="18"/>
        <v>0</v>
      </c>
      <c r="O29" s="151">
        <v>0</v>
      </c>
      <c r="P29" s="151">
        <v>1</v>
      </c>
      <c r="Q29" s="151">
        <f t="shared" si="39"/>
        <v>0</v>
      </c>
      <c r="R29" s="151">
        <v>0</v>
      </c>
      <c r="S29" s="151">
        <f t="shared" si="40"/>
        <v>0</v>
      </c>
      <c r="T29" s="151">
        <f t="shared" si="41"/>
        <v>0</v>
      </c>
      <c r="U29" s="151">
        <f t="shared" si="42"/>
        <v>0</v>
      </c>
      <c r="V29" s="151"/>
      <c r="W29" s="151" t="str">
        <f t="shared" si="20"/>
        <v/>
      </c>
      <c r="X29" s="151" t="str">
        <f t="shared" si="6"/>
        <v/>
      </c>
      <c r="Y29" s="151" t="str">
        <f t="shared" si="21"/>
        <v/>
      </c>
      <c r="Z29" s="151" t="str">
        <f t="shared" si="7"/>
        <v/>
      </c>
      <c r="AA29" s="151" t="str">
        <f t="shared" si="22"/>
        <v/>
      </c>
      <c r="AB29" s="152">
        <f t="shared" si="8"/>
        <v>0</v>
      </c>
      <c r="AC29" s="151" t="str">
        <f t="shared" si="9"/>
        <v/>
      </c>
      <c r="AD29" s="151"/>
      <c r="AE29" s="151" t="str">
        <f>IF(OR(W29="",W29=0),"",ConcatenateRange((W29,X29,Y29,Z29,AA29,AC29,AD29,V29,B29,AH29,AI29,AJ29,AK29,AL29,AM29,AO29), "||"))</f>
        <v/>
      </c>
      <c r="AF29" s="151">
        <f t="shared" si="43"/>
        <v>2</v>
      </c>
      <c r="AG29" s="151">
        <f t="shared" si="10"/>
        <v>0</v>
      </c>
      <c r="AH29" s="151" t="b">
        <v>0</v>
      </c>
      <c r="AK29">
        <v>0</v>
      </c>
      <c r="AN29" s="151" t="str">
        <f t="shared" si="11"/>
        <v/>
      </c>
      <c r="AO29" s="151" t="str">
        <f t="shared" si="12"/>
        <v/>
      </c>
      <c r="AP29" s="151" t="str">
        <f t="shared" si="13"/>
        <v/>
      </c>
      <c r="AQ29" s="151" t="str">
        <f t="shared" si="24"/>
        <v/>
      </c>
      <c r="AR29" s="151" t="str">
        <f t="shared" si="14"/>
        <v/>
      </c>
      <c r="AS29" s="151" t="str">
        <f t="shared" si="25"/>
        <v/>
      </c>
      <c r="AV29" s="151" t="b">
        <f t="shared" si="26"/>
        <v>0</v>
      </c>
      <c r="AW29" s="151" t="b">
        <f t="shared" si="27"/>
        <v>0</v>
      </c>
      <c r="BA29" s="151" t="b">
        <f t="shared" si="28"/>
        <v>0</v>
      </c>
      <c r="BB29" s="151" t="b">
        <f t="shared" si="15"/>
        <v>0</v>
      </c>
      <c r="BC29" s="152" t="b">
        <f t="shared" si="29"/>
        <v>0</v>
      </c>
      <c r="BD29" s="151">
        <f t="shared" si="30"/>
        <v>0</v>
      </c>
      <c r="BF29" s="151" t="b">
        <f t="shared" si="31"/>
        <v>0</v>
      </c>
      <c r="BH29" s="152" t="b">
        <f t="shared" si="32"/>
        <v>0</v>
      </c>
      <c r="BI29" s="152" t="b">
        <f t="shared" si="33"/>
        <v>0</v>
      </c>
      <c r="BK29" s="151" t="b">
        <f t="shared" si="16"/>
        <v>0</v>
      </c>
      <c r="BL29" s="151" t="b">
        <f t="shared" si="34"/>
        <v>0</v>
      </c>
      <c r="BM29" s="151" t="b">
        <f t="shared" si="35"/>
        <v>0</v>
      </c>
      <c r="BN29" s="151" t="b">
        <f t="shared" si="17"/>
        <v>0</v>
      </c>
      <c r="BO29" s="151" t="str">
        <f t="shared" si="36"/>
        <v/>
      </c>
      <c r="BP29" t="b">
        <v>1</v>
      </c>
      <c r="BQ29" t="b">
        <v>0</v>
      </c>
      <c r="BR29" t="b">
        <v>1</v>
      </c>
      <c r="BS29" t="b">
        <v>0</v>
      </c>
    </row>
    <row r="30" spans="1:71" x14ac:dyDescent="0.2">
      <c r="A30" s="151">
        <v>29</v>
      </c>
      <c r="B30" s="151"/>
      <c r="C30" s="151"/>
      <c r="D30" s="151"/>
      <c r="E30" s="153">
        <v>0</v>
      </c>
      <c r="F30" s="151"/>
      <c r="G30" s="151">
        <v>0</v>
      </c>
      <c r="H30" s="151">
        <f t="shared" si="38"/>
        <v>0</v>
      </c>
      <c r="I30" s="151">
        <v>1</v>
      </c>
      <c r="J30" s="151">
        <f t="shared" si="1"/>
        <v>0</v>
      </c>
      <c r="K30" s="151">
        <f t="shared" si="37"/>
        <v>0</v>
      </c>
      <c r="L30" s="151"/>
      <c r="M30" s="151">
        <f>IF(OR(_Pat_Gewicht=0,_Pat_Gewicht=""),0,K30/(IF(BR30,_Pat_Gewicht,IF(BS30,CalculateBSA(),1))))</f>
        <v>0</v>
      </c>
      <c r="N30" s="7">
        <f t="shared" si="18"/>
        <v>0</v>
      </c>
      <c r="O30" s="151">
        <v>0</v>
      </c>
      <c r="P30" s="151">
        <v>1</v>
      </c>
      <c r="Q30" s="151">
        <f t="shared" si="39"/>
        <v>0</v>
      </c>
      <c r="R30" s="151">
        <v>0</v>
      </c>
      <c r="S30" s="151">
        <f t="shared" si="40"/>
        <v>0</v>
      </c>
      <c r="T30" s="151">
        <f t="shared" si="41"/>
        <v>0</v>
      </c>
      <c r="U30" s="151">
        <f t="shared" si="42"/>
        <v>0</v>
      </c>
      <c r="V30" s="151"/>
      <c r="W30" s="151" t="str">
        <f t="shared" si="20"/>
        <v/>
      </c>
      <c r="X30" s="151" t="str">
        <f t="shared" si="6"/>
        <v/>
      </c>
      <c r="Y30" s="151" t="str">
        <f t="shared" si="21"/>
        <v/>
      </c>
      <c r="Z30" s="151" t="str">
        <f t="shared" si="7"/>
        <v/>
      </c>
      <c r="AA30" s="151" t="str">
        <f t="shared" si="22"/>
        <v/>
      </c>
      <c r="AB30" s="152">
        <f t="shared" si="8"/>
        <v>0</v>
      </c>
      <c r="AC30" s="151" t="str">
        <f t="shared" si="9"/>
        <v/>
      </c>
      <c r="AD30" s="151"/>
      <c r="AE30" s="151" t="str">
        <f>IF(OR(W30="",W30=0),"",ConcatenateRange((W30,X30,Y30,Z30,AA30,AC30,AD30,V30,B30,AH30,AI30,AJ30,AK30,AL30,AM30,AO30), "||"))</f>
        <v/>
      </c>
      <c r="AF30" s="151">
        <f t="shared" si="43"/>
        <v>2</v>
      </c>
      <c r="AG30" s="151">
        <f t="shared" si="10"/>
        <v>0</v>
      </c>
      <c r="AH30" s="151" t="b">
        <v>0</v>
      </c>
      <c r="AK30">
        <v>0</v>
      </c>
      <c r="AN30" s="151" t="str">
        <f t="shared" si="11"/>
        <v/>
      </c>
      <c r="AO30" s="151" t="str">
        <f t="shared" si="12"/>
        <v/>
      </c>
      <c r="AP30" s="151" t="str">
        <f t="shared" si="13"/>
        <v/>
      </c>
      <c r="AQ30" s="151" t="str">
        <f t="shared" si="24"/>
        <v/>
      </c>
      <c r="AR30" s="151" t="str">
        <f t="shared" si="14"/>
        <v/>
      </c>
      <c r="AS30" s="151" t="str">
        <f t="shared" si="25"/>
        <v/>
      </c>
      <c r="AV30" s="151" t="b">
        <f t="shared" si="26"/>
        <v>0</v>
      </c>
      <c r="AW30" s="151" t="b">
        <f t="shared" si="27"/>
        <v>0</v>
      </c>
      <c r="BA30" s="151" t="b">
        <f t="shared" si="28"/>
        <v>0</v>
      </c>
      <c r="BB30" s="151" t="b">
        <f t="shared" si="15"/>
        <v>0</v>
      </c>
      <c r="BC30" s="152" t="b">
        <f t="shared" si="29"/>
        <v>0</v>
      </c>
      <c r="BD30" s="151">
        <f t="shared" si="30"/>
        <v>0</v>
      </c>
      <c r="BF30" s="151" t="b">
        <f t="shared" si="31"/>
        <v>0</v>
      </c>
      <c r="BH30" s="152" t="b">
        <f t="shared" si="32"/>
        <v>0</v>
      </c>
      <c r="BI30" s="152" t="b">
        <f t="shared" si="33"/>
        <v>0</v>
      </c>
      <c r="BK30" s="151" t="b">
        <f t="shared" si="16"/>
        <v>0</v>
      </c>
      <c r="BL30" s="151" t="b">
        <f t="shared" si="34"/>
        <v>0</v>
      </c>
      <c r="BM30" s="151" t="b">
        <f t="shared" si="35"/>
        <v>0</v>
      </c>
      <c r="BN30" s="151" t="b">
        <f t="shared" si="17"/>
        <v>0</v>
      </c>
      <c r="BO30" s="151" t="str">
        <f t="shared" si="36"/>
        <v/>
      </c>
      <c r="BP30" t="b">
        <v>1</v>
      </c>
      <c r="BQ30" t="b">
        <v>0</v>
      </c>
      <c r="BR30" t="b">
        <v>1</v>
      </c>
      <c r="BS30" t="b">
        <v>0</v>
      </c>
    </row>
    <row r="31" spans="1:71" x14ac:dyDescent="0.2">
      <c r="A31" s="151">
        <v>30</v>
      </c>
      <c r="B31" s="151"/>
      <c r="C31" s="151"/>
      <c r="D31" s="151"/>
      <c r="E31" s="153">
        <v>0</v>
      </c>
      <c r="F31" s="151"/>
      <c r="G31" s="151">
        <v>0</v>
      </c>
      <c r="H31" s="151">
        <f t="shared" si="38"/>
        <v>0</v>
      </c>
      <c r="I31" s="151">
        <v>1</v>
      </c>
      <c r="J31" s="151">
        <f t="shared" si="1"/>
        <v>0</v>
      </c>
      <c r="K31" s="151">
        <f t="shared" si="37"/>
        <v>0</v>
      </c>
      <c r="L31" s="151"/>
      <c r="M31" s="151">
        <f>IF(OR(_Pat_Gewicht=0,_Pat_Gewicht=""),0,K31/(IF(BR31,_Pat_Gewicht,IF(BS31,CalculateBSA(),1))))</f>
        <v>0</v>
      </c>
      <c r="N31" s="7">
        <f t="shared" si="18"/>
        <v>0</v>
      </c>
      <c r="O31" s="151">
        <v>0</v>
      </c>
      <c r="P31" s="151">
        <v>1</v>
      </c>
      <c r="Q31" s="151">
        <f t="shared" si="39"/>
        <v>0</v>
      </c>
      <c r="R31" s="151">
        <v>0</v>
      </c>
      <c r="S31" s="151">
        <f t="shared" si="40"/>
        <v>0</v>
      </c>
      <c r="T31" s="151">
        <f t="shared" si="41"/>
        <v>0</v>
      </c>
      <c r="U31" s="151">
        <f t="shared" si="42"/>
        <v>0</v>
      </c>
      <c r="V31" s="151"/>
      <c r="W31" s="151" t="str">
        <f t="shared" si="20"/>
        <v/>
      </c>
      <c r="X31" s="151" t="str">
        <f t="shared" si="6"/>
        <v/>
      </c>
      <c r="Y31" s="151" t="str">
        <f t="shared" si="21"/>
        <v/>
      </c>
      <c r="Z31" s="151" t="str">
        <f t="shared" si="7"/>
        <v/>
      </c>
      <c r="AA31" s="151" t="str">
        <f t="shared" si="22"/>
        <v/>
      </c>
      <c r="AB31" s="152">
        <f t="shared" si="8"/>
        <v>0</v>
      </c>
      <c r="AC31" s="151" t="str">
        <f t="shared" si="9"/>
        <v/>
      </c>
      <c r="AD31" s="151"/>
      <c r="AE31" s="151" t="str">
        <f>IF(OR(W31="",W31=0),"",ConcatenateRange((W31,X31,Y31,Z31,AA31,AC31,AD31,V31,B31,AH31,AI31,AJ31,AK31,AL31,AM31,AO31), "||"))</f>
        <v/>
      </c>
      <c r="AF31" s="151">
        <f t="shared" si="43"/>
        <v>2</v>
      </c>
      <c r="AG31" s="151">
        <f t="shared" si="10"/>
        <v>0</v>
      </c>
      <c r="AH31" s="151" t="b">
        <v>0</v>
      </c>
      <c r="AK31">
        <v>0</v>
      </c>
      <c r="AN31" s="151" t="str">
        <f t="shared" si="11"/>
        <v/>
      </c>
      <c r="AO31" s="151" t="str">
        <f t="shared" si="12"/>
        <v/>
      </c>
      <c r="AP31" s="151" t="str">
        <f t="shared" si="13"/>
        <v/>
      </c>
      <c r="AQ31" s="151" t="str">
        <f t="shared" si="24"/>
        <v/>
      </c>
      <c r="AR31" s="151" t="str">
        <f t="shared" si="14"/>
        <v/>
      </c>
      <c r="AS31" s="151" t="str">
        <f t="shared" si="25"/>
        <v/>
      </c>
      <c r="AV31" s="151" t="b">
        <f t="shared" si="26"/>
        <v>0</v>
      </c>
      <c r="AW31" s="151" t="b">
        <f t="shared" si="27"/>
        <v>0</v>
      </c>
      <c r="BA31" s="151" t="b">
        <f t="shared" si="28"/>
        <v>0</v>
      </c>
      <c r="BB31" s="151" t="b">
        <f t="shared" si="15"/>
        <v>0</v>
      </c>
      <c r="BC31" s="152" t="b">
        <f t="shared" si="29"/>
        <v>0</v>
      </c>
      <c r="BD31" s="151">
        <f t="shared" si="30"/>
        <v>0</v>
      </c>
      <c r="BF31" s="151" t="b">
        <f t="shared" si="31"/>
        <v>0</v>
      </c>
      <c r="BH31" s="152" t="b">
        <f t="shared" si="32"/>
        <v>0</v>
      </c>
      <c r="BI31" s="152" t="b">
        <f t="shared" si="33"/>
        <v>0</v>
      </c>
      <c r="BK31" s="151" t="b">
        <f t="shared" si="16"/>
        <v>0</v>
      </c>
      <c r="BL31" s="151" t="b">
        <f t="shared" si="34"/>
        <v>0</v>
      </c>
      <c r="BM31" s="151" t="b">
        <f t="shared" si="35"/>
        <v>0</v>
      </c>
      <c r="BN31" s="151" t="b">
        <f t="shared" si="17"/>
        <v>0</v>
      </c>
      <c r="BO31" s="151" t="str">
        <f t="shared" si="36"/>
        <v/>
      </c>
      <c r="BP31" t="b">
        <v>1</v>
      </c>
      <c r="BQ31" t="b">
        <v>0</v>
      </c>
      <c r="BR31" t="b">
        <v>1</v>
      </c>
      <c r="BS31" t="b">
        <v>0</v>
      </c>
    </row>
    <row r="32" spans="1:71" x14ac:dyDescent="0.2">
      <c r="Q32" s="152" t="s">
        <v>259</v>
      </c>
      <c r="S32" s="152" t="s">
        <v>260</v>
      </c>
      <c r="T32" s="152" t="s">
        <v>140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152" t="s">
        <v>163</v>
      </c>
      <c r="B34" s="152"/>
    </row>
    <row r="36" spans="1:20" x14ac:dyDescent="0.2">
      <c r="P36" s="152"/>
    </row>
    <row r="37" spans="1:20" x14ac:dyDescent="0.2">
      <c r="P37" s="152"/>
    </row>
    <row r="38" spans="1:20" x14ac:dyDescent="0.2">
      <c r="P38" s="152"/>
    </row>
    <row r="39" spans="1:20" x14ac:dyDescent="0.2">
      <c r="P39" s="152"/>
    </row>
    <row r="40" spans="1:20" x14ac:dyDescent="0.2">
      <c r="D40" s="152"/>
      <c r="P40" s="152"/>
    </row>
    <row r="41" spans="1:20" x14ac:dyDescent="0.2">
      <c r="D41" s="152"/>
      <c r="P41" s="152"/>
    </row>
    <row r="42" spans="1:20" x14ac:dyDescent="0.2">
      <c r="P42" s="152"/>
    </row>
    <row r="43" spans="1:20" x14ac:dyDescent="0.2">
      <c r="P43" s="152"/>
    </row>
    <row r="44" spans="1:20" x14ac:dyDescent="0.2">
      <c r="P44" s="152"/>
    </row>
    <row r="45" spans="1:20" x14ac:dyDescent="0.2">
      <c r="P45" s="152"/>
    </row>
    <row r="46" spans="1:20" x14ac:dyDescent="0.2">
      <c r="P46" s="152"/>
    </row>
    <row r="47" spans="1:20" x14ac:dyDescent="0.2">
      <c r="P47" s="152"/>
    </row>
    <row r="48" spans="1:20" x14ac:dyDescent="0.2">
      <c r="P48" s="152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FFC000"/>
  </sheetPr>
  <dimension ref="A1:AY36"/>
  <sheetViews>
    <sheetView workbookViewId="0">
      <selection activeCell="E4" sqref="E4"/>
    </sheetView>
  </sheetViews>
  <sheetFormatPr defaultRowHeight="12.75" x14ac:dyDescent="0.2"/>
  <cols>
    <col min="1" max="1" width="17.7109375" customWidth="1"/>
    <col min="2" max="2" width="9.7109375" style="151" customWidth="1"/>
    <col min="3" max="3" width="7.7109375" customWidth="1"/>
    <col min="4" max="51" width="4.42578125" style="497" customWidth="1"/>
  </cols>
  <sheetData>
    <row r="1" spans="1:51" s="151" customFormat="1" x14ac:dyDescent="0.2">
      <c r="A1" s="151">
        <v>1</v>
      </c>
      <c r="B1" s="151">
        <f>A1+1</f>
        <v>2</v>
      </c>
      <c r="C1" s="151">
        <f t="shared" ref="C1:AY1" si="0">B1+1</f>
        <v>3</v>
      </c>
      <c r="D1" s="151">
        <f t="shared" si="0"/>
        <v>4</v>
      </c>
      <c r="E1" s="151">
        <f t="shared" si="0"/>
        <v>5</v>
      </c>
      <c r="F1" s="151">
        <f t="shared" si="0"/>
        <v>6</v>
      </c>
      <c r="G1" s="151">
        <f t="shared" si="0"/>
        <v>7</v>
      </c>
      <c r="H1" s="151">
        <f t="shared" si="0"/>
        <v>8</v>
      </c>
      <c r="I1" s="151">
        <f t="shared" si="0"/>
        <v>9</v>
      </c>
      <c r="J1" s="151">
        <f t="shared" si="0"/>
        <v>10</v>
      </c>
      <c r="K1" s="151">
        <f t="shared" si="0"/>
        <v>11</v>
      </c>
      <c r="L1" s="151">
        <f t="shared" si="0"/>
        <v>12</v>
      </c>
      <c r="M1" s="151">
        <f t="shared" si="0"/>
        <v>13</v>
      </c>
      <c r="N1" s="151">
        <f t="shared" si="0"/>
        <v>14</v>
      </c>
      <c r="O1" s="151">
        <f t="shared" si="0"/>
        <v>15</v>
      </c>
      <c r="P1" s="151">
        <f t="shared" si="0"/>
        <v>16</v>
      </c>
      <c r="Q1" s="151">
        <f t="shared" si="0"/>
        <v>17</v>
      </c>
      <c r="R1" s="151">
        <f t="shared" si="0"/>
        <v>18</v>
      </c>
      <c r="S1" s="151">
        <f t="shared" si="0"/>
        <v>19</v>
      </c>
      <c r="T1" s="151">
        <f t="shared" si="0"/>
        <v>20</v>
      </c>
      <c r="U1" s="151">
        <f t="shared" si="0"/>
        <v>21</v>
      </c>
      <c r="V1" s="151">
        <f t="shared" si="0"/>
        <v>22</v>
      </c>
      <c r="W1" s="151">
        <f t="shared" si="0"/>
        <v>23</v>
      </c>
      <c r="X1" s="151">
        <f t="shared" si="0"/>
        <v>24</v>
      </c>
      <c r="Y1" s="151">
        <f t="shared" si="0"/>
        <v>25</v>
      </c>
      <c r="Z1" s="151">
        <f t="shared" si="0"/>
        <v>26</v>
      </c>
      <c r="AA1" s="151">
        <f t="shared" si="0"/>
        <v>27</v>
      </c>
      <c r="AB1" s="151">
        <f t="shared" si="0"/>
        <v>28</v>
      </c>
      <c r="AC1" s="151">
        <f t="shared" si="0"/>
        <v>29</v>
      </c>
      <c r="AD1" s="151">
        <f t="shared" si="0"/>
        <v>30</v>
      </c>
      <c r="AE1" s="151">
        <f t="shared" si="0"/>
        <v>31</v>
      </c>
      <c r="AF1" s="151">
        <f t="shared" si="0"/>
        <v>32</v>
      </c>
      <c r="AG1" s="151">
        <f t="shared" si="0"/>
        <v>33</v>
      </c>
      <c r="AH1" s="151">
        <f t="shared" si="0"/>
        <v>34</v>
      </c>
      <c r="AI1" s="151">
        <f t="shared" si="0"/>
        <v>35</v>
      </c>
      <c r="AJ1" s="151">
        <f t="shared" si="0"/>
        <v>36</v>
      </c>
      <c r="AK1" s="151">
        <f t="shared" si="0"/>
        <v>37</v>
      </c>
      <c r="AL1" s="151">
        <f t="shared" si="0"/>
        <v>38</v>
      </c>
      <c r="AM1" s="151">
        <f t="shared" si="0"/>
        <v>39</v>
      </c>
      <c r="AN1" s="151">
        <f t="shared" si="0"/>
        <v>40</v>
      </c>
      <c r="AO1" s="151">
        <f t="shared" si="0"/>
        <v>41</v>
      </c>
      <c r="AP1" s="151">
        <f t="shared" si="0"/>
        <v>42</v>
      </c>
      <c r="AQ1" s="151">
        <f t="shared" si="0"/>
        <v>43</v>
      </c>
      <c r="AR1" s="151">
        <f t="shared" si="0"/>
        <v>44</v>
      </c>
      <c r="AS1" s="151">
        <f t="shared" si="0"/>
        <v>45</v>
      </c>
      <c r="AT1" s="151">
        <f t="shared" si="0"/>
        <v>46</v>
      </c>
      <c r="AU1" s="151">
        <f t="shared" si="0"/>
        <v>47</v>
      </c>
      <c r="AV1" s="151">
        <f t="shared" si="0"/>
        <v>48</v>
      </c>
      <c r="AW1" s="151">
        <f t="shared" si="0"/>
        <v>49</v>
      </c>
      <c r="AX1" s="151">
        <f t="shared" si="0"/>
        <v>50</v>
      </c>
      <c r="AY1" s="151">
        <f t="shared" si="0"/>
        <v>51</v>
      </c>
    </row>
    <row r="2" spans="1:51" s="151" customFormat="1" x14ac:dyDescent="0.2">
      <c r="A2" s="152" t="s">
        <v>4651</v>
      </c>
      <c r="B2" s="152"/>
      <c r="D2" s="497">
        <v>10</v>
      </c>
      <c r="E2" s="497">
        <v>11</v>
      </c>
      <c r="F2" s="497">
        <v>12</v>
      </c>
      <c r="G2" s="497">
        <v>13</v>
      </c>
      <c r="H2" s="497">
        <v>14</v>
      </c>
      <c r="I2" s="497">
        <v>15</v>
      </c>
      <c r="J2" s="497">
        <v>16</v>
      </c>
      <c r="K2" s="497">
        <v>17</v>
      </c>
      <c r="L2" s="497">
        <v>18</v>
      </c>
      <c r="M2" s="497">
        <v>19</v>
      </c>
      <c r="N2" s="497">
        <v>20</v>
      </c>
      <c r="O2" s="497">
        <v>21</v>
      </c>
      <c r="P2" s="497">
        <v>22</v>
      </c>
      <c r="Q2" s="497">
        <v>23</v>
      </c>
      <c r="R2" s="497">
        <v>24</v>
      </c>
      <c r="S2" s="497">
        <v>1</v>
      </c>
      <c r="T2" s="497">
        <v>2</v>
      </c>
      <c r="U2" s="497">
        <v>3</v>
      </c>
      <c r="V2" s="497">
        <v>4</v>
      </c>
      <c r="W2" s="497">
        <v>5</v>
      </c>
      <c r="X2" s="497">
        <v>6</v>
      </c>
      <c r="Y2" s="497">
        <v>7</v>
      </c>
      <c r="Z2" s="497">
        <v>8</v>
      </c>
      <c r="AA2" s="497"/>
      <c r="AB2" s="497">
        <v>9</v>
      </c>
      <c r="AC2" s="497">
        <v>10</v>
      </c>
      <c r="AD2" s="497">
        <v>11</v>
      </c>
      <c r="AE2" s="497">
        <v>12</v>
      </c>
      <c r="AF2" s="497">
        <v>13</v>
      </c>
      <c r="AG2" s="497">
        <v>14</v>
      </c>
      <c r="AH2" s="497">
        <v>15</v>
      </c>
      <c r="AI2" s="497">
        <v>16</v>
      </c>
      <c r="AJ2" s="497">
        <v>17</v>
      </c>
      <c r="AK2" s="497">
        <v>18</v>
      </c>
      <c r="AL2" s="497">
        <v>19</v>
      </c>
      <c r="AM2" s="497">
        <v>20</v>
      </c>
      <c r="AN2" s="497">
        <v>21</v>
      </c>
      <c r="AO2" s="497">
        <v>22</v>
      </c>
      <c r="AP2" s="497">
        <v>23</v>
      </c>
      <c r="AQ2" s="497">
        <v>24</v>
      </c>
      <c r="AR2" s="497">
        <v>1</v>
      </c>
      <c r="AS2" s="497">
        <v>2</v>
      </c>
      <c r="AT2" s="497">
        <v>3</v>
      </c>
      <c r="AU2" s="497">
        <v>4</v>
      </c>
      <c r="AV2" s="497">
        <v>5</v>
      </c>
      <c r="AW2" s="497">
        <v>6</v>
      </c>
      <c r="AX2" s="497">
        <v>7</v>
      </c>
      <c r="AY2" s="497">
        <v>8</v>
      </c>
    </row>
    <row r="3" spans="1:51" x14ac:dyDescent="0.2">
      <c r="A3" s="151"/>
      <c r="C3">
        <v>0</v>
      </c>
      <c r="D3" s="500"/>
      <c r="E3" s="500"/>
      <c r="F3" s="500"/>
      <c r="G3" s="500"/>
      <c r="H3" s="500"/>
      <c r="I3" s="500"/>
      <c r="J3" s="500"/>
      <c r="K3" s="500"/>
      <c r="L3" s="500"/>
      <c r="M3" s="500"/>
      <c r="N3" s="500"/>
      <c r="O3" s="500"/>
      <c r="P3" s="500"/>
      <c r="Q3" s="500"/>
      <c r="R3" s="500"/>
      <c r="S3" s="500"/>
      <c r="T3" s="500"/>
      <c r="U3" s="500"/>
      <c r="V3" s="500"/>
      <c r="W3" s="500"/>
      <c r="X3" s="500"/>
      <c r="Y3" s="500"/>
      <c r="Z3" s="500"/>
      <c r="AA3" s="500"/>
      <c r="AB3" s="500"/>
      <c r="AC3" s="500"/>
      <c r="AD3" s="500"/>
      <c r="AE3" s="500"/>
      <c r="AF3" s="500"/>
      <c r="AG3" s="500"/>
      <c r="AH3" s="500"/>
      <c r="AI3" s="500"/>
      <c r="AJ3" s="500"/>
      <c r="AK3" s="500"/>
      <c r="AL3" s="500"/>
      <c r="AM3" s="500"/>
      <c r="AN3" s="500"/>
      <c r="AO3" s="500"/>
      <c r="AP3" s="500"/>
      <c r="AQ3" s="500"/>
      <c r="AR3" s="500"/>
      <c r="AS3" s="500"/>
      <c r="AT3" s="500"/>
      <c r="AU3" s="500"/>
      <c r="AV3" s="500"/>
      <c r="AW3" s="500"/>
      <c r="AX3" s="500"/>
      <c r="AY3" s="500"/>
    </row>
    <row r="4" spans="1:51" x14ac:dyDescent="0.2">
      <c r="A4" t="s">
        <v>4506</v>
      </c>
      <c r="B4" s="151" t="s">
        <v>781</v>
      </c>
      <c r="C4">
        <v>1</v>
      </c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 t="s">
        <v>134</v>
      </c>
      <c r="O4" s="500"/>
      <c r="P4" s="500"/>
      <c r="Q4" s="500"/>
      <c r="R4" s="500"/>
      <c r="S4" s="500"/>
      <c r="T4" s="500"/>
      <c r="U4" s="500"/>
      <c r="V4" s="500"/>
      <c r="W4" s="500"/>
      <c r="X4" s="500"/>
      <c r="Y4" s="500"/>
      <c r="Z4" s="500"/>
      <c r="AA4" s="500"/>
      <c r="AB4" s="500"/>
      <c r="AC4" s="500"/>
      <c r="AD4" s="500"/>
      <c r="AE4" s="500"/>
      <c r="AF4" s="500"/>
      <c r="AG4" s="500"/>
      <c r="AH4" s="500"/>
      <c r="AI4" s="500"/>
      <c r="AJ4" s="500"/>
      <c r="AK4" s="500"/>
      <c r="AL4" s="500"/>
      <c r="AM4" s="500"/>
      <c r="AN4" s="500"/>
      <c r="AO4" s="500"/>
      <c r="AP4" s="500"/>
      <c r="AQ4" s="500"/>
      <c r="AR4" s="500"/>
      <c r="AS4" s="500"/>
      <c r="AT4" s="500"/>
      <c r="AU4" s="500"/>
      <c r="AV4" s="500"/>
      <c r="AW4" s="500"/>
      <c r="AX4" s="500"/>
      <c r="AY4" s="500"/>
    </row>
    <row r="5" spans="1:51" x14ac:dyDescent="0.2">
      <c r="A5" t="s">
        <v>4507</v>
      </c>
      <c r="B5" s="151" t="s">
        <v>781</v>
      </c>
      <c r="C5">
        <v>1</v>
      </c>
      <c r="D5" s="501" t="s">
        <v>134</v>
      </c>
      <c r="E5" s="500"/>
      <c r="F5" s="500"/>
      <c r="G5" s="500"/>
      <c r="H5" s="500"/>
      <c r="I5" s="500"/>
      <c r="J5" s="500"/>
      <c r="K5" s="500"/>
      <c r="L5" s="500"/>
      <c r="M5" s="500"/>
      <c r="N5" s="500"/>
      <c r="O5" s="500"/>
      <c r="P5" s="500"/>
      <c r="Q5" s="500"/>
      <c r="R5" s="500"/>
      <c r="S5" s="500"/>
      <c r="T5" s="500"/>
      <c r="U5" s="500"/>
      <c r="V5" s="500"/>
      <c r="W5" s="500"/>
      <c r="X5" s="500"/>
      <c r="Y5" s="500"/>
      <c r="Z5" s="500"/>
      <c r="AA5" s="500"/>
      <c r="AB5" s="500" t="s">
        <v>134</v>
      </c>
      <c r="AC5" s="500"/>
      <c r="AD5" s="500"/>
      <c r="AE5" s="500"/>
      <c r="AF5" s="500"/>
      <c r="AG5" s="500"/>
      <c r="AH5" s="500"/>
      <c r="AI5" s="500"/>
      <c r="AJ5" s="500"/>
      <c r="AK5" s="500"/>
      <c r="AL5" s="500"/>
      <c r="AM5" s="500"/>
      <c r="AN5" s="500"/>
      <c r="AO5" s="500"/>
      <c r="AP5" s="500"/>
      <c r="AQ5" s="500"/>
      <c r="AR5" s="500"/>
      <c r="AS5" s="500"/>
      <c r="AT5" s="500"/>
      <c r="AU5" s="500"/>
      <c r="AV5" s="500"/>
      <c r="AW5" s="500"/>
      <c r="AX5" s="500"/>
      <c r="AY5" s="500"/>
    </row>
    <row r="6" spans="1:51" x14ac:dyDescent="0.2">
      <c r="A6" t="s">
        <v>4508</v>
      </c>
      <c r="B6" s="151" t="s">
        <v>781</v>
      </c>
      <c r="C6">
        <v>2</v>
      </c>
      <c r="D6" s="501" t="s">
        <v>134</v>
      </c>
      <c r="E6" s="500"/>
      <c r="F6" s="500"/>
      <c r="G6" s="500"/>
      <c r="H6" s="500"/>
      <c r="I6" s="500"/>
      <c r="J6" s="500"/>
      <c r="K6" s="500"/>
      <c r="L6" s="500"/>
      <c r="M6" s="500"/>
      <c r="N6" s="500"/>
      <c r="O6" s="500"/>
      <c r="P6" s="501" t="s">
        <v>134</v>
      </c>
      <c r="Q6" s="500"/>
      <c r="R6" s="500"/>
      <c r="S6" s="500"/>
      <c r="T6" s="500"/>
      <c r="U6" s="500"/>
      <c r="V6" s="500"/>
      <c r="W6" s="500"/>
      <c r="X6" s="500"/>
      <c r="Y6" s="500"/>
      <c r="Z6" s="500"/>
      <c r="AA6" s="500"/>
      <c r="AB6" s="500" t="s">
        <v>134</v>
      </c>
      <c r="AC6" s="500"/>
      <c r="AD6" s="500"/>
      <c r="AE6" s="500"/>
      <c r="AF6" s="500"/>
      <c r="AG6" s="500"/>
      <c r="AH6" s="500"/>
      <c r="AI6" s="500"/>
      <c r="AJ6" s="500"/>
      <c r="AK6" s="500"/>
      <c r="AL6" s="500"/>
      <c r="AM6" s="500"/>
      <c r="AN6" s="500" t="s">
        <v>134</v>
      </c>
      <c r="AO6" s="500"/>
      <c r="AP6" s="500"/>
      <c r="AQ6" s="500"/>
      <c r="AR6" s="500"/>
      <c r="AS6" s="500"/>
      <c r="AT6" s="500"/>
      <c r="AU6" s="500"/>
      <c r="AV6" s="500"/>
      <c r="AW6" s="500"/>
      <c r="AX6" s="500"/>
      <c r="AY6" s="500"/>
    </row>
    <row r="7" spans="1:51" x14ac:dyDescent="0.2">
      <c r="A7" t="s">
        <v>4509</v>
      </c>
      <c r="B7" s="151" t="s">
        <v>781</v>
      </c>
      <c r="C7">
        <v>3</v>
      </c>
      <c r="D7" s="501" t="s">
        <v>134</v>
      </c>
      <c r="E7" s="500"/>
      <c r="F7" s="500"/>
      <c r="G7" s="500"/>
      <c r="H7" s="500"/>
      <c r="I7" s="500"/>
      <c r="J7" s="500"/>
      <c r="K7" s="500"/>
      <c r="L7" s="501" t="s">
        <v>134</v>
      </c>
      <c r="M7" s="500"/>
      <c r="N7" s="500"/>
      <c r="O7" s="500"/>
      <c r="P7" s="500"/>
      <c r="Q7" s="500"/>
      <c r="R7" s="500"/>
      <c r="S7" s="500"/>
      <c r="T7" s="501" t="s">
        <v>134</v>
      </c>
      <c r="U7" s="500"/>
      <c r="V7" s="500"/>
      <c r="W7" s="500"/>
      <c r="X7" s="500"/>
      <c r="Y7" s="500"/>
      <c r="Z7" s="500"/>
      <c r="AA7" s="500"/>
      <c r="AB7" s="500" t="s">
        <v>134</v>
      </c>
      <c r="AC7" s="500"/>
      <c r="AD7" s="500"/>
      <c r="AE7" s="500"/>
      <c r="AF7" s="500"/>
      <c r="AG7" s="500"/>
      <c r="AH7" s="500"/>
      <c r="AI7" s="500"/>
      <c r="AJ7" s="500" t="s">
        <v>134</v>
      </c>
      <c r="AK7" s="500"/>
      <c r="AL7" s="500"/>
      <c r="AM7" s="500"/>
      <c r="AN7" s="500"/>
      <c r="AO7" s="500"/>
      <c r="AP7" s="500"/>
      <c r="AQ7" s="500"/>
      <c r="AR7" s="500" t="s">
        <v>134</v>
      </c>
      <c r="AS7" s="500"/>
      <c r="AT7" s="500"/>
      <c r="AU7" s="500"/>
      <c r="AV7" s="500"/>
      <c r="AW7" s="500"/>
      <c r="AX7" s="500"/>
      <c r="AY7" s="500"/>
    </row>
    <row r="8" spans="1:51" x14ac:dyDescent="0.2">
      <c r="A8" t="s">
        <v>4510</v>
      </c>
      <c r="B8" s="151" t="s">
        <v>781</v>
      </c>
      <c r="C8">
        <v>4</v>
      </c>
      <c r="D8" s="500"/>
      <c r="E8" s="500"/>
      <c r="F8" s="501" t="s">
        <v>134</v>
      </c>
      <c r="G8" s="500"/>
      <c r="H8" s="500"/>
      <c r="I8" s="500"/>
      <c r="J8" s="500"/>
      <c r="K8" s="500"/>
      <c r="L8" s="501" t="s">
        <v>134</v>
      </c>
      <c r="M8" s="500"/>
      <c r="N8" s="500"/>
      <c r="O8" s="500"/>
      <c r="P8" s="501"/>
      <c r="Q8" s="500"/>
      <c r="R8" s="501" t="s">
        <v>134</v>
      </c>
      <c r="S8" s="500"/>
      <c r="T8" s="500"/>
      <c r="U8" s="500"/>
      <c r="V8" s="500"/>
      <c r="W8" s="500"/>
      <c r="X8" s="501" t="s">
        <v>134</v>
      </c>
      <c r="Y8" s="500"/>
      <c r="Z8" s="500"/>
      <c r="AA8" s="500"/>
      <c r="AB8" s="500" t="s">
        <v>134</v>
      </c>
      <c r="AC8" s="500"/>
      <c r="AD8" s="500"/>
      <c r="AE8" s="500"/>
      <c r="AF8" s="500"/>
      <c r="AG8" s="500"/>
      <c r="AH8" s="500" t="s">
        <v>134</v>
      </c>
      <c r="AI8" s="500"/>
      <c r="AJ8" s="500"/>
      <c r="AK8" s="500"/>
      <c r="AL8" s="500"/>
      <c r="AM8" s="500"/>
      <c r="AN8" s="500" t="s">
        <v>134</v>
      </c>
      <c r="AO8" s="500"/>
      <c r="AP8" s="500"/>
      <c r="AQ8" s="500"/>
      <c r="AR8" s="500"/>
      <c r="AS8" s="500"/>
      <c r="AT8" s="500" t="s">
        <v>134</v>
      </c>
      <c r="AU8" s="500"/>
      <c r="AV8" s="500"/>
      <c r="AW8" s="500"/>
      <c r="AX8" s="500"/>
      <c r="AY8" s="500"/>
    </row>
    <row r="9" spans="1:51" x14ac:dyDescent="0.2">
      <c r="A9" t="s">
        <v>4511</v>
      </c>
      <c r="B9" s="151" t="s">
        <v>781</v>
      </c>
      <c r="C9">
        <v>5</v>
      </c>
      <c r="D9" s="500"/>
      <c r="E9" s="500"/>
      <c r="F9" s="500"/>
      <c r="G9" s="500"/>
      <c r="H9" s="500"/>
      <c r="I9" s="500"/>
      <c r="J9" s="500"/>
      <c r="K9" s="500"/>
      <c r="L9" s="500"/>
      <c r="M9" s="500"/>
      <c r="N9" s="500"/>
      <c r="O9" s="500"/>
      <c r="P9" s="500"/>
      <c r="Q9" s="500"/>
      <c r="R9" s="500"/>
      <c r="S9" s="500"/>
      <c r="T9" s="500"/>
      <c r="U9" s="500"/>
      <c r="V9" s="500"/>
      <c r="W9" s="500"/>
      <c r="X9" s="500"/>
      <c r="Y9" s="500"/>
      <c r="Z9" s="500"/>
      <c r="AA9" s="500"/>
      <c r="AB9" s="500" t="s">
        <v>134</v>
      </c>
      <c r="AC9" s="500"/>
      <c r="AD9" s="500"/>
      <c r="AE9" s="500" t="s">
        <v>134</v>
      </c>
      <c r="AF9" s="500"/>
      <c r="AG9" s="500"/>
      <c r="AH9" s="500" t="s">
        <v>134</v>
      </c>
      <c r="AI9" s="500"/>
      <c r="AJ9" s="500"/>
      <c r="AK9" s="500" t="s">
        <v>134</v>
      </c>
      <c r="AL9" s="500"/>
      <c r="AM9" s="500"/>
      <c r="AN9" s="500"/>
      <c r="AO9" s="500" t="s">
        <v>134</v>
      </c>
      <c r="AP9" s="500"/>
      <c r="AQ9" s="500"/>
      <c r="AR9" s="500"/>
      <c r="AS9" s="500"/>
      <c r="AT9" s="500"/>
      <c r="AU9" s="500"/>
      <c r="AV9" s="500"/>
      <c r="AW9" s="500"/>
      <c r="AX9" s="500"/>
      <c r="AY9" s="500"/>
    </row>
    <row r="10" spans="1:51" x14ac:dyDescent="0.2">
      <c r="A10" t="s">
        <v>4512</v>
      </c>
      <c r="B10" s="151" t="s">
        <v>781</v>
      </c>
      <c r="C10">
        <v>6</v>
      </c>
      <c r="D10" s="500" t="s">
        <v>134</v>
      </c>
      <c r="E10" s="500"/>
      <c r="F10" s="500"/>
      <c r="G10" s="500"/>
      <c r="H10" s="500" t="s">
        <v>134</v>
      </c>
      <c r="I10" s="500"/>
      <c r="J10" s="500"/>
      <c r="K10" s="500"/>
      <c r="L10" s="500" t="s">
        <v>134</v>
      </c>
      <c r="M10" s="500"/>
      <c r="N10" s="500"/>
      <c r="O10" s="500"/>
      <c r="P10" s="500" t="s">
        <v>134</v>
      </c>
      <c r="Q10" s="500"/>
      <c r="R10" s="500"/>
      <c r="S10" s="500"/>
      <c r="T10" s="500" t="s">
        <v>134</v>
      </c>
      <c r="U10" s="500"/>
      <c r="V10" s="500"/>
      <c r="W10" s="500"/>
      <c r="X10" s="500" t="s">
        <v>134</v>
      </c>
      <c r="Y10" s="500"/>
      <c r="Z10" s="500"/>
      <c r="AA10" s="500"/>
      <c r="AB10" s="500" t="s">
        <v>134</v>
      </c>
      <c r="AC10" s="500"/>
      <c r="AD10" s="500"/>
      <c r="AE10" s="500"/>
      <c r="AF10" s="500" t="s">
        <v>134</v>
      </c>
      <c r="AG10" s="500"/>
      <c r="AH10" s="500"/>
      <c r="AI10" s="500"/>
      <c r="AJ10" s="500" t="s">
        <v>134</v>
      </c>
      <c r="AK10" s="500"/>
      <c r="AL10" s="500"/>
      <c r="AM10" s="500"/>
      <c r="AN10" s="500" t="s">
        <v>134</v>
      </c>
      <c r="AO10" s="500"/>
      <c r="AP10" s="500"/>
      <c r="AQ10" s="500"/>
      <c r="AR10" s="500" t="s">
        <v>134</v>
      </c>
      <c r="AS10" s="500"/>
      <c r="AT10" s="500"/>
      <c r="AU10" s="500"/>
      <c r="AV10" s="500" t="s">
        <v>134</v>
      </c>
      <c r="AW10" s="500"/>
      <c r="AX10" s="500"/>
      <c r="AY10" s="500"/>
    </row>
    <row r="11" spans="1:51" x14ac:dyDescent="0.2">
      <c r="A11" t="s">
        <v>4513</v>
      </c>
      <c r="B11" s="151" t="s">
        <v>781</v>
      </c>
      <c r="C11">
        <v>7</v>
      </c>
      <c r="D11" s="500"/>
      <c r="E11" s="500"/>
      <c r="F11" s="500"/>
      <c r="G11" s="500"/>
      <c r="H11" s="500"/>
      <c r="I11" s="500"/>
      <c r="J11" s="500"/>
      <c r="K11" s="500"/>
      <c r="L11" s="500"/>
      <c r="M11" s="500"/>
      <c r="N11" s="500"/>
      <c r="O11" s="500"/>
      <c r="P11" s="500"/>
      <c r="Q11" s="500"/>
      <c r="R11" s="500"/>
      <c r="S11" s="500"/>
      <c r="T11" s="500"/>
      <c r="U11" s="500"/>
      <c r="V11" s="500"/>
      <c r="W11" s="500"/>
      <c r="X11" s="500"/>
      <c r="Y11" s="500"/>
      <c r="Z11" s="500"/>
      <c r="AA11" s="500"/>
      <c r="AB11" s="500"/>
      <c r="AC11" s="500"/>
      <c r="AD11" s="500"/>
      <c r="AE11" s="500"/>
      <c r="AF11" s="500"/>
      <c r="AG11" s="500"/>
      <c r="AH11" s="500"/>
      <c r="AI11" s="500"/>
      <c r="AJ11" s="500"/>
      <c r="AK11" s="500"/>
      <c r="AL11" s="500"/>
      <c r="AM11" s="500"/>
      <c r="AN11" s="500"/>
      <c r="AO11" s="500"/>
      <c r="AP11" s="500"/>
      <c r="AQ11" s="500"/>
      <c r="AR11" s="500"/>
      <c r="AS11" s="500"/>
      <c r="AT11" s="500"/>
      <c r="AU11" s="500"/>
      <c r="AV11" s="500"/>
      <c r="AW11" s="500"/>
      <c r="AX11" s="500"/>
      <c r="AY11" s="500"/>
    </row>
    <row r="12" spans="1:51" x14ac:dyDescent="0.2">
      <c r="A12" t="s">
        <v>4514</v>
      </c>
      <c r="B12" s="151" t="s">
        <v>781</v>
      </c>
      <c r="C12">
        <v>8</v>
      </c>
      <c r="D12" s="500"/>
      <c r="E12" s="500" t="s">
        <v>134</v>
      </c>
      <c r="F12" s="500"/>
      <c r="G12" s="500"/>
      <c r="H12" s="500" t="s">
        <v>134</v>
      </c>
      <c r="I12" s="500"/>
      <c r="J12" s="500"/>
      <c r="K12" s="500" t="s">
        <v>134</v>
      </c>
      <c r="L12" s="500"/>
      <c r="M12" s="500"/>
      <c r="N12" s="500" t="s">
        <v>134</v>
      </c>
      <c r="O12" s="500"/>
      <c r="P12" s="500"/>
      <c r="Q12" s="500" t="s">
        <v>134</v>
      </c>
      <c r="R12" s="500"/>
      <c r="S12" s="500"/>
      <c r="T12" s="500" t="s">
        <v>134</v>
      </c>
      <c r="U12" s="500"/>
      <c r="V12" s="500"/>
      <c r="W12" s="500" t="s">
        <v>134</v>
      </c>
      <c r="X12" s="500"/>
      <c r="Y12" s="500"/>
      <c r="Z12" s="500" t="s">
        <v>134</v>
      </c>
      <c r="AA12" s="500"/>
      <c r="AB12" s="500"/>
      <c r="AC12" s="500"/>
      <c r="AD12" s="500" t="s">
        <v>134</v>
      </c>
      <c r="AE12" s="500"/>
      <c r="AF12" s="500"/>
      <c r="AG12" s="500" t="s">
        <v>134</v>
      </c>
      <c r="AH12" s="500"/>
      <c r="AI12" s="500"/>
      <c r="AJ12" s="500" t="s">
        <v>134</v>
      </c>
      <c r="AK12" s="500"/>
      <c r="AL12" s="500"/>
      <c r="AM12" s="500" t="s">
        <v>134</v>
      </c>
      <c r="AN12" s="500"/>
      <c r="AO12" s="500"/>
      <c r="AP12" s="500" t="s">
        <v>134</v>
      </c>
      <c r="AQ12" s="500"/>
      <c r="AR12" s="500"/>
      <c r="AS12" s="500" t="s">
        <v>134</v>
      </c>
      <c r="AT12" s="500"/>
      <c r="AU12" s="500"/>
      <c r="AV12" s="500" t="s">
        <v>134</v>
      </c>
      <c r="AW12" s="500"/>
      <c r="AX12" s="500"/>
      <c r="AY12" s="500" t="s">
        <v>134</v>
      </c>
    </row>
    <row r="13" spans="1:51" x14ac:dyDescent="0.2">
      <c r="A13" t="s">
        <v>4515</v>
      </c>
      <c r="B13" s="151" t="s">
        <v>781</v>
      </c>
      <c r="C13">
        <v>9</v>
      </c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0"/>
      <c r="O13" s="500"/>
      <c r="P13" s="500"/>
      <c r="Q13" s="500"/>
      <c r="R13" s="500"/>
      <c r="S13" s="500"/>
      <c r="T13" s="500"/>
      <c r="U13" s="500"/>
      <c r="V13" s="500"/>
      <c r="W13" s="500"/>
      <c r="X13" s="500"/>
      <c r="Y13" s="500"/>
      <c r="Z13" s="500"/>
      <c r="AA13" s="500"/>
      <c r="AB13" s="500"/>
      <c r="AC13" s="500"/>
      <c r="AD13" s="500"/>
      <c r="AE13" s="500"/>
      <c r="AF13" s="500"/>
      <c r="AG13" s="500"/>
      <c r="AH13" s="500"/>
      <c r="AI13" s="500"/>
      <c r="AJ13" s="500"/>
      <c r="AK13" s="500"/>
      <c r="AL13" s="500"/>
      <c r="AM13" s="500"/>
      <c r="AN13" s="500"/>
      <c r="AO13" s="500"/>
      <c r="AP13" s="500"/>
      <c r="AQ13" s="500"/>
      <c r="AR13" s="500"/>
      <c r="AS13" s="500"/>
      <c r="AT13" s="500"/>
      <c r="AU13" s="500"/>
      <c r="AV13" s="500"/>
      <c r="AW13" s="500"/>
      <c r="AX13" s="500"/>
      <c r="AY13" s="500"/>
    </row>
    <row r="14" spans="1:51" x14ac:dyDescent="0.2">
      <c r="A14" t="s">
        <v>4516</v>
      </c>
      <c r="B14" s="151" t="s">
        <v>781</v>
      </c>
      <c r="C14">
        <v>10</v>
      </c>
      <c r="D14" s="500"/>
      <c r="E14" s="500"/>
      <c r="F14" s="500"/>
      <c r="G14" s="500"/>
      <c r="H14" s="500"/>
      <c r="I14" s="500"/>
      <c r="J14" s="500"/>
      <c r="K14" s="500"/>
      <c r="L14" s="500"/>
      <c r="M14" s="500"/>
      <c r="N14" s="500"/>
      <c r="O14" s="500"/>
      <c r="P14" s="500"/>
      <c r="Q14" s="500"/>
      <c r="R14" s="500"/>
      <c r="S14" s="500"/>
      <c r="T14" s="500"/>
      <c r="U14" s="500"/>
      <c r="V14" s="500"/>
      <c r="W14" s="500"/>
      <c r="X14" s="500"/>
      <c r="Y14" s="500"/>
      <c r="Z14" s="500"/>
      <c r="AA14" s="500"/>
      <c r="AB14" s="500"/>
      <c r="AC14" s="500"/>
      <c r="AD14" s="500"/>
      <c r="AE14" s="500"/>
      <c r="AF14" s="500"/>
      <c r="AG14" s="500"/>
      <c r="AH14" s="500"/>
      <c r="AI14" s="500"/>
      <c r="AJ14" s="500"/>
      <c r="AK14" s="500"/>
      <c r="AL14" s="500"/>
      <c r="AM14" s="500"/>
      <c r="AN14" s="500"/>
      <c r="AO14" s="500"/>
      <c r="AP14" s="500"/>
      <c r="AQ14" s="500"/>
      <c r="AR14" s="500"/>
      <c r="AS14" s="500"/>
      <c r="AT14" s="500"/>
      <c r="AU14" s="500"/>
      <c r="AV14" s="500"/>
      <c r="AW14" s="500"/>
      <c r="AX14" s="500"/>
      <c r="AY14" s="500"/>
    </row>
    <row r="15" spans="1:51" x14ac:dyDescent="0.2">
      <c r="A15" t="s">
        <v>4517</v>
      </c>
      <c r="B15" s="151" t="s">
        <v>781</v>
      </c>
      <c r="C15">
        <v>11</v>
      </c>
      <c r="D15" s="500"/>
      <c r="E15" s="500"/>
      <c r="F15" s="500"/>
      <c r="G15" s="500"/>
      <c r="H15" s="500"/>
      <c r="I15" s="500"/>
      <c r="J15" s="500"/>
      <c r="K15" s="500"/>
      <c r="L15" s="500"/>
      <c r="M15" s="500"/>
      <c r="N15" s="500"/>
      <c r="O15" s="500"/>
      <c r="P15" s="500"/>
      <c r="Q15" s="500"/>
      <c r="R15" s="500"/>
      <c r="S15" s="500"/>
      <c r="T15" s="500"/>
      <c r="U15" s="500"/>
      <c r="V15" s="500"/>
      <c r="W15" s="500"/>
      <c r="X15" s="500"/>
      <c r="Y15" s="500"/>
      <c r="Z15" s="500"/>
      <c r="AA15" s="500"/>
      <c r="AB15" s="500"/>
      <c r="AC15" s="500"/>
      <c r="AD15" s="500"/>
      <c r="AE15" s="500"/>
      <c r="AF15" s="500"/>
      <c r="AG15" s="500"/>
      <c r="AH15" s="500"/>
      <c r="AI15" s="500"/>
      <c r="AJ15" s="500"/>
      <c r="AK15" s="500"/>
      <c r="AL15" s="500"/>
      <c r="AM15" s="500"/>
      <c r="AN15" s="500"/>
      <c r="AO15" s="500"/>
      <c r="AP15" s="500"/>
      <c r="AQ15" s="500"/>
      <c r="AR15" s="500"/>
      <c r="AS15" s="500"/>
      <c r="AT15" s="500"/>
      <c r="AU15" s="500"/>
      <c r="AV15" s="500"/>
      <c r="AW15" s="500"/>
      <c r="AX15" s="500"/>
      <c r="AY15" s="500"/>
    </row>
    <row r="16" spans="1:51" x14ac:dyDescent="0.2">
      <c r="A16" t="s">
        <v>4518</v>
      </c>
      <c r="B16" s="151" t="s">
        <v>781</v>
      </c>
      <c r="C16">
        <v>12</v>
      </c>
      <c r="D16" s="500" t="s">
        <v>134</v>
      </c>
      <c r="E16" s="500"/>
      <c r="F16" s="500" t="s">
        <v>134</v>
      </c>
      <c r="G16" s="500"/>
      <c r="H16" s="500" t="s">
        <v>134</v>
      </c>
      <c r="I16" s="500"/>
      <c r="J16" s="500" t="s">
        <v>134</v>
      </c>
      <c r="K16" s="500"/>
      <c r="L16" s="500" t="s">
        <v>134</v>
      </c>
      <c r="M16" s="500"/>
      <c r="N16" s="500" t="s">
        <v>134</v>
      </c>
      <c r="O16" s="500"/>
      <c r="P16" s="500" t="s">
        <v>134</v>
      </c>
      <c r="Q16" s="500"/>
      <c r="R16" s="500" t="s">
        <v>134</v>
      </c>
      <c r="S16" s="500"/>
      <c r="T16" s="500" t="s">
        <v>134</v>
      </c>
      <c r="U16" s="500"/>
      <c r="V16" s="500" t="s">
        <v>134</v>
      </c>
      <c r="W16" s="500"/>
      <c r="X16" s="500" t="s">
        <v>134</v>
      </c>
      <c r="Y16" s="500"/>
      <c r="Z16" s="500" t="s">
        <v>134</v>
      </c>
      <c r="AA16" s="500"/>
      <c r="AB16" s="500" t="s">
        <v>134</v>
      </c>
      <c r="AC16" s="500"/>
      <c r="AD16" s="500" t="s">
        <v>134</v>
      </c>
      <c r="AE16" s="500"/>
      <c r="AF16" s="500" t="s">
        <v>134</v>
      </c>
      <c r="AG16" s="500"/>
      <c r="AH16" s="500" t="s">
        <v>134</v>
      </c>
      <c r="AI16" s="500"/>
      <c r="AJ16" s="500" t="s">
        <v>134</v>
      </c>
      <c r="AK16" s="500"/>
      <c r="AL16" s="500" t="s">
        <v>134</v>
      </c>
      <c r="AM16" s="500"/>
      <c r="AN16" s="500" t="s">
        <v>134</v>
      </c>
      <c r="AO16" s="500"/>
      <c r="AP16" s="500" t="s">
        <v>134</v>
      </c>
      <c r="AQ16" s="500"/>
      <c r="AR16" s="500" t="s">
        <v>134</v>
      </c>
      <c r="AS16" s="500"/>
      <c r="AT16" s="500" t="s">
        <v>134</v>
      </c>
      <c r="AU16" s="500"/>
      <c r="AV16" s="500" t="s">
        <v>134</v>
      </c>
      <c r="AW16" s="500"/>
      <c r="AX16" s="500" t="s">
        <v>134</v>
      </c>
      <c r="AY16" s="500"/>
    </row>
    <row r="17" spans="1:51" s="151" customFormat="1" x14ac:dyDescent="0.2">
      <c r="A17" s="152" t="s">
        <v>5283</v>
      </c>
      <c r="B17" s="151" t="s">
        <v>781</v>
      </c>
      <c r="C17" s="151">
        <v>24</v>
      </c>
      <c r="D17" s="501" t="s">
        <v>134</v>
      </c>
      <c r="E17" s="501" t="s">
        <v>134</v>
      </c>
      <c r="F17" s="501" t="s">
        <v>134</v>
      </c>
      <c r="G17" s="501" t="s">
        <v>134</v>
      </c>
      <c r="H17" s="501" t="s">
        <v>134</v>
      </c>
      <c r="I17" s="501" t="s">
        <v>134</v>
      </c>
      <c r="J17" s="501" t="s">
        <v>134</v>
      </c>
      <c r="K17" s="501" t="s">
        <v>134</v>
      </c>
      <c r="L17" s="501" t="s">
        <v>134</v>
      </c>
      <c r="M17" s="501" t="s">
        <v>134</v>
      </c>
      <c r="N17" s="501" t="s">
        <v>134</v>
      </c>
      <c r="O17" s="501" t="s">
        <v>134</v>
      </c>
      <c r="P17" s="501" t="s">
        <v>134</v>
      </c>
      <c r="Q17" s="501" t="s">
        <v>134</v>
      </c>
      <c r="R17" s="501" t="s">
        <v>134</v>
      </c>
      <c r="S17" s="501" t="s">
        <v>134</v>
      </c>
      <c r="T17" s="501" t="s">
        <v>134</v>
      </c>
      <c r="U17" s="501" t="s">
        <v>134</v>
      </c>
      <c r="V17" s="501" t="s">
        <v>134</v>
      </c>
      <c r="W17" s="501" t="s">
        <v>134</v>
      </c>
      <c r="X17" s="501" t="s">
        <v>134</v>
      </c>
      <c r="Y17" s="501" t="s">
        <v>134</v>
      </c>
      <c r="Z17" s="501" t="s">
        <v>134</v>
      </c>
      <c r="AA17" s="501"/>
      <c r="AB17" s="501" t="s">
        <v>134</v>
      </c>
      <c r="AC17" s="501" t="s">
        <v>134</v>
      </c>
      <c r="AD17" s="501" t="s">
        <v>134</v>
      </c>
      <c r="AE17" s="501" t="s">
        <v>134</v>
      </c>
      <c r="AF17" s="501" t="s">
        <v>134</v>
      </c>
      <c r="AG17" s="501" t="s">
        <v>134</v>
      </c>
      <c r="AH17" s="501" t="s">
        <v>134</v>
      </c>
      <c r="AI17" s="501" t="s">
        <v>134</v>
      </c>
      <c r="AJ17" s="501" t="s">
        <v>134</v>
      </c>
      <c r="AK17" s="501" t="s">
        <v>134</v>
      </c>
      <c r="AL17" s="501" t="s">
        <v>134</v>
      </c>
      <c r="AM17" s="501" t="s">
        <v>134</v>
      </c>
      <c r="AN17" s="501" t="s">
        <v>134</v>
      </c>
      <c r="AO17" s="501" t="s">
        <v>134</v>
      </c>
      <c r="AP17" s="501" t="s">
        <v>134</v>
      </c>
      <c r="AQ17" s="501" t="s">
        <v>134</v>
      </c>
      <c r="AR17" s="501" t="s">
        <v>134</v>
      </c>
      <c r="AS17" s="501" t="s">
        <v>134</v>
      </c>
      <c r="AT17" s="501" t="s">
        <v>134</v>
      </c>
      <c r="AU17" s="501" t="s">
        <v>134</v>
      </c>
      <c r="AV17" s="501" t="s">
        <v>134</v>
      </c>
      <c r="AW17" s="501" t="s">
        <v>134</v>
      </c>
      <c r="AX17" s="501" t="s">
        <v>134</v>
      </c>
      <c r="AY17" s="501" t="s">
        <v>134</v>
      </c>
    </row>
    <row r="18" spans="1:51" x14ac:dyDescent="0.2">
      <c r="A18" t="s">
        <v>4519</v>
      </c>
      <c r="B18" s="151" t="s">
        <v>7528</v>
      </c>
      <c r="C18">
        <v>1</v>
      </c>
      <c r="D18" s="500"/>
      <c r="E18" s="500"/>
      <c r="F18" s="500"/>
      <c r="G18" s="500"/>
      <c r="H18" s="500"/>
      <c r="I18" s="500"/>
      <c r="J18" s="500"/>
      <c r="K18" s="500"/>
      <c r="L18" s="500"/>
      <c r="M18" s="500"/>
      <c r="N18" s="500"/>
      <c r="O18" s="500"/>
      <c r="P18" s="500"/>
      <c r="Q18" s="500"/>
      <c r="R18" s="500"/>
      <c r="S18" s="500"/>
      <c r="T18" s="500"/>
      <c r="U18" s="500"/>
      <c r="V18" s="500"/>
      <c r="W18" s="500"/>
      <c r="X18" s="500"/>
      <c r="Y18" s="500"/>
      <c r="Z18" s="500"/>
      <c r="AA18" s="500"/>
      <c r="AB18" s="500"/>
      <c r="AC18" s="500"/>
      <c r="AD18" s="500"/>
      <c r="AE18" s="500"/>
      <c r="AF18" s="500"/>
      <c r="AG18" s="500"/>
      <c r="AH18" s="500"/>
      <c r="AI18" s="500"/>
      <c r="AJ18" s="500"/>
      <c r="AK18" s="500"/>
      <c r="AL18" s="500"/>
      <c r="AM18" s="500"/>
      <c r="AN18" s="500"/>
      <c r="AO18" s="500"/>
      <c r="AP18" s="500"/>
      <c r="AQ18" s="500"/>
      <c r="AR18" s="500"/>
      <c r="AS18" s="500"/>
      <c r="AT18" s="500"/>
      <c r="AU18" s="500"/>
      <c r="AV18" s="500"/>
      <c r="AW18" s="500"/>
      <c r="AX18" s="500"/>
      <c r="AY18" s="500"/>
    </row>
    <row r="19" spans="1:51" x14ac:dyDescent="0.2">
      <c r="A19" t="s">
        <v>4520</v>
      </c>
      <c r="B19" s="151" t="s">
        <v>7529</v>
      </c>
      <c r="C19">
        <v>1</v>
      </c>
      <c r="D19" s="500"/>
      <c r="E19" s="500"/>
      <c r="F19" s="500"/>
      <c r="G19" s="500"/>
      <c r="H19" s="500"/>
      <c r="I19" s="500"/>
      <c r="J19" s="500"/>
      <c r="K19" s="500"/>
      <c r="L19" s="500"/>
      <c r="M19" s="500"/>
      <c r="N19" s="500"/>
      <c r="O19" s="500"/>
      <c r="P19" s="500"/>
      <c r="Q19" s="500"/>
      <c r="R19" s="500"/>
      <c r="S19" s="500"/>
      <c r="T19" s="500"/>
      <c r="U19" s="500"/>
      <c r="V19" s="500"/>
      <c r="W19" s="500"/>
      <c r="X19" s="500"/>
      <c r="Y19" s="500"/>
      <c r="Z19" s="500"/>
      <c r="AA19" s="500"/>
      <c r="AB19" s="500"/>
      <c r="AC19" s="500"/>
      <c r="AD19" s="500"/>
      <c r="AE19" s="500"/>
      <c r="AF19" s="500"/>
      <c r="AG19" s="500"/>
      <c r="AH19" s="500"/>
      <c r="AI19" s="500"/>
      <c r="AJ19" s="500"/>
      <c r="AK19" s="500"/>
      <c r="AL19" s="500"/>
      <c r="AM19" s="500"/>
      <c r="AN19" s="500"/>
      <c r="AO19" s="500"/>
      <c r="AP19" s="500"/>
      <c r="AQ19" s="500"/>
      <c r="AR19" s="500"/>
      <c r="AS19" s="500"/>
      <c r="AT19" s="500"/>
      <c r="AU19" s="500"/>
      <c r="AV19" s="500"/>
      <c r="AW19" s="500"/>
      <c r="AX19" s="500"/>
      <c r="AY19" s="500"/>
    </row>
    <row r="20" spans="1:51" x14ac:dyDescent="0.2">
      <c r="A20" s="152" t="s">
        <v>5282</v>
      </c>
      <c r="B20" s="155" t="s">
        <v>7530</v>
      </c>
      <c r="C20">
        <v>1</v>
      </c>
      <c r="D20" s="500"/>
      <c r="E20" s="500"/>
      <c r="F20" s="500"/>
      <c r="G20" s="500"/>
      <c r="H20" s="500"/>
      <c r="I20" s="500"/>
      <c r="J20" s="500"/>
      <c r="K20" s="500"/>
      <c r="L20" s="500"/>
      <c r="M20" s="500"/>
      <c r="N20" s="500"/>
      <c r="O20" s="500"/>
      <c r="P20" s="500"/>
      <c r="Q20" s="500"/>
      <c r="R20" s="500"/>
      <c r="S20" s="500"/>
      <c r="T20" s="500"/>
      <c r="U20" s="500"/>
      <c r="V20" s="500"/>
      <c r="W20" s="500"/>
      <c r="X20" s="500"/>
      <c r="Y20" s="500"/>
      <c r="Z20" s="500"/>
      <c r="AA20" s="500"/>
      <c r="AB20" s="500"/>
      <c r="AC20" s="500"/>
      <c r="AD20" s="500"/>
      <c r="AE20" s="500"/>
      <c r="AF20" s="500"/>
      <c r="AG20" s="500"/>
      <c r="AH20" s="500"/>
      <c r="AI20" s="500"/>
      <c r="AJ20" s="500"/>
      <c r="AK20" s="500"/>
      <c r="AL20" s="500"/>
      <c r="AM20" s="500"/>
      <c r="AN20" s="500"/>
      <c r="AO20" s="500"/>
      <c r="AP20" s="500"/>
      <c r="AQ20" s="500"/>
      <c r="AR20" s="500"/>
      <c r="AS20" s="500"/>
      <c r="AT20" s="500"/>
      <c r="AU20" s="500"/>
      <c r="AV20" s="500"/>
      <c r="AW20" s="500"/>
      <c r="AX20" s="500"/>
      <c r="AY20" s="500"/>
    </row>
    <row r="21" spans="1:51" x14ac:dyDescent="0.2">
      <c r="A21" t="s">
        <v>4521</v>
      </c>
      <c r="B21" s="155" t="s">
        <v>782</v>
      </c>
      <c r="C21">
        <v>1</v>
      </c>
      <c r="D21" s="500"/>
      <c r="E21" s="500"/>
      <c r="F21" s="500"/>
      <c r="G21" s="500"/>
      <c r="H21" s="500"/>
      <c r="I21" s="500"/>
      <c r="J21" s="500"/>
      <c r="K21" s="500"/>
      <c r="L21" s="500"/>
      <c r="M21" s="500"/>
      <c r="N21" s="500"/>
      <c r="O21" s="500"/>
      <c r="P21" s="500"/>
      <c r="Q21" s="500"/>
      <c r="R21" s="500"/>
      <c r="S21" s="500"/>
      <c r="T21" s="500"/>
      <c r="U21" s="500"/>
      <c r="V21" s="500"/>
      <c r="W21" s="500"/>
      <c r="X21" s="500"/>
      <c r="Y21" s="500"/>
      <c r="Z21" s="500"/>
      <c r="AA21" s="500"/>
      <c r="AB21" s="500"/>
      <c r="AC21" s="500"/>
      <c r="AD21" s="500"/>
      <c r="AE21" s="500"/>
      <c r="AF21" s="500"/>
      <c r="AG21" s="500"/>
      <c r="AH21" s="500"/>
      <c r="AI21" s="500"/>
      <c r="AJ21" s="500"/>
      <c r="AK21" s="500"/>
      <c r="AL21" s="500"/>
      <c r="AM21" s="500"/>
      <c r="AN21" s="500"/>
      <c r="AO21" s="500"/>
      <c r="AP21" s="500"/>
      <c r="AQ21" s="500"/>
      <c r="AR21" s="500"/>
      <c r="AS21" s="500"/>
      <c r="AT21" s="500"/>
      <c r="AU21" s="500"/>
      <c r="AV21" s="500"/>
      <c r="AW21" s="500"/>
      <c r="AX21" s="500"/>
      <c r="AY21" s="500"/>
    </row>
    <row r="22" spans="1:51" x14ac:dyDescent="0.2">
      <c r="A22" t="s">
        <v>4522</v>
      </c>
      <c r="B22" s="155" t="s">
        <v>782</v>
      </c>
      <c r="C22">
        <v>2</v>
      </c>
      <c r="D22" s="500"/>
      <c r="E22" s="500"/>
      <c r="F22" s="500"/>
      <c r="G22" s="500"/>
      <c r="H22" s="500"/>
      <c r="I22" s="500"/>
      <c r="J22" s="500"/>
      <c r="K22" s="500"/>
      <c r="L22" s="500"/>
      <c r="M22" s="500"/>
      <c r="N22" s="500"/>
      <c r="O22" s="500"/>
      <c r="P22" s="500"/>
      <c r="Q22" s="500"/>
      <c r="R22" s="500"/>
      <c r="S22" s="500"/>
      <c r="T22" s="500"/>
      <c r="U22" s="500"/>
      <c r="V22" s="500"/>
      <c r="W22" s="500"/>
      <c r="X22" s="500"/>
      <c r="Y22" s="500"/>
      <c r="Z22" s="500"/>
      <c r="AA22" s="500"/>
      <c r="AB22" s="500"/>
      <c r="AC22" s="500"/>
      <c r="AD22" s="500"/>
      <c r="AE22" s="500"/>
      <c r="AF22" s="500"/>
      <c r="AG22" s="500"/>
      <c r="AH22" s="500"/>
      <c r="AI22" s="500"/>
      <c r="AJ22" s="500"/>
      <c r="AK22" s="500"/>
      <c r="AL22" s="500"/>
      <c r="AM22" s="500"/>
      <c r="AN22" s="500"/>
      <c r="AO22" s="500"/>
      <c r="AP22" s="500"/>
      <c r="AQ22" s="500"/>
      <c r="AR22" s="500"/>
      <c r="AS22" s="500"/>
      <c r="AT22" s="500"/>
      <c r="AU22" s="500"/>
      <c r="AV22" s="500"/>
      <c r="AW22" s="500"/>
      <c r="AX22" s="500"/>
      <c r="AY22" s="500"/>
    </row>
    <row r="23" spans="1:51" x14ac:dyDescent="0.2">
      <c r="A23" t="s">
        <v>4523</v>
      </c>
      <c r="B23" s="155" t="s">
        <v>782</v>
      </c>
      <c r="C23">
        <v>3</v>
      </c>
      <c r="D23" s="500"/>
      <c r="E23" s="500"/>
      <c r="F23" s="500"/>
      <c r="G23" s="500"/>
      <c r="H23" s="500"/>
      <c r="I23" s="500"/>
      <c r="J23" s="500"/>
      <c r="K23" s="500"/>
      <c r="L23" s="500"/>
      <c r="M23" s="500"/>
      <c r="N23" s="500"/>
      <c r="O23" s="500"/>
      <c r="P23" s="500"/>
      <c r="Q23" s="500"/>
      <c r="R23" s="500"/>
      <c r="S23" s="500"/>
      <c r="T23" s="500"/>
      <c r="U23" s="500"/>
      <c r="V23" s="500"/>
      <c r="W23" s="500"/>
      <c r="X23" s="500"/>
      <c r="Y23" s="500"/>
      <c r="Z23" s="500"/>
      <c r="AA23" s="500"/>
      <c r="AB23" s="500"/>
      <c r="AC23" s="500"/>
      <c r="AD23" s="500"/>
      <c r="AE23" s="500"/>
      <c r="AF23" s="500"/>
      <c r="AG23" s="500"/>
      <c r="AH23" s="500"/>
      <c r="AI23" s="500"/>
      <c r="AJ23" s="500"/>
      <c r="AK23" s="500"/>
      <c r="AL23" s="500"/>
      <c r="AM23" s="500"/>
      <c r="AN23" s="500"/>
      <c r="AO23" s="500"/>
      <c r="AP23" s="500"/>
      <c r="AQ23" s="500"/>
      <c r="AR23" s="500"/>
      <c r="AS23" s="500"/>
      <c r="AT23" s="500"/>
      <c r="AU23" s="500"/>
      <c r="AV23" s="500"/>
      <c r="AW23" s="500"/>
      <c r="AX23" s="500"/>
      <c r="AY23" s="500"/>
    </row>
    <row r="24" spans="1:51" x14ac:dyDescent="0.2">
      <c r="A24" t="s">
        <v>4524</v>
      </c>
      <c r="B24" s="155" t="s">
        <v>782</v>
      </c>
      <c r="C24">
        <v>4</v>
      </c>
      <c r="D24" s="500"/>
      <c r="E24" s="500"/>
      <c r="F24" s="500"/>
      <c r="G24" s="500"/>
      <c r="H24" s="500"/>
      <c r="I24" s="500"/>
      <c r="J24" s="500"/>
      <c r="K24" s="500"/>
      <c r="L24" s="500"/>
      <c r="M24" s="500"/>
      <c r="N24" s="500"/>
      <c r="O24" s="500"/>
      <c r="P24" s="500"/>
      <c r="Q24" s="500"/>
      <c r="R24" s="500"/>
      <c r="S24" s="500"/>
      <c r="T24" s="500"/>
      <c r="U24" s="500"/>
      <c r="V24" s="500"/>
      <c r="W24" s="500"/>
      <c r="X24" s="500"/>
      <c r="Y24" s="500"/>
      <c r="Z24" s="500"/>
      <c r="AA24" s="500"/>
      <c r="AB24" s="500"/>
      <c r="AC24" s="500"/>
      <c r="AD24" s="500"/>
      <c r="AE24" s="500"/>
      <c r="AF24" s="500"/>
      <c r="AG24" s="500"/>
      <c r="AH24" s="500"/>
      <c r="AI24" s="500"/>
      <c r="AJ24" s="500"/>
      <c r="AK24" s="500"/>
      <c r="AL24" s="500"/>
      <c r="AM24" s="500"/>
      <c r="AN24" s="500"/>
      <c r="AO24" s="500"/>
      <c r="AP24" s="500"/>
      <c r="AQ24" s="500"/>
      <c r="AR24" s="500"/>
      <c r="AS24" s="500"/>
      <c r="AT24" s="500"/>
      <c r="AU24" s="500"/>
      <c r="AV24" s="500"/>
      <c r="AW24" s="500"/>
      <c r="AX24" s="500"/>
      <c r="AY24" s="500"/>
    </row>
    <row r="25" spans="1:51" x14ac:dyDescent="0.2">
      <c r="A25" t="s">
        <v>4525</v>
      </c>
      <c r="B25" s="155" t="s">
        <v>7531</v>
      </c>
      <c r="C25">
        <v>1</v>
      </c>
      <c r="D25" s="500"/>
      <c r="E25" s="500"/>
      <c r="F25" s="500"/>
      <c r="G25" s="500"/>
      <c r="H25" s="500"/>
      <c r="I25" s="500"/>
      <c r="J25" s="500"/>
      <c r="K25" s="500"/>
      <c r="L25" s="500"/>
      <c r="M25" s="500"/>
      <c r="N25" s="500"/>
      <c r="O25" s="500"/>
      <c r="P25" s="500"/>
      <c r="Q25" s="500"/>
      <c r="R25" s="500"/>
      <c r="S25" s="500"/>
      <c r="T25" s="500"/>
      <c r="U25" s="500"/>
      <c r="V25" s="500"/>
      <c r="W25" s="500"/>
      <c r="X25" s="500"/>
      <c r="Y25" s="500"/>
      <c r="Z25" s="500"/>
      <c r="AA25" s="500"/>
      <c r="AB25" s="500"/>
      <c r="AC25" s="500"/>
      <c r="AD25" s="500"/>
      <c r="AE25" s="500"/>
      <c r="AF25" s="500"/>
      <c r="AG25" s="500"/>
      <c r="AH25" s="500"/>
      <c r="AI25" s="500"/>
      <c r="AJ25" s="500"/>
      <c r="AK25" s="500"/>
      <c r="AL25" s="500"/>
      <c r="AM25" s="500"/>
      <c r="AN25" s="500"/>
      <c r="AO25" s="500"/>
      <c r="AP25" s="500"/>
      <c r="AQ25" s="500"/>
      <c r="AR25" s="500"/>
      <c r="AS25" s="500"/>
      <c r="AT25" s="500"/>
      <c r="AU25" s="500"/>
      <c r="AV25" s="500"/>
      <c r="AW25" s="500"/>
      <c r="AX25" s="500"/>
      <c r="AY25" s="500"/>
    </row>
    <row r="26" spans="1:51" x14ac:dyDescent="0.2">
      <c r="A26" t="s">
        <v>4526</v>
      </c>
      <c r="B26" s="155" t="s">
        <v>7532</v>
      </c>
      <c r="C26">
        <v>1</v>
      </c>
      <c r="D26" s="500"/>
      <c r="E26" s="500"/>
      <c r="F26" s="500"/>
      <c r="G26" s="500"/>
      <c r="H26" s="500"/>
      <c r="I26" s="500"/>
      <c r="J26" s="500"/>
      <c r="K26" s="500"/>
      <c r="L26" s="500"/>
      <c r="M26" s="500"/>
      <c r="N26" s="500"/>
      <c r="O26" s="500"/>
      <c r="P26" s="500"/>
      <c r="Q26" s="500"/>
      <c r="R26" s="500"/>
      <c r="S26" s="500"/>
      <c r="T26" s="500"/>
      <c r="U26" s="500"/>
      <c r="V26" s="500"/>
      <c r="W26" s="500"/>
      <c r="X26" s="500"/>
      <c r="Y26" s="500"/>
      <c r="Z26" s="500"/>
      <c r="AA26" s="500"/>
      <c r="AB26" s="500"/>
      <c r="AC26" s="500"/>
      <c r="AD26" s="500"/>
      <c r="AE26" s="500"/>
      <c r="AF26" s="500"/>
      <c r="AG26" s="500"/>
      <c r="AH26" s="500"/>
      <c r="AI26" s="500"/>
      <c r="AJ26" s="500"/>
      <c r="AK26" s="500"/>
      <c r="AL26" s="500"/>
      <c r="AM26" s="500"/>
      <c r="AN26" s="500"/>
      <c r="AO26" s="500"/>
      <c r="AP26" s="500"/>
      <c r="AQ26" s="500"/>
      <c r="AR26" s="500"/>
      <c r="AS26" s="500"/>
      <c r="AT26" s="500"/>
      <c r="AU26" s="500"/>
      <c r="AV26" s="500"/>
      <c r="AW26" s="500"/>
      <c r="AX26" s="500"/>
      <c r="AY26" s="500"/>
    </row>
    <row r="27" spans="1:51" x14ac:dyDescent="0.2">
      <c r="A27" t="s">
        <v>4527</v>
      </c>
      <c r="B27" s="155" t="s">
        <v>7533</v>
      </c>
      <c r="C27">
        <v>1</v>
      </c>
      <c r="D27" s="500"/>
      <c r="E27" s="500"/>
      <c r="F27" s="500"/>
      <c r="G27" s="500"/>
      <c r="H27" s="500"/>
      <c r="I27" s="500"/>
      <c r="J27" s="500"/>
      <c r="K27" s="500"/>
      <c r="L27" s="500"/>
      <c r="M27" s="500"/>
      <c r="N27" s="500"/>
      <c r="O27" s="500"/>
      <c r="P27" s="500"/>
      <c r="Q27" s="500"/>
      <c r="R27" s="500"/>
      <c r="S27" s="500"/>
      <c r="T27" s="500"/>
      <c r="U27" s="500"/>
      <c r="V27" s="500"/>
      <c r="W27" s="500"/>
      <c r="X27" s="500"/>
      <c r="Y27" s="500"/>
      <c r="Z27" s="500"/>
      <c r="AA27" s="500"/>
      <c r="AB27" s="500"/>
      <c r="AC27" s="500"/>
      <c r="AD27" s="500"/>
      <c r="AE27" s="500"/>
      <c r="AF27" s="500"/>
      <c r="AG27" s="500"/>
      <c r="AH27" s="500"/>
      <c r="AI27" s="500"/>
      <c r="AJ27" s="500"/>
      <c r="AK27" s="500"/>
      <c r="AL27" s="500"/>
      <c r="AM27" s="500"/>
      <c r="AN27" s="500"/>
      <c r="AO27" s="500"/>
      <c r="AP27" s="500"/>
      <c r="AQ27" s="500"/>
      <c r="AR27" s="500"/>
      <c r="AS27" s="500"/>
      <c r="AT27" s="500"/>
      <c r="AU27" s="500"/>
      <c r="AV27" s="500"/>
      <c r="AW27" s="500"/>
      <c r="AX27" s="500"/>
      <c r="AY27" s="500"/>
    </row>
    <row r="28" spans="1:51" x14ac:dyDescent="0.2">
      <c r="A28" t="s">
        <v>4528</v>
      </c>
      <c r="B28" s="155" t="s">
        <v>7534</v>
      </c>
      <c r="C28">
        <v>1</v>
      </c>
      <c r="D28" s="500"/>
      <c r="E28" s="500"/>
      <c r="F28" s="500"/>
      <c r="G28" s="500"/>
      <c r="H28" s="500"/>
      <c r="I28" s="500"/>
      <c r="J28" s="500"/>
      <c r="K28" s="500"/>
      <c r="L28" s="500"/>
      <c r="M28" s="500"/>
      <c r="N28" s="500"/>
      <c r="O28" s="500"/>
      <c r="P28" s="500"/>
      <c r="Q28" s="500"/>
      <c r="R28" s="500"/>
      <c r="S28" s="500"/>
      <c r="T28" s="500"/>
      <c r="U28" s="500"/>
      <c r="V28" s="500"/>
      <c r="W28" s="500"/>
      <c r="X28" s="500"/>
      <c r="Y28" s="500"/>
      <c r="Z28" s="500"/>
      <c r="AA28" s="500"/>
      <c r="AB28" s="500"/>
      <c r="AC28" s="500"/>
      <c r="AD28" s="500"/>
      <c r="AE28" s="500"/>
      <c r="AF28" s="500"/>
      <c r="AG28" s="500"/>
      <c r="AH28" s="500"/>
      <c r="AI28" s="500"/>
      <c r="AJ28" s="500"/>
      <c r="AK28" s="500"/>
      <c r="AL28" s="500"/>
      <c r="AM28" s="500"/>
      <c r="AN28" s="500"/>
      <c r="AO28" s="500"/>
      <c r="AP28" s="500"/>
      <c r="AQ28" s="500"/>
      <c r="AR28" s="500"/>
      <c r="AS28" s="500"/>
      <c r="AT28" s="500"/>
      <c r="AU28" s="500"/>
      <c r="AV28" s="500"/>
      <c r="AW28" s="500"/>
      <c r="AX28" s="500"/>
      <c r="AY28" s="500"/>
    </row>
    <row r="29" spans="1:51" x14ac:dyDescent="0.2">
      <c r="A29" t="s">
        <v>4529</v>
      </c>
      <c r="B29" s="155" t="s">
        <v>7535</v>
      </c>
      <c r="C29">
        <v>1</v>
      </c>
      <c r="D29" s="500"/>
      <c r="E29" s="500"/>
      <c r="F29" s="500"/>
      <c r="G29" s="500"/>
      <c r="H29" s="500"/>
      <c r="I29" s="500"/>
      <c r="J29" s="500"/>
      <c r="K29" s="500"/>
      <c r="L29" s="500"/>
      <c r="M29" s="500"/>
      <c r="N29" s="500"/>
      <c r="O29" s="500"/>
      <c r="P29" s="500"/>
      <c r="Q29" s="500"/>
      <c r="R29" s="500"/>
      <c r="S29" s="500"/>
      <c r="T29" s="500"/>
      <c r="U29" s="500"/>
      <c r="V29" s="500"/>
      <c r="W29" s="500"/>
      <c r="X29" s="500"/>
      <c r="Y29" s="500"/>
      <c r="Z29" s="500"/>
      <c r="AA29" s="500"/>
      <c r="AB29" s="500"/>
      <c r="AC29" s="500"/>
      <c r="AD29" s="500"/>
      <c r="AE29" s="500"/>
      <c r="AF29" s="500"/>
      <c r="AG29" s="500"/>
      <c r="AH29" s="500"/>
      <c r="AI29" s="500"/>
      <c r="AJ29" s="500"/>
      <c r="AK29" s="500"/>
      <c r="AL29" s="500"/>
      <c r="AM29" s="500"/>
      <c r="AN29" s="500"/>
      <c r="AO29" s="500"/>
      <c r="AP29" s="500"/>
      <c r="AQ29" s="500"/>
      <c r="AR29" s="500"/>
      <c r="AS29" s="500"/>
      <c r="AT29" s="500"/>
      <c r="AU29" s="500"/>
      <c r="AV29" s="500"/>
      <c r="AW29" s="500"/>
      <c r="AX29" s="500"/>
      <c r="AY29" s="500"/>
    </row>
    <row r="32" spans="1:51" x14ac:dyDescent="0.2">
      <c r="A32" s="152" t="s">
        <v>4704</v>
      </c>
      <c r="B32" s="152"/>
    </row>
    <row r="34" spans="1:1" x14ac:dyDescent="0.2">
      <c r="A34" t="s">
        <v>233</v>
      </c>
    </row>
    <row r="35" spans="1:1" x14ac:dyDescent="0.2">
      <c r="A35" t="s">
        <v>450</v>
      </c>
    </row>
    <row r="36" spans="1:1" x14ac:dyDescent="0.2">
      <c r="A36" t="s">
        <v>453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Opdr">
    <tabColor rgb="FFFFC000"/>
    <outlinePr showOutlineSymbols="0"/>
  </sheetPr>
  <dimension ref="A1:A967"/>
  <sheetViews>
    <sheetView showOutlineSymbols="0" topLeftCell="A594" workbookViewId="0">
      <selection activeCell="A655" sqref="A655"/>
    </sheetView>
  </sheetViews>
  <sheetFormatPr defaultRowHeight="12.75" x14ac:dyDescent="0.2"/>
  <cols>
    <col min="1" max="1" width="54.28515625" customWidth="1"/>
  </cols>
  <sheetData>
    <row r="1" spans="1:1" x14ac:dyDescent="0.2">
      <c r="A1" t="s">
        <v>5978</v>
      </c>
    </row>
    <row r="2" spans="1:1" x14ac:dyDescent="0.2">
      <c r="A2" t="s">
        <v>5979</v>
      </c>
    </row>
    <row r="3" spans="1:1" x14ac:dyDescent="0.2">
      <c r="A3" t="s">
        <v>5980</v>
      </c>
    </row>
    <row r="4" spans="1:1" x14ac:dyDescent="0.2">
      <c r="A4" t="s">
        <v>5981</v>
      </c>
    </row>
    <row r="5" spans="1:1" x14ac:dyDescent="0.2">
      <c r="A5" t="s">
        <v>5982</v>
      </c>
    </row>
    <row r="6" spans="1:1" x14ac:dyDescent="0.2">
      <c r="A6" t="s">
        <v>5983</v>
      </c>
    </row>
    <row r="7" spans="1:1" x14ac:dyDescent="0.2">
      <c r="A7" t="s">
        <v>5984</v>
      </c>
    </row>
    <row r="8" spans="1:1" x14ac:dyDescent="0.2">
      <c r="A8" t="s">
        <v>5985</v>
      </c>
    </row>
    <row r="9" spans="1:1" x14ac:dyDescent="0.2">
      <c r="A9" t="s">
        <v>5986</v>
      </c>
    </row>
    <row r="10" spans="1:1" x14ac:dyDescent="0.2">
      <c r="A10" t="s">
        <v>5987</v>
      </c>
    </row>
    <row r="11" spans="1:1" x14ac:dyDescent="0.2">
      <c r="A11" t="s">
        <v>5988</v>
      </c>
    </row>
    <row r="12" spans="1:1" x14ac:dyDescent="0.2">
      <c r="A12" t="s">
        <v>5989</v>
      </c>
    </row>
    <row r="13" spans="1:1" x14ac:dyDescent="0.2">
      <c r="A13" t="s">
        <v>5990</v>
      </c>
    </row>
    <row r="14" spans="1:1" x14ac:dyDescent="0.2">
      <c r="A14" t="s">
        <v>5991</v>
      </c>
    </row>
    <row r="15" spans="1:1" x14ac:dyDescent="0.2">
      <c r="A15" t="s">
        <v>5992</v>
      </c>
    </row>
    <row r="16" spans="1:1" x14ac:dyDescent="0.2">
      <c r="A16" t="s">
        <v>5993</v>
      </c>
    </row>
    <row r="17" spans="1:1" x14ac:dyDescent="0.2">
      <c r="A17" t="s">
        <v>5994</v>
      </c>
    </row>
    <row r="18" spans="1:1" x14ac:dyDescent="0.2">
      <c r="A18" t="s">
        <v>5995</v>
      </c>
    </row>
    <row r="19" spans="1:1" x14ac:dyDescent="0.2">
      <c r="A19" t="s">
        <v>5996</v>
      </c>
    </row>
    <row r="20" spans="1:1" x14ac:dyDescent="0.2">
      <c r="A20" t="s">
        <v>5997</v>
      </c>
    </row>
    <row r="21" spans="1:1" x14ac:dyDescent="0.2">
      <c r="A21" t="s">
        <v>5998</v>
      </c>
    </row>
    <row r="22" spans="1:1" x14ac:dyDescent="0.2">
      <c r="A22" t="s">
        <v>5999</v>
      </c>
    </row>
    <row r="23" spans="1:1" x14ac:dyDescent="0.2">
      <c r="A23" t="s">
        <v>6000</v>
      </c>
    </row>
    <row r="24" spans="1:1" x14ac:dyDescent="0.2">
      <c r="A24" t="s">
        <v>6001</v>
      </c>
    </row>
    <row r="25" spans="1:1" x14ac:dyDescent="0.2">
      <c r="A25" t="s">
        <v>6002</v>
      </c>
    </row>
    <row r="26" spans="1:1" x14ac:dyDescent="0.2">
      <c r="A26" t="s">
        <v>6003</v>
      </c>
    </row>
    <row r="27" spans="1:1" x14ac:dyDescent="0.2">
      <c r="A27" t="s">
        <v>6004</v>
      </c>
    </row>
    <row r="28" spans="1:1" x14ac:dyDescent="0.2">
      <c r="A28" t="s">
        <v>6005</v>
      </c>
    </row>
    <row r="29" spans="1:1" x14ac:dyDescent="0.2">
      <c r="A29" t="s">
        <v>6006</v>
      </c>
    </row>
    <row r="30" spans="1:1" x14ac:dyDescent="0.2">
      <c r="A30" t="s">
        <v>6007</v>
      </c>
    </row>
    <row r="31" spans="1:1" x14ac:dyDescent="0.2">
      <c r="A31" t="s">
        <v>6008</v>
      </c>
    </row>
    <row r="32" spans="1:1" x14ac:dyDescent="0.2">
      <c r="A32" t="s">
        <v>6009</v>
      </c>
    </row>
    <row r="33" spans="1:1" x14ac:dyDescent="0.2">
      <c r="A33" t="s">
        <v>6010</v>
      </c>
    </row>
    <row r="34" spans="1:1" x14ac:dyDescent="0.2">
      <c r="A34" t="s">
        <v>6011</v>
      </c>
    </row>
    <row r="35" spans="1:1" x14ac:dyDescent="0.2">
      <c r="A35" t="s">
        <v>6012</v>
      </c>
    </row>
    <row r="36" spans="1:1" x14ac:dyDescent="0.2">
      <c r="A36" t="s">
        <v>6013</v>
      </c>
    </row>
    <row r="37" spans="1:1" x14ac:dyDescent="0.2">
      <c r="A37" t="s">
        <v>6014</v>
      </c>
    </row>
    <row r="38" spans="1:1" x14ac:dyDescent="0.2">
      <c r="A38" t="s">
        <v>6015</v>
      </c>
    </row>
    <row r="39" spans="1:1" x14ac:dyDescent="0.2">
      <c r="A39" t="s">
        <v>6016</v>
      </c>
    </row>
    <row r="40" spans="1:1" x14ac:dyDescent="0.2">
      <c r="A40" t="s">
        <v>6017</v>
      </c>
    </row>
    <row r="41" spans="1:1" x14ac:dyDescent="0.2">
      <c r="A41" t="s">
        <v>6018</v>
      </c>
    </row>
    <row r="42" spans="1:1" x14ac:dyDescent="0.2">
      <c r="A42" t="s">
        <v>6019</v>
      </c>
    </row>
    <row r="43" spans="1:1" x14ac:dyDescent="0.2">
      <c r="A43" t="s">
        <v>6020</v>
      </c>
    </row>
    <row r="44" spans="1:1" x14ac:dyDescent="0.2">
      <c r="A44" t="s">
        <v>6021</v>
      </c>
    </row>
    <row r="45" spans="1:1" x14ac:dyDescent="0.2">
      <c r="A45" t="s">
        <v>6022</v>
      </c>
    </row>
    <row r="46" spans="1:1" x14ac:dyDescent="0.2">
      <c r="A46" t="s">
        <v>6023</v>
      </c>
    </row>
    <row r="47" spans="1:1" x14ac:dyDescent="0.2">
      <c r="A47" t="s">
        <v>6024</v>
      </c>
    </row>
    <row r="48" spans="1:1" x14ac:dyDescent="0.2">
      <c r="A48" t="s">
        <v>6025</v>
      </c>
    </row>
    <row r="49" spans="1:1" x14ac:dyDescent="0.2">
      <c r="A49" t="s">
        <v>6026</v>
      </c>
    </row>
    <row r="50" spans="1:1" x14ac:dyDescent="0.2">
      <c r="A50" t="s">
        <v>6027</v>
      </c>
    </row>
    <row r="51" spans="1:1" x14ac:dyDescent="0.2">
      <c r="A51" t="s">
        <v>6028</v>
      </c>
    </row>
    <row r="52" spans="1:1" x14ac:dyDescent="0.2">
      <c r="A52" t="s">
        <v>6029</v>
      </c>
    </row>
    <row r="53" spans="1:1" x14ac:dyDescent="0.2">
      <c r="A53" t="s">
        <v>6030</v>
      </c>
    </row>
    <row r="54" spans="1:1" x14ac:dyDescent="0.2">
      <c r="A54" t="s">
        <v>6031</v>
      </c>
    </row>
    <row r="55" spans="1:1" x14ac:dyDescent="0.2">
      <c r="A55" t="s">
        <v>6032</v>
      </c>
    </row>
    <row r="56" spans="1:1" x14ac:dyDescent="0.2">
      <c r="A56" t="s">
        <v>6033</v>
      </c>
    </row>
    <row r="57" spans="1:1" x14ac:dyDescent="0.2">
      <c r="A57" t="s">
        <v>6034</v>
      </c>
    </row>
    <row r="58" spans="1:1" x14ac:dyDescent="0.2">
      <c r="A58" t="s">
        <v>6035</v>
      </c>
    </row>
    <row r="59" spans="1:1" x14ac:dyDescent="0.2">
      <c r="A59" t="s">
        <v>6036</v>
      </c>
    </row>
    <row r="60" spans="1:1" x14ac:dyDescent="0.2">
      <c r="A60" t="s">
        <v>6037</v>
      </c>
    </row>
    <row r="61" spans="1:1" x14ac:dyDescent="0.2">
      <c r="A61" t="s">
        <v>6038</v>
      </c>
    </row>
    <row r="62" spans="1:1" x14ac:dyDescent="0.2">
      <c r="A62" t="s">
        <v>6039</v>
      </c>
    </row>
    <row r="63" spans="1:1" x14ac:dyDescent="0.2">
      <c r="A63" t="s">
        <v>6040</v>
      </c>
    </row>
    <row r="64" spans="1:1" x14ac:dyDescent="0.2">
      <c r="A64" t="s">
        <v>6041</v>
      </c>
    </row>
    <row r="65" spans="1:1" x14ac:dyDescent="0.2">
      <c r="A65" t="s">
        <v>6042</v>
      </c>
    </row>
    <row r="66" spans="1:1" x14ac:dyDescent="0.2">
      <c r="A66" t="s">
        <v>6043</v>
      </c>
    </row>
    <row r="67" spans="1:1" x14ac:dyDescent="0.2">
      <c r="A67" t="s">
        <v>6044</v>
      </c>
    </row>
    <row r="68" spans="1:1" x14ac:dyDescent="0.2">
      <c r="A68" t="s">
        <v>6045</v>
      </c>
    </row>
    <row r="69" spans="1:1" x14ac:dyDescent="0.2">
      <c r="A69" t="s">
        <v>6046</v>
      </c>
    </row>
    <row r="70" spans="1:1" x14ac:dyDescent="0.2">
      <c r="A70" t="s">
        <v>6047</v>
      </c>
    </row>
    <row r="71" spans="1:1" x14ac:dyDescent="0.2">
      <c r="A71" t="s">
        <v>6048</v>
      </c>
    </row>
    <row r="72" spans="1:1" x14ac:dyDescent="0.2">
      <c r="A72" t="s">
        <v>6049</v>
      </c>
    </row>
    <row r="73" spans="1:1" x14ac:dyDescent="0.2">
      <c r="A73" t="s">
        <v>6050</v>
      </c>
    </row>
    <row r="74" spans="1:1" x14ac:dyDescent="0.2">
      <c r="A74" t="s">
        <v>6051</v>
      </c>
    </row>
    <row r="75" spans="1:1" x14ac:dyDescent="0.2">
      <c r="A75" t="s">
        <v>6052</v>
      </c>
    </row>
    <row r="76" spans="1:1" x14ac:dyDescent="0.2">
      <c r="A76" t="s">
        <v>6053</v>
      </c>
    </row>
    <row r="77" spans="1:1" x14ac:dyDescent="0.2">
      <c r="A77" t="s">
        <v>6054</v>
      </c>
    </row>
    <row r="78" spans="1:1" x14ac:dyDescent="0.2">
      <c r="A78" t="s">
        <v>6055</v>
      </c>
    </row>
    <row r="79" spans="1:1" x14ac:dyDescent="0.2">
      <c r="A79" t="s">
        <v>6056</v>
      </c>
    </row>
    <row r="80" spans="1:1" x14ac:dyDescent="0.2">
      <c r="A80" t="s">
        <v>6057</v>
      </c>
    </row>
    <row r="81" spans="1:1" x14ac:dyDescent="0.2">
      <c r="A81" t="s">
        <v>6058</v>
      </c>
    </row>
    <row r="82" spans="1:1" x14ac:dyDescent="0.2">
      <c r="A82" t="s">
        <v>6059</v>
      </c>
    </row>
    <row r="83" spans="1:1" x14ac:dyDescent="0.2">
      <c r="A83" t="s">
        <v>6060</v>
      </c>
    </row>
    <row r="84" spans="1:1" x14ac:dyDescent="0.2">
      <c r="A84" t="s">
        <v>6061</v>
      </c>
    </row>
    <row r="85" spans="1:1" x14ac:dyDescent="0.2">
      <c r="A85" t="s">
        <v>6062</v>
      </c>
    </row>
    <row r="86" spans="1:1" x14ac:dyDescent="0.2">
      <c r="A86" t="s">
        <v>6063</v>
      </c>
    </row>
    <row r="87" spans="1:1" x14ac:dyDescent="0.2">
      <c r="A87" t="s">
        <v>6064</v>
      </c>
    </row>
    <row r="88" spans="1:1" x14ac:dyDescent="0.2">
      <c r="A88" t="s">
        <v>6065</v>
      </c>
    </row>
    <row r="89" spans="1:1" x14ac:dyDescent="0.2">
      <c r="A89" t="s">
        <v>6066</v>
      </c>
    </row>
    <row r="90" spans="1:1" x14ac:dyDescent="0.2">
      <c r="A90" t="s">
        <v>6067</v>
      </c>
    </row>
    <row r="91" spans="1:1" x14ac:dyDescent="0.2">
      <c r="A91" t="s">
        <v>6068</v>
      </c>
    </row>
    <row r="92" spans="1:1" x14ac:dyDescent="0.2">
      <c r="A92" t="s">
        <v>6069</v>
      </c>
    </row>
    <row r="93" spans="1:1" x14ac:dyDescent="0.2">
      <c r="A93" t="s">
        <v>6070</v>
      </c>
    </row>
    <row r="94" spans="1:1" x14ac:dyDescent="0.2">
      <c r="A94" t="s">
        <v>6071</v>
      </c>
    </row>
    <row r="95" spans="1:1" x14ac:dyDescent="0.2">
      <c r="A95" t="s">
        <v>6072</v>
      </c>
    </row>
    <row r="96" spans="1:1" x14ac:dyDescent="0.2">
      <c r="A96" t="s">
        <v>6073</v>
      </c>
    </row>
    <row r="97" spans="1:1" x14ac:dyDescent="0.2">
      <c r="A97" t="s">
        <v>6074</v>
      </c>
    </row>
    <row r="98" spans="1:1" x14ac:dyDescent="0.2">
      <c r="A98" t="s">
        <v>6075</v>
      </c>
    </row>
    <row r="99" spans="1:1" x14ac:dyDescent="0.2">
      <c r="A99" t="s">
        <v>6076</v>
      </c>
    </row>
    <row r="100" spans="1:1" x14ac:dyDescent="0.2">
      <c r="A100" t="s">
        <v>6077</v>
      </c>
    </row>
    <row r="101" spans="1:1" x14ac:dyDescent="0.2">
      <c r="A101" t="s">
        <v>6078</v>
      </c>
    </row>
    <row r="102" spans="1:1" x14ac:dyDescent="0.2">
      <c r="A102" t="s">
        <v>6079</v>
      </c>
    </row>
    <row r="103" spans="1:1" x14ac:dyDescent="0.2">
      <c r="A103" t="s">
        <v>6080</v>
      </c>
    </row>
    <row r="104" spans="1:1" x14ac:dyDescent="0.2">
      <c r="A104" t="s">
        <v>6081</v>
      </c>
    </row>
    <row r="105" spans="1:1" x14ac:dyDescent="0.2">
      <c r="A105" t="s">
        <v>6082</v>
      </c>
    </row>
    <row r="106" spans="1:1" x14ac:dyDescent="0.2">
      <c r="A106" t="s">
        <v>6083</v>
      </c>
    </row>
    <row r="107" spans="1:1" x14ac:dyDescent="0.2">
      <c r="A107" t="s">
        <v>6084</v>
      </c>
    </row>
    <row r="108" spans="1:1" x14ac:dyDescent="0.2">
      <c r="A108" t="s">
        <v>6085</v>
      </c>
    </row>
    <row r="109" spans="1:1" x14ac:dyDescent="0.2">
      <c r="A109" t="s">
        <v>6086</v>
      </c>
    </row>
    <row r="110" spans="1:1" x14ac:dyDescent="0.2">
      <c r="A110" t="s">
        <v>6087</v>
      </c>
    </row>
    <row r="111" spans="1:1" x14ac:dyDescent="0.2">
      <c r="A111" t="s">
        <v>6088</v>
      </c>
    </row>
    <row r="112" spans="1:1" x14ac:dyDescent="0.2">
      <c r="A112" t="s">
        <v>6089</v>
      </c>
    </row>
    <row r="113" spans="1:1" x14ac:dyDescent="0.2">
      <c r="A113" t="s">
        <v>6090</v>
      </c>
    </row>
    <row r="114" spans="1:1" x14ac:dyDescent="0.2">
      <c r="A114" t="s">
        <v>6091</v>
      </c>
    </row>
    <row r="115" spans="1:1" x14ac:dyDescent="0.2">
      <c r="A115" t="s">
        <v>6092</v>
      </c>
    </row>
    <row r="116" spans="1:1" x14ac:dyDescent="0.2">
      <c r="A116" t="s">
        <v>6093</v>
      </c>
    </row>
    <row r="117" spans="1:1" x14ac:dyDescent="0.2">
      <c r="A117" t="s">
        <v>6094</v>
      </c>
    </row>
    <row r="118" spans="1:1" x14ac:dyDescent="0.2">
      <c r="A118" t="s">
        <v>6095</v>
      </c>
    </row>
    <row r="119" spans="1:1" x14ac:dyDescent="0.2">
      <c r="A119" t="s">
        <v>6096</v>
      </c>
    </row>
    <row r="120" spans="1:1" x14ac:dyDescent="0.2">
      <c r="A120" t="s">
        <v>6097</v>
      </c>
    </row>
    <row r="121" spans="1:1" x14ac:dyDescent="0.2">
      <c r="A121" t="s">
        <v>6098</v>
      </c>
    </row>
    <row r="122" spans="1:1" x14ac:dyDescent="0.2">
      <c r="A122" t="s">
        <v>6099</v>
      </c>
    </row>
    <row r="123" spans="1:1" x14ac:dyDescent="0.2">
      <c r="A123" t="s">
        <v>6100</v>
      </c>
    </row>
    <row r="124" spans="1:1" x14ac:dyDescent="0.2">
      <c r="A124" t="s">
        <v>6101</v>
      </c>
    </row>
    <row r="125" spans="1:1" x14ac:dyDescent="0.2">
      <c r="A125" t="s">
        <v>6102</v>
      </c>
    </row>
    <row r="126" spans="1:1" x14ac:dyDescent="0.2">
      <c r="A126" t="s">
        <v>7387</v>
      </c>
    </row>
    <row r="127" spans="1:1" x14ac:dyDescent="0.2">
      <c r="A127" t="s">
        <v>6103</v>
      </c>
    </row>
    <row r="128" spans="1:1" x14ac:dyDescent="0.2">
      <c r="A128" t="s">
        <v>6104</v>
      </c>
    </row>
    <row r="129" spans="1:1" x14ac:dyDescent="0.2">
      <c r="A129" t="s">
        <v>6105</v>
      </c>
    </row>
    <row r="130" spans="1:1" x14ac:dyDescent="0.2">
      <c r="A130" t="s">
        <v>6106</v>
      </c>
    </row>
    <row r="131" spans="1:1" x14ac:dyDescent="0.2">
      <c r="A131" t="s">
        <v>6107</v>
      </c>
    </row>
    <row r="132" spans="1:1" x14ac:dyDescent="0.2">
      <c r="A132" t="s">
        <v>6108</v>
      </c>
    </row>
    <row r="133" spans="1:1" x14ac:dyDescent="0.2">
      <c r="A133" t="s">
        <v>6109</v>
      </c>
    </row>
    <row r="134" spans="1:1" x14ac:dyDescent="0.2">
      <c r="A134" t="s">
        <v>6110</v>
      </c>
    </row>
    <row r="135" spans="1:1" x14ac:dyDescent="0.2">
      <c r="A135" t="s">
        <v>6111</v>
      </c>
    </row>
    <row r="136" spans="1:1" x14ac:dyDescent="0.2">
      <c r="A136" t="s">
        <v>7388</v>
      </c>
    </row>
    <row r="137" spans="1:1" x14ac:dyDescent="0.2">
      <c r="A137" t="s">
        <v>6112</v>
      </c>
    </row>
    <row r="138" spans="1:1" x14ac:dyDescent="0.2">
      <c r="A138" t="s">
        <v>6113</v>
      </c>
    </row>
    <row r="139" spans="1:1" x14ac:dyDescent="0.2">
      <c r="A139" t="s">
        <v>6114</v>
      </c>
    </row>
    <row r="140" spans="1:1" x14ac:dyDescent="0.2">
      <c r="A140" t="s">
        <v>6115</v>
      </c>
    </row>
    <row r="141" spans="1:1" x14ac:dyDescent="0.2">
      <c r="A141" t="s">
        <v>6116</v>
      </c>
    </row>
    <row r="142" spans="1:1" x14ac:dyDescent="0.2">
      <c r="A142" t="s">
        <v>6117</v>
      </c>
    </row>
    <row r="143" spans="1:1" x14ac:dyDescent="0.2">
      <c r="A143" t="s">
        <v>6118</v>
      </c>
    </row>
    <row r="144" spans="1:1" x14ac:dyDescent="0.2">
      <c r="A144" t="s">
        <v>6119</v>
      </c>
    </row>
    <row r="145" spans="1:1" x14ac:dyDescent="0.2">
      <c r="A145" t="s">
        <v>6120</v>
      </c>
    </row>
    <row r="146" spans="1:1" x14ac:dyDescent="0.2">
      <c r="A146" t="s">
        <v>6121</v>
      </c>
    </row>
    <row r="147" spans="1:1" x14ac:dyDescent="0.2">
      <c r="A147" t="s">
        <v>6122</v>
      </c>
    </row>
    <row r="148" spans="1:1" x14ac:dyDescent="0.2">
      <c r="A148" t="s">
        <v>6123</v>
      </c>
    </row>
    <row r="149" spans="1:1" x14ac:dyDescent="0.2">
      <c r="A149" t="s">
        <v>6124</v>
      </c>
    </row>
    <row r="150" spans="1:1" x14ac:dyDescent="0.2">
      <c r="A150" t="s">
        <v>6125</v>
      </c>
    </row>
    <row r="151" spans="1:1" x14ac:dyDescent="0.2">
      <c r="A151" t="s">
        <v>6126</v>
      </c>
    </row>
    <row r="152" spans="1:1" x14ac:dyDescent="0.2">
      <c r="A152" t="s">
        <v>6127</v>
      </c>
    </row>
    <row r="153" spans="1:1" x14ac:dyDescent="0.2">
      <c r="A153" t="s">
        <v>6128</v>
      </c>
    </row>
    <row r="154" spans="1:1" x14ac:dyDescent="0.2">
      <c r="A154" t="s">
        <v>6129</v>
      </c>
    </row>
    <row r="155" spans="1:1" x14ac:dyDescent="0.2">
      <c r="A155" t="s">
        <v>6130</v>
      </c>
    </row>
    <row r="156" spans="1:1" x14ac:dyDescent="0.2">
      <c r="A156" t="s">
        <v>6131</v>
      </c>
    </row>
    <row r="157" spans="1:1" x14ac:dyDescent="0.2">
      <c r="A157" t="s">
        <v>6132</v>
      </c>
    </row>
    <row r="158" spans="1:1" x14ac:dyDescent="0.2">
      <c r="A158" t="s">
        <v>6133</v>
      </c>
    </row>
    <row r="159" spans="1:1" x14ac:dyDescent="0.2">
      <c r="A159" t="s">
        <v>6134</v>
      </c>
    </row>
    <row r="160" spans="1:1" x14ac:dyDescent="0.2">
      <c r="A160" t="s">
        <v>6135</v>
      </c>
    </row>
    <row r="161" spans="1:1" x14ac:dyDescent="0.2">
      <c r="A161" t="s">
        <v>6136</v>
      </c>
    </row>
    <row r="162" spans="1:1" x14ac:dyDescent="0.2">
      <c r="A162" t="s">
        <v>7389</v>
      </c>
    </row>
    <row r="163" spans="1:1" x14ac:dyDescent="0.2">
      <c r="A163" t="s">
        <v>6137</v>
      </c>
    </row>
    <row r="164" spans="1:1" x14ac:dyDescent="0.2">
      <c r="A164" t="s">
        <v>6138</v>
      </c>
    </row>
    <row r="165" spans="1:1" x14ac:dyDescent="0.2">
      <c r="A165" t="s">
        <v>6139</v>
      </c>
    </row>
    <row r="166" spans="1:1" x14ac:dyDescent="0.2">
      <c r="A166" t="s">
        <v>6140</v>
      </c>
    </row>
    <row r="167" spans="1:1" x14ac:dyDescent="0.2">
      <c r="A167" t="s">
        <v>6141</v>
      </c>
    </row>
    <row r="168" spans="1:1" x14ac:dyDescent="0.2">
      <c r="A168" t="s">
        <v>6142</v>
      </c>
    </row>
    <row r="169" spans="1:1" x14ac:dyDescent="0.2">
      <c r="A169" t="s">
        <v>6143</v>
      </c>
    </row>
    <row r="170" spans="1:1" x14ac:dyDescent="0.2">
      <c r="A170" t="s">
        <v>6144</v>
      </c>
    </row>
    <row r="171" spans="1:1" x14ac:dyDescent="0.2">
      <c r="A171" t="s">
        <v>6145</v>
      </c>
    </row>
    <row r="172" spans="1:1" x14ac:dyDescent="0.2">
      <c r="A172" t="s">
        <v>6146</v>
      </c>
    </row>
    <row r="173" spans="1:1" x14ac:dyDescent="0.2">
      <c r="A173" t="s">
        <v>6147</v>
      </c>
    </row>
    <row r="174" spans="1:1" x14ac:dyDescent="0.2">
      <c r="A174" t="s">
        <v>6148</v>
      </c>
    </row>
    <row r="175" spans="1:1" x14ac:dyDescent="0.2">
      <c r="A175" t="s">
        <v>6149</v>
      </c>
    </row>
    <row r="176" spans="1:1" x14ac:dyDescent="0.2">
      <c r="A176" t="s">
        <v>6150</v>
      </c>
    </row>
    <row r="177" spans="1:1" x14ac:dyDescent="0.2">
      <c r="A177" t="s">
        <v>6151</v>
      </c>
    </row>
    <row r="178" spans="1:1" x14ac:dyDescent="0.2">
      <c r="A178" t="s">
        <v>6152</v>
      </c>
    </row>
    <row r="179" spans="1:1" x14ac:dyDescent="0.2">
      <c r="A179" t="s">
        <v>6153</v>
      </c>
    </row>
    <row r="180" spans="1:1" x14ac:dyDescent="0.2">
      <c r="A180" t="s">
        <v>6154</v>
      </c>
    </row>
    <row r="181" spans="1:1" x14ac:dyDescent="0.2">
      <c r="A181" t="s">
        <v>6155</v>
      </c>
    </row>
    <row r="182" spans="1:1" x14ac:dyDescent="0.2">
      <c r="A182" t="s">
        <v>6156</v>
      </c>
    </row>
    <row r="183" spans="1:1" x14ac:dyDescent="0.2">
      <c r="A183" t="s">
        <v>6157</v>
      </c>
    </row>
    <row r="184" spans="1:1" x14ac:dyDescent="0.2">
      <c r="A184" t="s">
        <v>6158</v>
      </c>
    </row>
    <row r="185" spans="1:1" x14ac:dyDescent="0.2">
      <c r="A185" t="s">
        <v>6159</v>
      </c>
    </row>
    <row r="186" spans="1:1" x14ac:dyDescent="0.2">
      <c r="A186" t="s">
        <v>6160</v>
      </c>
    </row>
    <row r="187" spans="1:1" x14ac:dyDescent="0.2">
      <c r="A187" t="s">
        <v>6161</v>
      </c>
    </row>
    <row r="188" spans="1:1" x14ac:dyDescent="0.2">
      <c r="A188" t="s">
        <v>6162</v>
      </c>
    </row>
    <row r="189" spans="1:1" x14ac:dyDescent="0.2">
      <c r="A189" t="s">
        <v>6163</v>
      </c>
    </row>
    <row r="190" spans="1:1" x14ac:dyDescent="0.2">
      <c r="A190" t="s">
        <v>6164</v>
      </c>
    </row>
    <row r="191" spans="1:1" x14ac:dyDescent="0.2">
      <c r="A191" t="s">
        <v>6165</v>
      </c>
    </row>
    <row r="192" spans="1:1" x14ac:dyDescent="0.2">
      <c r="A192" t="s">
        <v>6166</v>
      </c>
    </row>
    <row r="193" spans="1:1" x14ac:dyDescent="0.2">
      <c r="A193" t="s">
        <v>6167</v>
      </c>
    </row>
    <row r="194" spans="1:1" x14ac:dyDescent="0.2">
      <c r="A194" t="s">
        <v>6168</v>
      </c>
    </row>
    <row r="195" spans="1:1" x14ac:dyDescent="0.2">
      <c r="A195" t="s">
        <v>6169</v>
      </c>
    </row>
    <row r="196" spans="1:1" x14ac:dyDescent="0.2">
      <c r="A196" t="s">
        <v>7390</v>
      </c>
    </row>
    <row r="197" spans="1:1" x14ac:dyDescent="0.2">
      <c r="A197" t="s">
        <v>6170</v>
      </c>
    </row>
    <row r="198" spans="1:1" x14ac:dyDescent="0.2">
      <c r="A198" t="s">
        <v>7391</v>
      </c>
    </row>
    <row r="199" spans="1:1" x14ac:dyDescent="0.2">
      <c r="A199" t="s">
        <v>6171</v>
      </c>
    </row>
    <row r="200" spans="1:1" x14ac:dyDescent="0.2">
      <c r="A200" t="s">
        <v>6172</v>
      </c>
    </row>
    <row r="201" spans="1:1" x14ac:dyDescent="0.2">
      <c r="A201" t="s">
        <v>6173</v>
      </c>
    </row>
    <row r="202" spans="1:1" x14ac:dyDescent="0.2">
      <c r="A202" t="s">
        <v>6174</v>
      </c>
    </row>
    <row r="203" spans="1:1" x14ac:dyDescent="0.2">
      <c r="A203" t="s">
        <v>6175</v>
      </c>
    </row>
    <row r="204" spans="1:1" x14ac:dyDescent="0.2">
      <c r="A204" t="s">
        <v>6176</v>
      </c>
    </row>
    <row r="205" spans="1:1" x14ac:dyDescent="0.2">
      <c r="A205" t="s">
        <v>6177</v>
      </c>
    </row>
    <row r="206" spans="1:1" x14ac:dyDescent="0.2">
      <c r="A206" t="s">
        <v>6178</v>
      </c>
    </row>
    <row r="207" spans="1:1" x14ac:dyDescent="0.2">
      <c r="A207" t="s">
        <v>6179</v>
      </c>
    </row>
    <row r="208" spans="1:1" x14ac:dyDescent="0.2">
      <c r="A208" t="s">
        <v>6180</v>
      </c>
    </row>
    <row r="209" spans="1:1" x14ac:dyDescent="0.2">
      <c r="A209" t="s">
        <v>7392</v>
      </c>
    </row>
    <row r="210" spans="1:1" x14ac:dyDescent="0.2">
      <c r="A210" t="s">
        <v>6181</v>
      </c>
    </row>
    <row r="211" spans="1:1" x14ac:dyDescent="0.2">
      <c r="A211" t="s">
        <v>6182</v>
      </c>
    </row>
    <row r="212" spans="1:1" x14ac:dyDescent="0.2">
      <c r="A212" t="s">
        <v>6183</v>
      </c>
    </row>
    <row r="213" spans="1:1" x14ac:dyDescent="0.2">
      <c r="A213" t="s">
        <v>6184</v>
      </c>
    </row>
    <row r="214" spans="1:1" x14ac:dyDescent="0.2">
      <c r="A214" t="s">
        <v>6185</v>
      </c>
    </row>
    <row r="215" spans="1:1" x14ac:dyDescent="0.2">
      <c r="A215" t="s">
        <v>6186</v>
      </c>
    </row>
    <row r="216" spans="1:1" x14ac:dyDescent="0.2">
      <c r="A216" t="s">
        <v>6187</v>
      </c>
    </row>
    <row r="217" spans="1:1" x14ac:dyDescent="0.2">
      <c r="A217" t="s">
        <v>6188</v>
      </c>
    </row>
    <row r="218" spans="1:1" x14ac:dyDescent="0.2">
      <c r="A218" t="s">
        <v>6189</v>
      </c>
    </row>
    <row r="219" spans="1:1" x14ac:dyDescent="0.2">
      <c r="A219" t="s">
        <v>6190</v>
      </c>
    </row>
    <row r="220" spans="1:1" x14ac:dyDescent="0.2">
      <c r="A220" t="s">
        <v>6191</v>
      </c>
    </row>
    <row r="221" spans="1:1" x14ac:dyDescent="0.2">
      <c r="A221" t="s">
        <v>6192</v>
      </c>
    </row>
    <row r="222" spans="1:1" x14ac:dyDescent="0.2">
      <c r="A222" t="s">
        <v>6193</v>
      </c>
    </row>
    <row r="223" spans="1:1" x14ac:dyDescent="0.2">
      <c r="A223" t="s">
        <v>6194</v>
      </c>
    </row>
    <row r="224" spans="1:1" x14ac:dyDescent="0.2">
      <c r="A224" t="s">
        <v>6195</v>
      </c>
    </row>
    <row r="225" spans="1:1" x14ac:dyDescent="0.2">
      <c r="A225" t="s">
        <v>6196</v>
      </c>
    </row>
    <row r="226" spans="1:1" x14ac:dyDescent="0.2">
      <c r="A226" t="s">
        <v>6197</v>
      </c>
    </row>
    <row r="227" spans="1:1" x14ac:dyDescent="0.2">
      <c r="A227" t="s">
        <v>6198</v>
      </c>
    </row>
    <row r="228" spans="1:1" x14ac:dyDescent="0.2">
      <c r="A228" t="s">
        <v>6199</v>
      </c>
    </row>
    <row r="229" spans="1:1" x14ac:dyDescent="0.2">
      <c r="A229" t="s">
        <v>6200</v>
      </c>
    </row>
    <row r="230" spans="1:1" x14ac:dyDescent="0.2">
      <c r="A230" t="s">
        <v>6201</v>
      </c>
    </row>
    <row r="231" spans="1:1" x14ac:dyDescent="0.2">
      <c r="A231" t="s">
        <v>6202</v>
      </c>
    </row>
    <row r="232" spans="1:1" x14ac:dyDescent="0.2">
      <c r="A232" t="s">
        <v>6203</v>
      </c>
    </row>
    <row r="233" spans="1:1" x14ac:dyDescent="0.2">
      <c r="A233" t="s">
        <v>6204</v>
      </c>
    </row>
    <row r="234" spans="1:1" x14ac:dyDescent="0.2">
      <c r="A234" t="s">
        <v>6205</v>
      </c>
    </row>
    <row r="235" spans="1:1" x14ac:dyDescent="0.2">
      <c r="A235" t="s">
        <v>6206</v>
      </c>
    </row>
    <row r="236" spans="1:1" x14ac:dyDescent="0.2">
      <c r="A236" t="s">
        <v>6207</v>
      </c>
    </row>
    <row r="237" spans="1:1" x14ac:dyDescent="0.2">
      <c r="A237" t="s">
        <v>6208</v>
      </c>
    </row>
    <row r="238" spans="1:1" x14ac:dyDescent="0.2">
      <c r="A238" t="s">
        <v>6209</v>
      </c>
    </row>
    <row r="239" spans="1:1" x14ac:dyDescent="0.2">
      <c r="A239" t="s">
        <v>6210</v>
      </c>
    </row>
    <row r="240" spans="1:1" x14ac:dyDescent="0.2">
      <c r="A240" t="s">
        <v>6211</v>
      </c>
    </row>
    <row r="241" spans="1:1" x14ac:dyDescent="0.2">
      <c r="A241" t="s">
        <v>6212</v>
      </c>
    </row>
    <row r="242" spans="1:1" x14ac:dyDescent="0.2">
      <c r="A242" t="s">
        <v>6213</v>
      </c>
    </row>
    <row r="243" spans="1:1" x14ac:dyDescent="0.2">
      <c r="A243" t="s">
        <v>6214</v>
      </c>
    </row>
    <row r="244" spans="1:1" x14ac:dyDescent="0.2">
      <c r="A244" t="s">
        <v>6215</v>
      </c>
    </row>
    <row r="245" spans="1:1" x14ac:dyDescent="0.2">
      <c r="A245" t="s">
        <v>6216</v>
      </c>
    </row>
    <row r="246" spans="1:1" x14ac:dyDescent="0.2">
      <c r="A246" t="s">
        <v>6217</v>
      </c>
    </row>
    <row r="247" spans="1:1" x14ac:dyDescent="0.2">
      <c r="A247" t="s">
        <v>6218</v>
      </c>
    </row>
    <row r="248" spans="1:1" x14ac:dyDescent="0.2">
      <c r="A248" t="s">
        <v>6219</v>
      </c>
    </row>
    <row r="249" spans="1:1" x14ac:dyDescent="0.2">
      <c r="A249" t="s">
        <v>6220</v>
      </c>
    </row>
    <row r="250" spans="1:1" x14ac:dyDescent="0.2">
      <c r="A250" t="s">
        <v>6221</v>
      </c>
    </row>
    <row r="251" spans="1:1" x14ac:dyDescent="0.2">
      <c r="A251" t="s">
        <v>6222</v>
      </c>
    </row>
    <row r="252" spans="1:1" x14ac:dyDescent="0.2">
      <c r="A252" t="s">
        <v>6223</v>
      </c>
    </row>
    <row r="253" spans="1:1" x14ac:dyDescent="0.2">
      <c r="A253" t="s">
        <v>6224</v>
      </c>
    </row>
    <row r="254" spans="1:1" x14ac:dyDescent="0.2">
      <c r="A254" t="s">
        <v>6225</v>
      </c>
    </row>
    <row r="255" spans="1:1" x14ac:dyDescent="0.2">
      <c r="A255" t="s">
        <v>6226</v>
      </c>
    </row>
    <row r="256" spans="1:1" x14ac:dyDescent="0.2">
      <c r="A256" t="s">
        <v>6227</v>
      </c>
    </row>
    <row r="257" spans="1:1" x14ac:dyDescent="0.2">
      <c r="A257" t="s">
        <v>6228</v>
      </c>
    </row>
    <row r="258" spans="1:1" x14ac:dyDescent="0.2">
      <c r="A258" t="s">
        <v>6229</v>
      </c>
    </row>
    <row r="259" spans="1:1" x14ac:dyDescent="0.2">
      <c r="A259" t="s">
        <v>6230</v>
      </c>
    </row>
    <row r="260" spans="1:1" x14ac:dyDescent="0.2">
      <c r="A260" t="s">
        <v>6231</v>
      </c>
    </row>
    <row r="261" spans="1:1" x14ac:dyDescent="0.2">
      <c r="A261" t="s">
        <v>6232</v>
      </c>
    </row>
    <row r="262" spans="1:1" x14ac:dyDescent="0.2">
      <c r="A262" t="s">
        <v>6233</v>
      </c>
    </row>
    <row r="263" spans="1:1" x14ac:dyDescent="0.2">
      <c r="A263" t="s">
        <v>6234</v>
      </c>
    </row>
    <row r="264" spans="1:1" x14ac:dyDescent="0.2">
      <c r="A264" t="s">
        <v>6235</v>
      </c>
    </row>
    <row r="265" spans="1:1" x14ac:dyDescent="0.2">
      <c r="A265" t="s">
        <v>6236</v>
      </c>
    </row>
    <row r="266" spans="1:1" x14ac:dyDescent="0.2">
      <c r="A266" t="s">
        <v>6237</v>
      </c>
    </row>
    <row r="267" spans="1:1" x14ac:dyDescent="0.2">
      <c r="A267" t="s">
        <v>6238</v>
      </c>
    </row>
    <row r="268" spans="1:1" x14ac:dyDescent="0.2">
      <c r="A268" t="s">
        <v>6239</v>
      </c>
    </row>
    <row r="269" spans="1:1" x14ac:dyDescent="0.2">
      <c r="A269" t="s">
        <v>6240</v>
      </c>
    </row>
    <row r="270" spans="1:1" x14ac:dyDescent="0.2">
      <c r="A270" t="s">
        <v>6241</v>
      </c>
    </row>
    <row r="271" spans="1:1" x14ac:dyDescent="0.2">
      <c r="A271" t="s">
        <v>6242</v>
      </c>
    </row>
    <row r="272" spans="1:1" x14ac:dyDescent="0.2">
      <c r="A272" t="s">
        <v>6243</v>
      </c>
    </row>
    <row r="273" spans="1:1" x14ac:dyDescent="0.2">
      <c r="A273" t="s">
        <v>6244</v>
      </c>
    </row>
    <row r="274" spans="1:1" x14ac:dyDescent="0.2">
      <c r="A274" t="s">
        <v>6245</v>
      </c>
    </row>
    <row r="275" spans="1:1" x14ac:dyDescent="0.2">
      <c r="A275" t="s">
        <v>6246</v>
      </c>
    </row>
    <row r="276" spans="1:1" x14ac:dyDescent="0.2">
      <c r="A276" t="s">
        <v>6247</v>
      </c>
    </row>
    <row r="277" spans="1:1" x14ac:dyDescent="0.2">
      <c r="A277" t="s">
        <v>6248</v>
      </c>
    </row>
    <row r="278" spans="1:1" x14ac:dyDescent="0.2">
      <c r="A278" t="s">
        <v>6249</v>
      </c>
    </row>
    <row r="279" spans="1:1" x14ac:dyDescent="0.2">
      <c r="A279" t="s">
        <v>6250</v>
      </c>
    </row>
    <row r="280" spans="1:1" x14ac:dyDescent="0.2">
      <c r="A280" t="s">
        <v>6251</v>
      </c>
    </row>
    <row r="281" spans="1:1" x14ac:dyDescent="0.2">
      <c r="A281" t="s">
        <v>6252</v>
      </c>
    </row>
    <row r="282" spans="1:1" x14ac:dyDescent="0.2">
      <c r="A282" t="s">
        <v>6253</v>
      </c>
    </row>
    <row r="283" spans="1:1" x14ac:dyDescent="0.2">
      <c r="A283" t="s">
        <v>6254</v>
      </c>
    </row>
    <row r="284" spans="1:1" x14ac:dyDescent="0.2">
      <c r="A284" t="s">
        <v>6255</v>
      </c>
    </row>
    <row r="285" spans="1:1" x14ac:dyDescent="0.2">
      <c r="A285" t="s">
        <v>6256</v>
      </c>
    </row>
    <row r="286" spans="1:1" x14ac:dyDescent="0.2">
      <c r="A286" t="s">
        <v>6257</v>
      </c>
    </row>
    <row r="287" spans="1:1" x14ac:dyDescent="0.2">
      <c r="A287" t="s">
        <v>6258</v>
      </c>
    </row>
    <row r="288" spans="1:1" x14ac:dyDescent="0.2">
      <c r="A288" t="s">
        <v>6259</v>
      </c>
    </row>
    <row r="289" spans="1:1" x14ac:dyDescent="0.2">
      <c r="A289" t="s">
        <v>6260</v>
      </c>
    </row>
    <row r="290" spans="1:1" x14ac:dyDescent="0.2">
      <c r="A290" t="s">
        <v>6261</v>
      </c>
    </row>
    <row r="291" spans="1:1" x14ac:dyDescent="0.2">
      <c r="A291" t="s">
        <v>6262</v>
      </c>
    </row>
    <row r="292" spans="1:1" x14ac:dyDescent="0.2">
      <c r="A292" t="s">
        <v>6263</v>
      </c>
    </row>
    <row r="293" spans="1:1" x14ac:dyDescent="0.2">
      <c r="A293" t="s">
        <v>6264</v>
      </c>
    </row>
    <row r="294" spans="1:1" x14ac:dyDescent="0.2">
      <c r="A294" t="s">
        <v>6265</v>
      </c>
    </row>
    <row r="295" spans="1:1" x14ac:dyDescent="0.2">
      <c r="A295" t="s">
        <v>6266</v>
      </c>
    </row>
    <row r="296" spans="1:1" x14ac:dyDescent="0.2">
      <c r="A296" t="s">
        <v>6267</v>
      </c>
    </row>
    <row r="297" spans="1:1" x14ac:dyDescent="0.2">
      <c r="A297" t="s">
        <v>6268</v>
      </c>
    </row>
    <row r="298" spans="1:1" x14ac:dyDescent="0.2">
      <c r="A298" t="s">
        <v>6269</v>
      </c>
    </row>
    <row r="299" spans="1:1" x14ac:dyDescent="0.2">
      <c r="A299" t="s">
        <v>6270</v>
      </c>
    </row>
    <row r="300" spans="1:1" x14ac:dyDescent="0.2">
      <c r="A300" t="s">
        <v>6271</v>
      </c>
    </row>
    <row r="301" spans="1:1" x14ac:dyDescent="0.2">
      <c r="A301" t="s">
        <v>6272</v>
      </c>
    </row>
    <row r="302" spans="1:1" x14ac:dyDescent="0.2">
      <c r="A302" t="s">
        <v>6273</v>
      </c>
    </row>
    <row r="303" spans="1:1" x14ac:dyDescent="0.2">
      <c r="A303" t="s">
        <v>6274</v>
      </c>
    </row>
    <row r="304" spans="1:1" x14ac:dyDescent="0.2">
      <c r="A304" t="s">
        <v>6275</v>
      </c>
    </row>
    <row r="305" spans="1:1" x14ac:dyDescent="0.2">
      <c r="A305" t="s">
        <v>6276</v>
      </c>
    </row>
    <row r="306" spans="1:1" x14ac:dyDescent="0.2">
      <c r="A306" t="s">
        <v>6277</v>
      </c>
    </row>
    <row r="307" spans="1:1" x14ac:dyDescent="0.2">
      <c r="A307" t="s">
        <v>6278</v>
      </c>
    </row>
    <row r="308" spans="1:1" x14ac:dyDescent="0.2">
      <c r="A308" t="s">
        <v>6279</v>
      </c>
    </row>
    <row r="309" spans="1:1" x14ac:dyDescent="0.2">
      <c r="A309" t="s">
        <v>6280</v>
      </c>
    </row>
    <row r="310" spans="1:1" x14ac:dyDescent="0.2">
      <c r="A310" t="s">
        <v>6281</v>
      </c>
    </row>
    <row r="311" spans="1:1" x14ac:dyDescent="0.2">
      <c r="A311" t="s">
        <v>6282</v>
      </c>
    </row>
    <row r="312" spans="1:1" x14ac:dyDescent="0.2">
      <c r="A312" t="s">
        <v>6283</v>
      </c>
    </row>
    <row r="313" spans="1:1" x14ac:dyDescent="0.2">
      <c r="A313" t="s">
        <v>6284</v>
      </c>
    </row>
    <row r="314" spans="1:1" x14ac:dyDescent="0.2">
      <c r="A314" t="s">
        <v>6285</v>
      </c>
    </row>
    <row r="315" spans="1:1" x14ac:dyDescent="0.2">
      <c r="A315" t="s">
        <v>6286</v>
      </c>
    </row>
    <row r="316" spans="1:1" x14ac:dyDescent="0.2">
      <c r="A316" t="s">
        <v>6287</v>
      </c>
    </row>
    <row r="317" spans="1:1" x14ac:dyDescent="0.2">
      <c r="A317" t="s">
        <v>6288</v>
      </c>
    </row>
    <row r="318" spans="1:1" x14ac:dyDescent="0.2">
      <c r="A318" t="s">
        <v>6289</v>
      </c>
    </row>
    <row r="319" spans="1:1" x14ac:dyDescent="0.2">
      <c r="A319" t="s">
        <v>6290</v>
      </c>
    </row>
    <row r="320" spans="1:1" x14ac:dyDescent="0.2">
      <c r="A320" t="s">
        <v>6291</v>
      </c>
    </row>
    <row r="321" spans="1:1" x14ac:dyDescent="0.2">
      <c r="A321" t="s">
        <v>6292</v>
      </c>
    </row>
    <row r="322" spans="1:1" x14ac:dyDescent="0.2">
      <c r="A322" t="s">
        <v>6293</v>
      </c>
    </row>
    <row r="323" spans="1:1" x14ac:dyDescent="0.2">
      <c r="A323" t="s">
        <v>6294</v>
      </c>
    </row>
    <row r="324" spans="1:1" x14ac:dyDescent="0.2">
      <c r="A324" t="s">
        <v>6295</v>
      </c>
    </row>
    <row r="325" spans="1:1" x14ac:dyDescent="0.2">
      <c r="A325" t="s">
        <v>6296</v>
      </c>
    </row>
    <row r="326" spans="1:1" x14ac:dyDescent="0.2">
      <c r="A326" t="s">
        <v>6297</v>
      </c>
    </row>
    <row r="327" spans="1:1" x14ac:dyDescent="0.2">
      <c r="A327" t="s">
        <v>6298</v>
      </c>
    </row>
    <row r="328" spans="1:1" x14ac:dyDescent="0.2">
      <c r="A328" t="s">
        <v>6299</v>
      </c>
    </row>
    <row r="329" spans="1:1" x14ac:dyDescent="0.2">
      <c r="A329" t="s">
        <v>6300</v>
      </c>
    </row>
    <row r="330" spans="1:1" x14ac:dyDescent="0.2">
      <c r="A330" t="s">
        <v>6301</v>
      </c>
    </row>
    <row r="331" spans="1:1" x14ac:dyDescent="0.2">
      <c r="A331" t="s">
        <v>6302</v>
      </c>
    </row>
    <row r="332" spans="1:1" x14ac:dyDescent="0.2">
      <c r="A332" t="s">
        <v>6303</v>
      </c>
    </row>
    <row r="333" spans="1:1" x14ac:dyDescent="0.2">
      <c r="A333" t="s">
        <v>6304</v>
      </c>
    </row>
    <row r="334" spans="1:1" x14ac:dyDescent="0.2">
      <c r="A334" t="s">
        <v>6305</v>
      </c>
    </row>
    <row r="335" spans="1:1" x14ac:dyDescent="0.2">
      <c r="A335" t="s">
        <v>6306</v>
      </c>
    </row>
    <row r="336" spans="1:1" x14ac:dyDescent="0.2">
      <c r="A336" t="s">
        <v>6307</v>
      </c>
    </row>
    <row r="337" spans="1:1" x14ac:dyDescent="0.2">
      <c r="A337" t="s">
        <v>6308</v>
      </c>
    </row>
    <row r="338" spans="1:1" x14ac:dyDescent="0.2">
      <c r="A338" t="s">
        <v>6309</v>
      </c>
    </row>
    <row r="339" spans="1:1" x14ac:dyDescent="0.2">
      <c r="A339" t="s">
        <v>6310</v>
      </c>
    </row>
    <row r="340" spans="1:1" x14ac:dyDescent="0.2">
      <c r="A340" t="s">
        <v>6311</v>
      </c>
    </row>
    <row r="341" spans="1:1" x14ac:dyDescent="0.2">
      <c r="A341" t="s">
        <v>6312</v>
      </c>
    </row>
    <row r="342" spans="1:1" x14ac:dyDescent="0.2">
      <c r="A342" t="s">
        <v>6313</v>
      </c>
    </row>
    <row r="343" spans="1:1" x14ac:dyDescent="0.2">
      <c r="A343" t="s">
        <v>6314</v>
      </c>
    </row>
    <row r="344" spans="1:1" x14ac:dyDescent="0.2">
      <c r="A344" t="s">
        <v>6315</v>
      </c>
    </row>
    <row r="345" spans="1:1" x14ac:dyDescent="0.2">
      <c r="A345" t="s">
        <v>6316</v>
      </c>
    </row>
    <row r="346" spans="1:1" x14ac:dyDescent="0.2">
      <c r="A346" t="s">
        <v>6317</v>
      </c>
    </row>
    <row r="347" spans="1:1" x14ac:dyDescent="0.2">
      <c r="A347" t="s">
        <v>6318</v>
      </c>
    </row>
    <row r="348" spans="1:1" x14ac:dyDescent="0.2">
      <c r="A348" t="s">
        <v>6319</v>
      </c>
    </row>
    <row r="349" spans="1:1" x14ac:dyDescent="0.2">
      <c r="A349" t="s">
        <v>6320</v>
      </c>
    </row>
    <row r="350" spans="1:1" x14ac:dyDescent="0.2">
      <c r="A350" t="s">
        <v>6321</v>
      </c>
    </row>
    <row r="351" spans="1:1" x14ac:dyDescent="0.2">
      <c r="A351" t="s">
        <v>6322</v>
      </c>
    </row>
    <row r="352" spans="1:1" x14ac:dyDescent="0.2">
      <c r="A352" t="s">
        <v>6323</v>
      </c>
    </row>
    <row r="353" spans="1:1" x14ac:dyDescent="0.2">
      <c r="A353" t="s">
        <v>6324</v>
      </c>
    </row>
    <row r="354" spans="1:1" x14ac:dyDescent="0.2">
      <c r="A354" t="s">
        <v>6325</v>
      </c>
    </row>
    <row r="355" spans="1:1" x14ac:dyDescent="0.2">
      <c r="A355" t="s">
        <v>6326</v>
      </c>
    </row>
    <row r="356" spans="1:1" x14ac:dyDescent="0.2">
      <c r="A356" t="s">
        <v>6327</v>
      </c>
    </row>
    <row r="357" spans="1:1" x14ac:dyDescent="0.2">
      <c r="A357" t="s">
        <v>6328</v>
      </c>
    </row>
    <row r="358" spans="1:1" x14ac:dyDescent="0.2">
      <c r="A358" t="s">
        <v>6329</v>
      </c>
    </row>
    <row r="359" spans="1:1" x14ac:dyDescent="0.2">
      <c r="A359" t="s">
        <v>6330</v>
      </c>
    </row>
    <row r="360" spans="1:1" x14ac:dyDescent="0.2">
      <c r="A360" t="s">
        <v>6331</v>
      </c>
    </row>
    <row r="361" spans="1:1" x14ac:dyDescent="0.2">
      <c r="A361" t="s">
        <v>6332</v>
      </c>
    </row>
    <row r="362" spans="1:1" x14ac:dyDescent="0.2">
      <c r="A362" t="s">
        <v>6333</v>
      </c>
    </row>
    <row r="363" spans="1:1" x14ac:dyDescent="0.2">
      <c r="A363" t="s">
        <v>6334</v>
      </c>
    </row>
    <row r="364" spans="1:1" x14ac:dyDescent="0.2">
      <c r="A364" t="s">
        <v>6335</v>
      </c>
    </row>
    <row r="365" spans="1:1" x14ac:dyDescent="0.2">
      <c r="A365" t="s">
        <v>6336</v>
      </c>
    </row>
    <row r="366" spans="1:1" x14ac:dyDescent="0.2">
      <c r="A366" t="s">
        <v>6337</v>
      </c>
    </row>
    <row r="367" spans="1:1" x14ac:dyDescent="0.2">
      <c r="A367" t="s">
        <v>6338</v>
      </c>
    </row>
    <row r="368" spans="1:1" x14ac:dyDescent="0.2">
      <c r="A368" t="s">
        <v>6339</v>
      </c>
    </row>
    <row r="369" spans="1:1" x14ac:dyDescent="0.2">
      <c r="A369" t="s">
        <v>6340</v>
      </c>
    </row>
    <row r="370" spans="1:1" x14ac:dyDescent="0.2">
      <c r="A370" t="s">
        <v>6341</v>
      </c>
    </row>
    <row r="371" spans="1:1" x14ac:dyDescent="0.2">
      <c r="A371" t="s">
        <v>6342</v>
      </c>
    </row>
    <row r="372" spans="1:1" x14ac:dyDescent="0.2">
      <c r="A372" t="s">
        <v>6343</v>
      </c>
    </row>
    <row r="373" spans="1:1" x14ac:dyDescent="0.2">
      <c r="A373" t="s">
        <v>6344</v>
      </c>
    </row>
    <row r="374" spans="1:1" x14ac:dyDescent="0.2">
      <c r="A374" t="s">
        <v>6345</v>
      </c>
    </row>
    <row r="375" spans="1:1" x14ac:dyDescent="0.2">
      <c r="A375" t="s">
        <v>6346</v>
      </c>
    </row>
    <row r="376" spans="1:1" x14ac:dyDescent="0.2">
      <c r="A376" t="s">
        <v>6347</v>
      </c>
    </row>
    <row r="377" spans="1:1" x14ac:dyDescent="0.2">
      <c r="A377" t="s">
        <v>6348</v>
      </c>
    </row>
    <row r="378" spans="1:1" x14ac:dyDescent="0.2">
      <c r="A378" t="s">
        <v>6349</v>
      </c>
    </row>
    <row r="379" spans="1:1" x14ac:dyDescent="0.2">
      <c r="A379" t="s">
        <v>6350</v>
      </c>
    </row>
    <row r="380" spans="1:1" x14ac:dyDescent="0.2">
      <c r="A380" t="s">
        <v>6351</v>
      </c>
    </row>
    <row r="381" spans="1:1" x14ac:dyDescent="0.2">
      <c r="A381" t="s">
        <v>6352</v>
      </c>
    </row>
    <row r="382" spans="1:1" x14ac:dyDescent="0.2">
      <c r="A382" t="s">
        <v>6353</v>
      </c>
    </row>
    <row r="383" spans="1:1" x14ac:dyDescent="0.2">
      <c r="A383" t="s">
        <v>6354</v>
      </c>
    </row>
    <row r="384" spans="1:1" x14ac:dyDescent="0.2">
      <c r="A384" t="s">
        <v>6355</v>
      </c>
    </row>
    <row r="385" spans="1:1" x14ac:dyDescent="0.2">
      <c r="A385" t="s">
        <v>6356</v>
      </c>
    </row>
    <row r="386" spans="1:1" x14ac:dyDescent="0.2">
      <c r="A386" t="s">
        <v>6357</v>
      </c>
    </row>
    <row r="387" spans="1:1" x14ac:dyDescent="0.2">
      <c r="A387" t="s">
        <v>6358</v>
      </c>
    </row>
    <row r="388" spans="1:1" x14ac:dyDescent="0.2">
      <c r="A388" t="s">
        <v>6359</v>
      </c>
    </row>
    <row r="389" spans="1:1" x14ac:dyDescent="0.2">
      <c r="A389" t="s">
        <v>6360</v>
      </c>
    </row>
    <row r="390" spans="1:1" x14ac:dyDescent="0.2">
      <c r="A390" t="s">
        <v>6361</v>
      </c>
    </row>
    <row r="391" spans="1:1" x14ac:dyDescent="0.2">
      <c r="A391" t="s">
        <v>6362</v>
      </c>
    </row>
    <row r="392" spans="1:1" x14ac:dyDescent="0.2">
      <c r="A392" t="s">
        <v>6363</v>
      </c>
    </row>
    <row r="393" spans="1:1" x14ac:dyDescent="0.2">
      <c r="A393" t="s">
        <v>6364</v>
      </c>
    </row>
    <row r="394" spans="1:1" x14ac:dyDescent="0.2">
      <c r="A394" t="s">
        <v>6365</v>
      </c>
    </row>
    <row r="395" spans="1:1" x14ac:dyDescent="0.2">
      <c r="A395" t="s">
        <v>6366</v>
      </c>
    </row>
    <row r="396" spans="1:1" x14ac:dyDescent="0.2">
      <c r="A396" t="s">
        <v>6367</v>
      </c>
    </row>
    <row r="397" spans="1:1" x14ac:dyDescent="0.2">
      <c r="A397" t="s">
        <v>6368</v>
      </c>
    </row>
    <row r="398" spans="1:1" x14ac:dyDescent="0.2">
      <c r="A398" t="s">
        <v>6369</v>
      </c>
    </row>
    <row r="399" spans="1:1" x14ac:dyDescent="0.2">
      <c r="A399" t="s">
        <v>6370</v>
      </c>
    </row>
    <row r="400" spans="1:1" x14ac:dyDescent="0.2">
      <c r="A400" t="s">
        <v>6371</v>
      </c>
    </row>
    <row r="401" spans="1:1" x14ac:dyDescent="0.2">
      <c r="A401" t="s">
        <v>6372</v>
      </c>
    </row>
    <row r="402" spans="1:1" x14ac:dyDescent="0.2">
      <c r="A402" t="s">
        <v>6373</v>
      </c>
    </row>
    <row r="403" spans="1:1" x14ac:dyDescent="0.2">
      <c r="A403" t="s">
        <v>6374</v>
      </c>
    </row>
    <row r="404" spans="1:1" x14ac:dyDescent="0.2">
      <c r="A404" t="s">
        <v>6375</v>
      </c>
    </row>
    <row r="405" spans="1:1" x14ac:dyDescent="0.2">
      <c r="A405" t="s">
        <v>6376</v>
      </c>
    </row>
    <row r="406" spans="1:1" x14ac:dyDescent="0.2">
      <c r="A406" t="s">
        <v>6377</v>
      </c>
    </row>
    <row r="407" spans="1:1" x14ac:dyDescent="0.2">
      <c r="A407" t="s">
        <v>6378</v>
      </c>
    </row>
    <row r="408" spans="1:1" x14ac:dyDescent="0.2">
      <c r="A408" t="s">
        <v>6379</v>
      </c>
    </row>
    <row r="409" spans="1:1" x14ac:dyDescent="0.2">
      <c r="A409" t="s">
        <v>6380</v>
      </c>
    </row>
    <row r="410" spans="1:1" x14ac:dyDescent="0.2">
      <c r="A410" t="s">
        <v>6381</v>
      </c>
    </row>
    <row r="411" spans="1:1" x14ac:dyDescent="0.2">
      <c r="A411" t="s">
        <v>6382</v>
      </c>
    </row>
    <row r="412" spans="1:1" x14ac:dyDescent="0.2">
      <c r="A412" t="s">
        <v>6383</v>
      </c>
    </row>
    <row r="413" spans="1:1" x14ac:dyDescent="0.2">
      <c r="A413" t="s">
        <v>7393</v>
      </c>
    </row>
    <row r="414" spans="1:1" x14ac:dyDescent="0.2">
      <c r="A414" t="s">
        <v>6384</v>
      </c>
    </row>
    <row r="415" spans="1:1" x14ac:dyDescent="0.2">
      <c r="A415" t="s">
        <v>6385</v>
      </c>
    </row>
    <row r="416" spans="1:1" x14ac:dyDescent="0.2">
      <c r="A416" t="s">
        <v>6386</v>
      </c>
    </row>
    <row r="417" spans="1:1" x14ac:dyDescent="0.2">
      <c r="A417" t="s">
        <v>6387</v>
      </c>
    </row>
    <row r="418" spans="1:1" x14ac:dyDescent="0.2">
      <c r="A418" t="s">
        <v>6388</v>
      </c>
    </row>
    <row r="419" spans="1:1" x14ac:dyDescent="0.2">
      <c r="A419" t="s">
        <v>6389</v>
      </c>
    </row>
    <row r="420" spans="1:1" x14ac:dyDescent="0.2">
      <c r="A420" t="s">
        <v>6390</v>
      </c>
    </row>
    <row r="421" spans="1:1" x14ac:dyDescent="0.2">
      <c r="A421" t="s">
        <v>6391</v>
      </c>
    </row>
    <row r="422" spans="1:1" x14ac:dyDescent="0.2">
      <c r="A422" t="s">
        <v>6392</v>
      </c>
    </row>
    <row r="423" spans="1:1" x14ac:dyDescent="0.2">
      <c r="A423" t="s">
        <v>6393</v>
      </c>
    </row>
    <row r="424" spans="1:1" x14ac:dyDescent="0.2">
      <c r="A424" t="s">
        <v>6394</v>
      </c>
    </row>
    <row r="425" spans="1:1" x14ac:dyDescent="0.2">
      <c r="A425" t="s">
        <v>6395</v>
      </c>
    </row>
    <row r="426" spans="1:1" x14ac:dyDescent="0.2">
      <c r="A426" t="s">
        <v>6396</v>
      </c>
    </row>
    <row r="427" spans="1:1" x14ac:dyDescent="0.2">
      <c r="A427" t="s">
        <v>6397</v>
      </c>
    </row>
    <row r="428" spans="1:1" x14ac:dyDescent="0.2">
      <c r="A428" t="s">
        <v>6398</v>
      </c>
    </row>
    <row r="429" spans="1:1" x14ac:dyDescent="0.2">
      <c r="A429" t="s">
        <v>6399</v>
      </c>
    </row>
    <row r="430" spans="1:1" x14ac:dyDescent="0.2">
      <c r="A430" t="s">
        <v>6400</v>
      </c>
    </row>
    <row r="431" spans="1:1" x14ac:dyDescent="0.2">
      <c r="A431" t="s">
        <v>6401</v>
      </c>
    </row>
    <row r="432" spans="1:1" x14ac:dyDescent="0.2">
      <c r="A432" t="s">
        <v>6402</v>
      </c>
    </row>
    <row r="433" spans="1:1" x14ac:dyDescent="0.2">
      <c r="A433" t="s">
        <v>6403</v>
      </c>
    </row>
    <row r="434" spans="1:1" x14ac:dyDescent="0.2">
      <c r="A434" t="s">
        <v>6404</v>
      </c>
    </row>
    <row r="435" spans="1:1" x14ac:dyDescent="0.2">
      <c r="A435" t="s">
        <v>6405</v>
      </c>
    </row>
    <row r="436" spans="1:1" x14ac:dyDescent="0.2">
      <c r="A436" t="s">
        <v>6406</v>
      </c>
    </row>
    <row r="437" spans="1:1" x14ac:dyDescent="0.2">
      <c r="A437" t="s">
        <v>6407</v>
      </c>
    </row>
    <row r="438" spans="1:1" x14ac:dyDescent="0.2">
      <c r="A438" t="s">
        <v>6408</v>
      </c>
    </row>
    <row r="439" spans="1:1" x14ac:dyDescent="0.2">
      <c r="A439" t="s">
        <v>6409</v>
      </c>
    </row>
    <row r="440" spans="1:1" x14ac:dyDescent="0.2">
      <c r="A440" t="s">
        <v>6410</v>
      </c>
    </row>
    <row r="441" spans="1:1" x14ac:dyDescent="0.2">
      <c r="A441" t="s">
        <v>6411</v>
      </c>
    </row>
    <row r="442" spans="1:1" x14ac:dyDescent="0.2">
      <c r="A442" t="s">
        <v>6412</v>
      </c>
    </row>
    <row r="443" spans="1:1" x14ac:dyDescent="0.2">
      <c r="A443" t="s">
        <v>6413</v>
      </c>
    </row>
    <row r="444" spans="1:1" x14ac:dyDescent="0.2">
      <c r="A444" t="s">
        <v>6414</v>
      </c>
    </row>
    <row r="445" spans="1:1" x14ac:dyDescent="0.2">
      <c r="A445" t="s">
        <v>6415</v>
      </c>
    </row>
    <row r="446" spans="1:1" x14ac:dyDescent="0.2">
      <c r="A446" t="s">
        <v>6416</v>
      </c>
    </row>
    <row r="447" spans="1:1" x14ac:dyDescent="0.2">
      <c r="A447" t="s">
        <v>6417</v>
      </c>
    </row>
    <row r="448" spans="1:1" x14ac:dyDescent="0.2">
      <c r="A448" t="s">
        <v>6418</v>
      </c>
    </row>
    <row r="449" spans="1:1" x14ac:dyDescent="0.2">
      <c r="A449" t="s">
        <v>6419</v>
      </c>
    </row>
    <row r="450" spans="1:1" x14ac:dyDescent="0.2">
      <c r="A450" t="s">
        <v>7394</v>
      </c>
    </row>
    <row r="451" spans="1:1" x14ac:dyDescent="0.2">
      <c r="A451" t="s">
        <v>6420</v>
      </c>
    </row>
    <row r="452" spans="1:1" x14ac:dyDescent="0.2">
      <c r="A452" t="s">
        <v>6421</v>
      </c>
    </row>
    <row r="453" spans="1:1" x14ac:dyDescent="0.2">
      <c r="A453" t="s">
        <v>6422</v>
      </c>
    </row>
    <row r="454" spans="1:1" x14ac:dyDescent="0.2">
      <c r="A454" t="s">
        <v>6423</v>
      </c>
    </row>
    <row r="455" spans="1:1" x14ac:dyDescent="0.2">
      <c r="A455" t="s">
        <v>6424</v>
      </c>
    </row>
    <row r="456" spans="1:1" x14ac:dyDescent="0.2">
      <c r="A456" t="s">
        <v>6425</v>
      </c>
    </row>
    <row r="457" spans="1:1" x14ac:dyDescent="0.2">
      <c r="A457" t="s">
        <v>6426</v>
      </c>
    </row>
    <row r="458" spans="1:1" x14ac:dyDescent="0.2">
      <c r="A458" t="s">
        <v>6427</v>
      </c>
    </row>
    <row r="459" spans="1:1" x14ac:dyDescent="0.2">
      <c r="A459" t="s">
        <v>6428</v>
      </c>
    </row>
    <row r="460" spans="1:1" x14ac:dyDescent="0.2">
      <c r="A460" t="s">
        <v>6429</v>
      </c>
    </row>
    <row r="461" spans="1:1" x14ac:dyDescent="0.2">
      <c r="A461" t="s">
        <v>6430</v>
      </c>
    </row>
    <row r="462" spans="1:1" x14ac:dyDescent="0.2">
      <c r="A462" t="s">
        <v>6431</v>
      </c>
    </row>
    <row r="463" spans="1:1" x14ac:dyDescent="0.2">
      <c r="A463" t="s">
        <v>6432</v>
      </c>
    </row>
    <row r="464" spans="1:1" x14ac:dyDescent="0.2">
      <c r="A464" t="s">
        <v>6433</v>
      </c>
    </row>
    <row r="465" spans="1:1" x14ac:dyDescent="0.2">
      <c r="A465" t="s">
        <v>6434</v>
      </c>
    </row>
    <row r="466" spans="1:1" x14ac:dyDescent="0.2">
      <c r="A466" t="s">
        <v>6435</v>
      </c>
    </row>
    <row r="467" spans="1:1" x14ac:dyDescent="0.2">
      <c r="A467" t="s">
        <v>6436</v>
      </c>
    </row>
    <row r="468" spans="1:1" x14ac:dyDescent="0.2">
      <c r="A468" t="s">
        <v>6437</v>
      </c>
    </row>
    <row r="469" spans="1:1" x14ac:dyDescent="0.2">
      <c r="A469" t="s">
        <v>6438</v>
      </c>
    </row>
    <row r="470" spans="1:1" x14ac:dyDescent="0.2">
      <c r="A470" t="s">
        <v>6439</v>
      </c>
    </row>
    <row r="471" spans="1:1" x14ac:dyDescent="0.2">
      <c r="A471" t="s">
        <v>6440</v>
      </c>
    </row>
    <row r="472" spans="1:1" x14ac:dyDescent="0.2">
      <c r="A472" t="s">
        <v>6441</v>
      </c>
    </row>
    <row r="473" spans="1:1" x14ac:dyDescent="0.2">
      <c r="A473" t="s">
        <v>6442</v>
      </c>
    </row>
    <row r="474" spans="1:1" x14ac:dyDescent="0.2">
      <c r="A474" t="s">
        <v>6443</v>
      </c>
    </row>
    <row r="475" spans="1:1" x14ac:dyDescent="0.2">
      <c r="A475" t="s">
        <v>6444</v>
      </c>
    </row>
    <row r="476" spans="1:1" x14ac:dyDescent="0.2">
      <c r="A476" t="s">
        <v>6445</v>
      </c>
    </row>
    <row r="477" spans="1:1" x14ac:dyDescent="0.2">
      <c r="A477" t="s">
        <v>6446</v>
      </c>
    </row>
    <row r="478" spans="1:1" x14ac:dyDescent="0.2">
      <c r="A478" t="s">
        <v>6447</v>
      </c>
    </row>
    <row r="479" spans="1:1" x14ac:dyDescent="0.2">
      <c r="A479" t="s">
        <v>6448</v>
      </c>
    </row>
    <row r="480" spans="1:1" x14ac:dyDescent="0.2">
      <c r="A480" t="s">
        <v>6449</v>
      </c>
    </row>
    <row r="481" spans="1:1" x14ac:dyDescent="0.2">
      <c r="A481" t="s">
        <v>6450</v>
      </c>
    </row>
    <row r="482" spans="1:1" x14ac:dyDescent="0.2">
      <c r="A482" t="s">
        <v>6451</v>
      </c>
    </row>
    <row r="483" spans="1:1" x14ac:dyDescent="0.2">
      <c r="A483" t="s">
        <v>6452</v>
      </c>
    </row>
    <row r="484" spans="1:1" x14ac:dyDescent="0.2">
      <c r="A484" t="s">
        <v>6453</v>
      </c>
    </row>
    <row r="485" spans="1:1" x14ac:dyDescent="0.2">
      <c r="A485" t="s">
        <v>6454</v>
      </c>
    </row>
    <row r="486" spans="1:1" x14ac:dyDescent="0.2">
      <c r="A486" t="s">
        <v>6455</v>
      </c>
    </row>
    <row r="487" spans="1:1" x14ac:dyDescent="0.2">
      <c r="A487" t="s">
        <v>6456</v>
      </c>
    </row>
    <row r="488" spans="1:1" x14ac:dyDescent="0.2">
      <c r="A488" t="s">
        <v>6457</v>
      </c>
    </row>
    <row r="489" spans="1:1" x14ac:dyDescent="0.2">
      <c r="A489" t="s">
        <v>6458</v>
      </c>
    </row>
    <row r="490" spans="1:1" x14ac:dyDescent="0.2">
      <c r="A490" t="s">
        <v>6459</v>
      </c>
    </row>
    <row r="491" spans="1:1" x14ac:dyDescent="0.2">
      <c r="A491" t="s">
        <v>6460</v>
      </c>
    </row>
    <row r="492" spans="1:1" x14ac:dyDescent="0.2">
      <c r="A492" t="s">
        <v>6461</v>
      </c>
    </row>
    <row r="493" spans="1:1" x14ac:dyDescent="0.2">
      <c r="A493" t="s">
        <v>6462</v>
      </c>
    </row>
    <row r="494" spans="1:1" x14ac:dyDescent="0.2">
      <c r="A494" t="s">
        <v>6463</v>
      </c>
    </row>
    <row r="495" spans="1:1" x14ac:dyDescent="0.2">
      <c r="A495" t="s">
        <v>6464</v>
      </c>
    </row>
    <row r="496" spans="1:1" x14ac:dyDescent="0.2">
      <c r="A496" t="s">
        <v>6465</v>
      </c>
    </row>
    <row r="497" spans="1:1" x14ac:dyDescent="0.2">
      <c r="A497" t="s">
        <v>6466</v>
      </c>
    </row>
    <row r="498" spans="1:1" x14ac:dyDescent="0.2">
      <c r="A498" t="s">
        <v>6467</v>
      </c>
    </row>
    <row r="499" spans="1:1" x14ac:dyDescent="0.2">
      <c r="A499" t="s">
        <v>6468</v>
      </c>
    </row>
    <row r="500" spans="1:1" x14ac:dyDescent="0.2">
      <c r="A500" t="s">
        <v>6469</v>
      </c>
    </row>
    <row r="501" spans="1:1" x14ac:dyDescent="0.2">
      <c r="A501" t="s">
        <v>6470</v>
      </c>
    </row>
    <row r="502" spans="1:1" x14ac:dyDescent="0.2">
      <c r="A502" t="s">
        <v>6471</v>
      </c>
    </row>
    <row r="503" spans="1:1" x14ac:dyDescent="0.2">
      <c r="A503" t="s">
        <v>6472</v>
      </c>
    </row>
    <row r="504" spans="1:1" x14ac:dyDescent="0.2">
      <c r="A504" t="s">
        <v>6473</v>
      </c>
    </row>
    <row r="505" spans="1:1" x14ac:dyDescent="0.2">
      <c r="A505" t="s">
        <v>6474</v>
      </c>
    </row>
    <row r="506" spans="1:1" x14ac:dyDescent="0.2">
      <c r="A506" t="s">
        <v>6475</v>
      </c>
    </row>
    <row r="507" spans="1:1" x14ac:dyDescent="0.2">
      <c r="A507" t="s">
        <v>6476</v>
      </c>
    </row>
    <row r="508" spans="1:1" x14ac:dyDescent="0.2">
      <c r="A508" t="s">
        <v>6477</v>
      </c>
    </row>
    <row r="509" spans="1:1" x14ac:dyDescent="0.2">
      <c r="A509" t="s">
        <v>6478</v>
      </c>
    </row>
    <row r="510" spans="1:1" x14ac:dyDescent="0.2">
      <c r="A510" t="s">
        <v>6479</v>
      </c>
    </row>
    <row r="511" spans="1:1" x14ac:dyDescent="0.2">
      <c r="A511" t="s">
        <v>6480</v>
      </c>
    </row>
    <row r="512" spans="1:1" x14ac:dyDescent="0.2">
      <c r="A512" t="s">
        <v>6481</v>
      </c>
    </row>
    <row r="513" spans="1:1" x14ac:dyDescent="0.2">
      <c r="A513" t="s">
        <v>6482</v>
      </c>
    </row>
    <row r="514" spans="1:1" x14ac:dyDescent="0.2">
      <c r="A514" t="s">
        <v>6483</v>
      </c>
    </row>
    <row r="515" spans="1:1" x14ac:dyDescent="0.2">
      <c r="A515" t="s">
        <v>6484</v>
      </c>
    </row>
    <row r="516" spans="1:1" x14ac:dyDescent="0.2">
      <c r="A516" t="s">
        <v>6485</v>
      </c>
    </row>
    <row r="517" spans="1:1" x14ac:dyDescent="0.2">
      <c r="A517" t="s">
        <v>6486</v>
      </c>
    </row>
    <row r="518" spans="1:1" x14ac:dyDescent="0.2">
      <c r="A518" t="s">
        <v>6487</v>
      </c>
    </row>
    <row r="519" spans="1:1" x14ac:dyDescent="0.2">
      <c r="A519" t="s">
        <v>6488</v>
      </c>
    </row>
    <row r="520" spans="1:1" x14ac:dyDescent="0.2">
      <c r="A520" t="s">
        <v>6489</v>
      </c>
    </row>
    <row r="521" spans="1:1" x14ac:dyDescent="0.2">
      <c r="A521" t="s">
        <v>6490</v>
      </c>
    </row>
    <row r="522" spans="1:1" x14ac:dyDescent="0.2">
      <c r="A522" t="s">
        <v>6491</v>
      </c>
    </row>
    <row r="523" spans="1:1" x14ac:dyDescent="0.2">
      <c r="A523" t="s">
        <v>6492</v>
      </c>
    </row>
    <row r="524" spans="1:1" x14ac:dyDescent="0.2">
      <c r="A524" t="s">
        <v>6493</v>
      </c>
    </row>
    <row r="525" spans="1:1" x14ac:dyDescent="0.2">
      <c r="A525" t="s">
        <v>6494</v>
      </c>
    </row>
    <row r="526" spans="1:1" x14ac:dyDescent="0.2">
      <c r="A526" t="s">
        <v>6495</v>
      </c>
    </row>
    <row r="527" spans="1:1" x14ac:dyDescent="0.2">
      <c r="A527" t="s">
        <v>6496</v>
      </c>
    </row>
    <row r="528" spans="1:1" x14ac:dyDescent="0.2">
      <c r="A528" t="s">
        <v>6497</v>
      </c>
    </row>
    <row r="529" spans="1:1" x14ac:dyDescent="0.2">
      <c r="A529" t="s">
        <v>6498</v>
      </c>
    </row>
    <row r="530" spans="1:1" x14ac:dyDescent="0.2">
      <c r="A530" t="s">
        <v>6499</v>
      </c>
    </row>
    <row r="531" spans="1:1" x14ac:dyDescent="0.2">
      <c r="A531" t="s">
        <v>6500</v>
      </c>
    </row>
    <row r="532" spans="1:1" x14ac:dyDescent="0.2">
      <c r="A532" t="s">
        <v>6501</v>
      </c>
    </row>
    <row r="533" spans="1:1" x14ac:dyDescent="0.2">
      <c r="A533" t="s">
        <v>6502</v>
      </c>
    </row>
    <row r="534" spans="1:1" x14ac:dyDescent="0.2">
      <c r="A534" t="s">
        <v>6503</v>
      </c>
    </row>
    <row r="535" spans="1:1" x14ac:dyDescent="0.2">
      <c r="A535" t="s">
        <v>6504</v>
      </c>
    </row>
    <row r="536" spans="1:1" x14ac:dyDescent="0.2">
      <c r="A536" t="s">
        <v>6505</v>
      </c>
    </row>
    <row r="537" spans="1:1" x14ac:dyDescent="0.2">
      <c r="A537" t="s">
        <v>6506</v>
      </c>
    </row>
    <row r="538" spans="1:1" x14ac:dyDescent="0.2">
      <c r="A538" t="s">
        <v>6507</v>
      </c>
    </row>
    <row r="539" spans="1:1" x14ac:dyDescent="0.2">
      <c r="A539" t="s">
        <v>6508</v>
      </c>
    </row>
    <row r="540" spans="1:1" x14ac:dyDescent="0.2">
      <c r="A540" t="s">
        <v>6509</v>
      </c>
    </row>
    <row r="541" spans="1:1" x14ac:dyDescent="0.2">
      <c r="A541" t="s">
        <v>6510</v>
      </c>
    </row>
    <row r="542" spans="1:1" x14ac:dyDescent="0.2">
      <c r="A542" t="s">
        <v>6511</v>
      </c>
    </row>
    <row r="543" spans="1:1" x14ac:dyDescent="0.2">
      <c r="A543" t="s">
        <v>6512</v>
      </c>
    </row>
    <row r="544" spans="1:1" x14ac:dyDescent="0.2">
      <c r="A544" t="s">
        <v>6513</v>
      </c>
    </row>
    <row r="545" spans="1:1" x14ac:dyDescent="0.2">
      <c r="A545" t="s">
        <v>6514</v>
      </c>
    </row>
    <row r="546" spans="1:1" x14ac:dyDescent="0.2">
      <c r="A546" t="s">
        <v>6515</v>
      </c>
    </row>
    <row r="547" spans="1:1" x14ac:dyDescent="0.2">
      <c r="A547" t="s">
        <v>6516</v>
      </c>
    </row>
    <row r="548" spans="1:1" x14ac:dyDescent="0.2">
      <c r="A548" t="s">
        <v>6517</v>
      </c>
    </row>
    <row r="549" spans="1:1" x14ac:dyDescent="0.2">
      <c r="A549" t="s">
        <v>6518</v>
      </c>
    </row>
    <row r="550" spans="1:1" x14ac:dyDescent="0.2">
      <c r="A550" t="s">
        <v>6519</v>
      </c>
    </row>
    <row r="551" spans="1:1" x14ac:dyDescent="0.2">
      <c r="A551" t="s">
        <v>6520</v>
      </c>
    </row>
    <row r="552" spans="1:1" x14ac:dyDescent="0.2">
      <c r="A552" t="s">
        <v>6521</v>
      </c>
    </row>
    <row r="553" spans="1:1" x14ac:dyDescent="0.2">
      <c r="A553" t="s">
        <v>6522</v>
      </c>
    </row>
    <row r="554" spans="1:1" x14ac:dyDescent="0.2">
      <c r="A554" t="s">
        <v>6523</v>
      </c>
    </row>
    <row r="555" spans="1:1" x14ac:dyDescent="0.2">
      <c r="A555" t="s">
        <v>6524</v>
      </c>
    </row>
    <row r="556" spans="1:1" x14ac:dyDescent="0.2">
      <c r="A556" t="s">
        <v>6525</v>
      </c>
    </row>
    <row r="557" spans="1:1" x14ac:dyDescent="0.2">
      <c r="A557" t="s">
        <v>6526</v>
      </c>
    </row>
    <row r="558" spans="1:1" x14ac:dyDescent="0.2">
      <c r="A558" t="s">
        <v>6527</v>
      </c>
    </row>
    <row r="559" spans="1:1" x14ac:dyDescent="0.2">
      <c r="A559" t="s">
        <v>6528</v>
      </c>
    </row>
    <row r="560" spans="1:1" x14ac:dyDescent="0.2">
      <c r="A560" t="s">
        <v>6529</v>
      </c>
    </row>
    <row r="561" spans="1:1" x14ac:dyDescent="0.2">
      <c r="A561" t="s">
        <v>6530</v>
      </c>
    </row>
    <row r="562" spans="1:1" x14ac:dyDescent="0.2">
      <c r="A562" t="s">
        <v>6531</v>
      </c>
    </row>
    <row r="563" spans="1:1" x14ac:dyDescent="0.2">
      <c r="A563" t="s">
        <v>6532</v>
      </c>
    </row>
    <row r="564" spans="1:1" x14ac:dyDescent="0.2">
      <c r="A564" t="s">
        <v>6533</v>
      </c>
    </row>
    <row r="565" spans="1:1" x14ac:dyDescent="0.2">
      <c r="A565" t="s">
        <v>6534</v>
      </c>
    </row>
    <row r="566" spans="1:1" x14ac:dyDescent="0.2">
      <c r="A566" t="s">
        <v>6535</v>
      </c>
    </row>
    <row r="567" spans="1:1" x14ac:dyDescent="0.2">
      <c r="A567" t="s">
        <v>6536</v>
      </c>
    </row>
    <row r="568" spans="1:1" x14ac:dyDescent="0.2">
      <c r="A568" t="s">
        <v>7395</v>
      </c>
    </row>
    <row r="569" spans="1:1" x14ac:dyDescent="0.2">
      <c r="A569" t="s">
        <v>6537</v>
      </c>
    </row>
    <row r="570" spans="1:1" x14ac:dyDescent="0.2">
      <c r="A570" t="s">
        <v>6538</v>
      </c>
    </row>
    <row r="571" spans="1:1" x14ac:dyDescent="0.2">
      <c r="A571" t="s">
        <v>6539</v>
      </c>
    </row>
    <row r="572" spans="1:1" x14ac:dyDescent="0.2">
      <c r="A572" t="s">
        <v>6540</v>
      </c>
    </row>
    <row r="573" spans="1:1" x14ac:dyDescent="0.2">
      <c r="A573" t="s">
        <v>6541</v>
      </c>
    </row>
    <row r="574" spans="1:1" x14ac:dyDescent="0.2">
      <c r="A574" t="s">
        <v>6542</v>
      </c>
    </row>
    <row r="575" spans="1:1" x14ac:dyDescent="0.2">
      <c r="A575" t="s">
        <v>6543</v>
      </c>
    </row>
    <row r="576" spans="1:1" x14ac:dyDescent="0.2">
      <c r="A576" t="s">
        <v>6544</v>
      </c>
    </row>
    <row r="577" spans="1:1" x14ac:dyDescent="0.2">
      <c r="A577" t="s">
        <v>6545</v>
      </c>
    </row>
    <row r="578" spans="1:1" x14ac:dyDescent="0.2">
      <c r="A578" t="s">
        <v>6546</v>
      </c>
    </row>
    <row r="579" spans="1:1" x14ac:dyDescent="0.2">
      <c r="A579" t="s">
        <v>6547</v>
      </c>
    </row>
    <row r="580" spans="1:1" x14ac:dyDescent="0.2">
      <c r="A580" t="s">
        <v>6548</v>
      </c>
    </row>
    <row r="581" spans="1:1" x14ac:dyDescent="0.2">
      <c r="A581" t="s">
        <v>6549</v>
      </c>
    </row>
    <row r="582" spans="1:1" x14ac:dyDescent="0.2">
      <c r="A582" t="s">
        <v>6550</v>
      </c>
    </row>
    <row r="583" spans="1:1" x14ac:dyDescent="0.2">
      <c r="A583" t="s">
        <v>6551</v>
      </c>
    </row>
    <row r="584" spans="1:1" x14ac:dyDescent="0.2">
      <c r="A584" t="s">
        <v>6552</v>
      </c>
    </row>
    <row r="585" spans="1:1" x14ac:dyDescent="0.2">
      <c r="A585" t="s">
        <v>6553</v>
      </c>
    </row>
    <row r="586" spans="1:1" x14ac:dyDescent="0.2">
      <c r="A586" t="s">
        <v>6554</v>
      </c>
    </row>
    <row r="587" spans="1:1" x14ac:dyDescent="0.2">
      <c r="A587" t="s">
        <v>6555</v>
      </c>
    </row>
    <row r="588" spans="1:1" x14ac:dyDescent="0.2">
      <c r="A588" t="s">
        <v>6556</v>
      </c>
    </row>
    <row r="589" spans="1:1" x14ac:dyDescent="0.2">
      <c r="A589" t="s">
        <v>6557</v>
      </c>
    </row>
    <row r="590" spans="1:1" x14ac:dyDescent="0.2">
      <c r="A590" t="s">
        <v>6558</v>
      </c>
    </row>
    <row r="591" spans="1:1" x14ac:dyDescent="0.2">
      <c r="A591" t="s">
        <v>6559</v>
      </c>
    </row>
    <row r="592" spans="1:1" x14ac:dyDescent="0.2">
      <c r="A592" t="s">
        <v>6560</v>
      </c>
    </row>
    <row r="593" spans="1:1" x14ac:dyDescent="0.2">
      <c r="A593" t="s">
        <v>6561</v>
      </c>
    </row>
    <row r="594" spans="1:1" x14ac:dyDescent="0.2">
      <c r="A594" t="s">
        <v>6562</v>
      </c>
    </row>
    <row r="595" spans="1:1" x14ac:dyDescent="0.2">
      <c r="A595" t="s">
        <v>6563</v>
      </c>
    </row>
    <row r="596" spans="1:1" x14ac:dyDescent="0.2">
      <c r="A596" t="s">
        <v>6564</v>
      </c>
    </row>
    <row r="597" spans="1:1" x14ac:dyDescent="0.2">
      <c r="A597" t="s">
        <v>6565</v>
      </c>
    </row>
    <row r="598" spans="1:1" x14ac:dyDescent="0.2">
      <c r="A598" t="s">
        <v>6566</v>
      </c>
    </row>
    <row r="599" spans="1:1" x14ac:dyDescent="0.2">
      <c r="A599" t="s">
        <v>6567</v>
      </c>
    </row>
    <row r="600" spans="1:1" x14ac:dyDescent="0.2">
      <c r="A600" t="s">
        <v>6568</v>
      </c>
    </row>
    <row r="601" spans="1:1" x14ac:dyDescent="0.2">
      <c r="A601" t="s">
        <v>6569</v>
      </c>
    </row>
    <row r="602" spans="1:1" x14ac:dyDescent="0.2">
      <c r="A602" t="s">
        <v>6570</v>
      </c>
    </row>
    <row r="603" spans="1:1" x14ac:dyDescent="0.2">
      <c r="A603" t="s">
        <v>7463</v>
      </c>
    </row>
    <row r="604" spans="1:1" x14ac:dyDescent="0.2">
      <c r="A604" t="s">
        <v>6571</v>
      </c>
    </row>
    <row r="605" spans="1:1" x14ac:dyDescent="0.2">
      <c r="A605" t="s">
        <v>6572</v>
      </c>
    </row>
    <row r="606" spans="1:1" x14ac:dyDescent="0.2">
      <c r="A606" t="s">
        <v>6573</v>
      </c>
    </row>
    <row r="607" spans="1:1" x14ac:dyDescent="0.2">
      <c r="A607" t="s">
        <v>6574</v>
      </c>
    </row>
    <row r="608" spans="1:1" x14ac:dyDescent="0.2">
      <c r="A608" t="s">
        <v>6575</v>
      </c>
    </row>
    <row r="609" spans="1:1" x14ac:dyDescent="0.2">
      <c r="A609" t="s">
        <v>6576</v>
      </c>
    </row>
    <row r="610" spans="1:1" x14ac:dyDescent="0.2">
      <c r="A610" t="s">
        <v>6577</v>
      </c>
    </row>
    <row r="611" spans="1:1" x14ac:dyDescent="0.2">
      <c r="A611" t="s">
        <v>6578</v>
      </c>
    </row>
    <row r="612" spans="1:1" x14ac:dyDescent="0.2">
      <c r="A612" t="s">
        <v>6579</v>
      </c>
    </row>
    <row r="613" spans="1:1" x14ac:dyDescent="0.2">
      <c r="A613" t="s">
        <v>6580</v>
      </c>
    </row>
    <row r="614" spans="1:1" x14ac:dyDescent="0.2">
      <c r="A614" t="s">
        <v>6581</v>
      </c>
    </row>
    <row r="615" spans="1:1" x14ac:dyDescent="0.2">
      <c r="A615" t="s">
        <v>6582</v>
      </c>
    </row>
    <row r="616" spans="1:1" x14ac:dyDescent="0.2">
      <c r="A616" t="s">
        <v>6583</v>
      </c>
    </row>
    <row r="617" spans="1:1" x14ac:dyDescent="0.2">
      <c r="A617" t="s">
        <v>6584</v>
      </c>
    </row>
    <row r="618" spans="1:1" x14ac:dyDescent="0.2">
      <c r="A618" t="s">
        <v>7396</v>
      </c>
    </row>
    <row r="619" spans="1:1" x14ac:dyDescent="0.2">
      <c r="A619" t="s">
        <v>6585</v>
      </c>
    </row>
    <row r="620" spans="1:1" x14ac:dyDescent="0.2">
      <c r="A620" t="s">
        <v>6586</v>
      </c>
    </row>
    <row r="621" spans="1:1" x14ac:dyDescent="0.2">
      <c r="A621" t="s">
        <v>6587</v>
      </c>
    </row>
    <row r="622" spans="1:1" x14ac:dyDescent="0.2">
      <c r="A622" t="s">
        <v>6588</v>
      </c>
    </row>
    <row r="623" spans="1:1" x14ac:dyDescent="0.2">
      <c r="A623" t="s">
        <v>6589</v>
      </c>
    </row>
    <row r="624" spans="1:1" x14ac:dyDescent="0.2">
      <c r="A624" t="s">
        <v>6590</v>
      </c>
    </row>
    <row r="625" spans="1:1" x14ac:dyDescent="0.2">
      <c r="A625" t="s">
        <v>7397</v>
      </c>
    </row>
    <row r="626" spans="1:1" x14ac:dyDescent="0.2">
      <c r="A626" t="s">
        <v>6591</v>
      </c>
    </row>
    <row r="627" spans="1:1" x14ac:dyDescent="0.2">
      <c r="A627" t="s">
        <v>6592</v>
      </c>
    </row>
    <row r="628" spans="1:1" x14ac:dyDescent="0.2">
      <c r="A628" t="s">
        <v>6593</v>
      </c>
    </row>
    <row r="629" spans="1:1" x14ac:dyDescent="0.2">
      <c r="A629" t="s">
        <v>6594</v>
      </c>
    </row>
    <row r="630" spans="1:1" x14ac:dyDescent="0.2">
      <c r="A630" t="s">
        <v>6595</v>
      </c>
    </row>
    <row r="631" spans="1:1" x14ac:dyDescent="0.2">
      <c r="A631" t="s">
        <v>6596</v>
      </c>
    </row>
    <row r="632" spans="1:1" x14ac:dyDescent="0.2">
      <c r="A632" t="s">
        <v>6597</v>
      </c>
    </row>
    <row r="633" spans="1:1" x14ac:dyDescent="0.2">
      <c r="A633" t="s">
        <v>6598</v>
      </c>
    </row>
    <row r="634" spans="1:1" x14ac:dyDescent="0.2">
      <c r="A634" t="s">
        <v>6599</v>
      </c>
    </row>
    <row r="635" spans="1:1" x14ac:dyDescent="0.2">
      <c r="A635" t="s">
        <v>6600</v>
      </c>
    </row>
    <row r="636" spans="1:1" x14ac:dyDescent="0.2">
      <c r="A636" t="s">
        <v>6601</v>
      </c>
    </row>
    <row r="637" spans="1:1" x14ac:dyDescent="0.2">
      <c r="A637" t="s">
        <v>6602</v>
      </c>
    </row>
    <row r="638" spans="1:1" x14ac:dyDescent="0.2">
      <c r="A638" t="s">
        <v>6603</v>
      </c>
    </row>
    <row r="639" spans="1:1" x14ac:dyDescent="0.2">
      <c r="A639" t="s">
        <v>6604</v>
      </c>
    </row>
    <row r="640" spans="1:1" x14ac:dyDescent="0.2">
      <c r="A640" t="s">
        <v>7328</v>
      </c>
    </row>
    <row r="641" spans="1:1" x14ac:dyDescent="0.2">
      <c r="A641" t="s">
        <v>6605</v>
      </c>
    </row>
    <row r="642" spans="1:1" x14ac:dyDescent="0.2">
      <c r="A642" t="s">
        <v>6606</v>
      </c>
    </row>
    <row r="643" spans="1:1" x14ac:dyDescent="0.2">
      <c r="A643" t="s">
        <v>6607</v>
      </c>
    </row>
    <row r="644" spans="1:1" x14ac:dyDescent="0.2">
      <c r="A644" t="s">
        <v>6608</v>
      </c>
    </row>
    <row r="645" spans="1:1" x14ac:dyDescent="0.2">
      <c r="A645" t="s">
        <v>6609</v>
      </c>
    </row>
    <row r="646" spans="1:1" x14ac:dyDescent="0.2">
      <c r="A646" t="s">
        <v>7398</v>
      </c>
    </row>
    <row r="647" spans="1:1" x14ac:dyDescent="0.2">
      <c r="A647" t="s">
        <v>6610</v>
      </c>
    </row>
    <row r="648" spans="1:1" x14ac:dyDescent="0.2">
      <c r="A648" t="s">
        <v>6611</v>
      </c>
    </row>
    <row r="649" spans="1:1" x14ac:dyDescent="0.2">
      <c r="A649" t="s">
        <v>6612</v>
      </c>
    </row>
    <row r="650" spans="1:1" x14ac:dyDescent="0.2">
      <c r="A650" t="s">
        <v>6613</v>
      </c>
    </row>
    <row r="651" spans="1:1" x14ac:dyDescent="0.2">
      <c r="A651" t="s">
        <v>6614</v>
      </c>
    </row>
    <row r="652" spans="1:1" x14ac:dyDescent="0.2">
      <c r="A652" t="s">
        <v>6615</v>
      </c>
    </row>
    <row r="653" spans="1:1" x14ac:dyDescent="0.2">
      <c r="A653" t="s">
        <v>6616</v>
      </c>
    </row>
    <row r="654" spans="1:1" x14ac:dyDescent="0.2">
      <c r="A654" t="s">
        <v>6617</v>
      </c>
    </row>
    <row r="655" spans="1:1" x14ac:dyDescent="0.2">
      <c r="A655" t="s">
        <v>6618</v>
      </c>
    </row>
    <row r="656" spans="1:1" x14ac:dyDescent="0.2">
      <c r="A656" t="s">
        <v>6619</v>
      </c>
    </row>
    <row r="657" spans="1:1" x14ac:dyDescent="0.2">
      <c r="A657" t="s">
        <v>6620</v>
      </c>
    </row>
    <row r="658" spans="1:1" x14ac:dyDescent="0.2">
      <c r="A658" t="s">
        <v>6621</v>
      </c>
    </row>
    <row r="659" spans="1:1" x14ac:dyDescent="0.2">
      <c r="A659" t="s">
        <v>6622</v>
      </c>
    </row>
    <row r="660" spans="1:1" x14ac:dyDescent="0.2">
      <c r="A660" t="s">
        <v>6623</v>
      </c>
    </row>
    <row r="661" spans="1:1" x14ac:dyDescent="0.2">
      <c r="A661" t="s">
        <v>6624</v>
      </c>
    </row>
    <row r="662" spans="1:1" x14ac:dyDescent="0.2">
      <c r="A662" t="s">
        <v>6625</v>
      </c>
    </row>
    <row r="663" spans="1:1" x14ac:dyDescent="0.2">
      <c r="A663" t="s">
        <v>7329</v>
      </c>
    </row>
    <row r="664" spans="1:1" x14ac:dyDescent="0.2">
      <c r="A664" t="s">
        <v>7399</v>
      </c>
    </row>
    <row r="665" spans="1:1" x14ac:dyDescent="0.2">
      <c r="A665" t="s">
        <v>7400</v>
      </c>
    </row>
    <row r="666" spans="1:1" x14ac:dyDescent="0.2">
      <c r="A666" t="s">
        <v>6626</v>
      </c>
    </row>
    <row r="667" spans="1:1" x14ac:dyDescent="0.2">
      <c r="A667" t="s">
        <v>6627</v>
      </c>
    </row>
    <row r="668" spans="1:1" x14ac:dyDescent="0.2">
      <c r="A668" t="s">
        <v>6628</v>
      </c>
    </row>
    <row r="669" spans="1:1" x14ac:dyDescent="0.2">
      <c r="A669" t="s">
        <v>6629</v>
      </c>
    </row>
    <row r="670" spans="1:1" x14ac:dyDescent="0.2">
      <c r="A670" t="s">
        <v>6630</v>
      </c>
    </row>
    <row r="671" spans="1:1" x14ac:dyDescent="0.2">
      <c r="A671" t="s">
        <v>6631</v>
      </c>
    </row>
    <row r="672" spans="1:1" x14ac:dyDescent="0.2">
      <c r="A672" t="s">
        <v>7401</v>
      </c>
    </row>
    <row r="673" spans="1:1" x14ac:dyDescent="0.2">
      <c r="A673" t="s">
        <v>7402</v>
      </c>
    </row>
    <row r="674" spans="1:1" x14ac:dyDescent="0.2">
      <c r="A674" t="s">
        <v>6632</v>
      </c>
    </row>
    <row r="675" spans="1:1" x14ac:dyDescent="0.2">
      <c r="A675" t="s">
        <v>6633</v>
      </c>
    </row>
    <row r="676" spans="1:1" x14ac:dyDescent="0.2">
      <c r="A676" t="s">
        <v>6634</v>
      </c>
    </row>
    <row r="677" spans="1:1" x14ac:dyDescent="0.2">
      <c r="A677" t="s">
        <v>6635</v>
      </c>
    </row>
    <row r="678" spans="1:1" x14ac:dyDescent="0.2">
      <c r="A678" t="s">
        <v>6636</v>
      </c>
    </row>
    <row r="679" spans="1:1" x14ac:dyDescent="0.2">
      <c r="A679" t="s">
        <v>6637</v>
      </c>
    </row>
    <row r="680" spans="1:1" x14ac:dyDescent="0.2">
      <c r="A680" t="s">
        <v>6638</v>
      </c>
    </row>
    <row r="681" spans="1:1" x14ac:dyDescent="0.2">
      <c r="A681" t="s">
        <v>6639</v>
      </c>
    </row>
    <row r="682" spans="1:1" x14ac:dyDescent="0.2">
      <c r="A682" t="s">
        <v>6640</v>
      </c>
    </row>
    <row r="683" spans="1:1" x14ac:dyDescent="0.2">
      <c r="A683" t="s">
        <v>6641</v>
      </c>
    </row>
    <row r="684" spans="1:1" x14ac:dyDescent="0.2">
      <c r="A684" t="s">
        <v>6642</v>
      </c>
    </row>
    <row r="685" spans="1:1" x14ac:dyDescent="0.2">
      <c r="A685" t="s">
        <v>6643</v>
      </c>
    </row>
    <row r="686" spans="1:1" x14ac:dyDescent="0.2">
      <c r="A686" t="s">
        <v>6644</v>
      </c>
    </row>
    <row r="687" spans="1:1" x14ac:dyDescent="0.2">
      <c r="A687" t="s">
        <v>6645</v>
      </c>
    </row>
    <row r="688" spans="1:1" x14ac:dyDescent="0.2">
      <c r="A688" t="s">
        <v>6646</v>
      </c>
    </row>
    <row r="689" spans="1:1" x14ac:dyDescent="0.2">
      <c r="A689" t="s">
        <v>6647</v>
      </c>
    </row>
    <row r="690" spans="1:1" x14ac:dyDescent="0.2">
      <c r="A690" t="s">
        <v>6648</v>
      </c>
    </row>
    <row r="691" spans="1:1" x14ac:dyDescent="0.2">
      <c r="A691" t="s">
        <v>6649</v>
      </c>
    </row>
    <row r="692" spans="1:1" x14ac:dyDescent="0.2">
      <c r="A692" t="s">
        <v>6650</v>
      </c>
    </row>
    <row r="693" spans="1:1" x14ac:dyDescent="0.2">
      <c r="A693" t="s">
        <v>6651</v>
      </c>
    </row>
    <row r="694" spans="1:1" x14ac:dyDescent="0.2">
      <c r="A694" t="s">
        <v>6652</v>
      </c>
    </row>
    <row r="695" spans="1:1" x14ac:dyDescent="0.2">
      <c r="A695" t="s">
        <v>6653</v>
      </c>
    </row>
    <row r="696" spans="1:1" x14ac:dyDescent="0.2">
      <c r="A696" t="s">
        <v>6654</v>
      </c>
    </row>
    <row r="697" spans="1:1" x14ac:dyDescent="0.2">
      <c r="A697" t="s">
        <v>6655</v>
      </c>
    </row>
    <row r="698" spans="1:1" x14ac:dyDescent="0.2">
      <c r="A698" t="s">
        <v>6656</v>
      </c>
    </row>
    <row r="699" spans="1:1" x14ac:dyDescent="0.2">
      <c r="A699" t="s">
        <v>6657</v>
      </c>
    </row>
    <row r="700" spans="1:1" x14ac:dyDescent="0.2">
      <c r="A700" t="s">
        <v>6658</v>
      </c>
    </row>
    <row r="701" spans="1:1" x14ac:dyDescent="0.2">
      <c r="A701" t="s">
        <v>6659</v>
      </c>
    </row>
    <row r="702" spans="1:1" x14ac:dyDescent="0.2">
      <c r="A702" t="s">
        <v>6660</v>
      </c>
    </row>
    <row r="703" spans="1:1" x14ac:dyDescent="0.2">
      <c r="A703" t="s">
        <v>6661</v>
      </c>
    </row>
    <row r="704" spans="1:1" x14ac:dyDescent="0.2">
      <c r="A704" t="s">
        <v>6662</v>
      </c>
    </row>
    <row r="705" spans="1:1" x14ac:dyDescent="0.2">
      <c r="A705" t="s">
        <v>6663</v>
      </c>
    </row>
    <row r="706" spans="1:1" x14ac:dyDescent="0.2">
      <c r="A706" t="s">
        <v>6664</v>
      </c>
    </row>
    <row r="707" spans="1:1" x14ac:dyDescent="0.2">
      <c r="A707" t="s">
        <v>6665</v>
      </c>
    </row>
    <row r="708" spans="1:1" x14ac:dyDescent="0.2">
      <c r="A708" t="s">
        <v>6666</v>
      </c>
    </row>
    <row r="709" spans="1:1" x14ac:dyDescent="0.2">
      <c r="A709" t="s">
        <v>6667</v>
      </c>
    </row>
    <row r="710" spans="1:1" x14ac:dyDescent="0.2">
      <c r="A710" t="s">
        <v>6668</v>
      </c>
    </row>
    <row r="711" spans="1:1" x14ac:dyDescent="0.2">
      <c r="A711" t="s">
        <v>6669</v>
      </c>
    </row>
    <row r="712" spans="1:1" x14ac:dyDescent="0.2">
      <c r="A712" t="s">
        <v>6670</v>
      </c>
    </row>
    <row r="713" spans="1:1" x14ac:dyDescent="0.2">
      <c r="A713" t="s">
        <v>7403</v>
      </c>
    </row>
    <row r="714" spans="1:1" x14ac:dyDescent="0.2">
      <c r="A714" t="s">
        <v>6671</v>
      </c>
    </row>
    <row r="715" spans="1:1" x14ac:dyDescent="0.2">
      <c r="A715" t="s">
        <v>6672</v>
      </c>
    </row>
    <row r="716" spans="1:1" x14ac:dyDescent="0.2">
      <c r="A716" t="s">
        <v>6673</v>
      </c>
    </row>
    <row r="717" spans="1:1" x14ac:dyDescent="0.2">
      <c r="A717" t="s">
        <v>6674</v>
      </c>
    </row>
    <row r="718" spans="1:1" x14ac:dyDescent="0.2">
      <c r="A718" t="s">
        <v>6675</v>
      </c>
    </row>
    <row r="719" spans="1:1" x14ac:dyDescent="0.2">
      <c r="A719" t="s">
        <v>6676</v>
      </c>
    </row>
    <row r="720" spans="1:1" x14ac:dyDescent="0.2">
      <c r="A720" t="s">
        <v>6677</v>
      </c>
    </row>
    <row r="721" spans="1:1" x14ac:dyDescent="0.2">
      <c r="A721" t="s">
        <v>6678</v>
      </c>
    </row>
    <row r="722" spans="1:1" x14ac:dyDescent="0.2">
      <c r="A722" t="s">
        <v>6679</v>
      </c>
    </row>
    <row r="723" spans="1:1" x14ac:dyDescent="0.2">
      <c r="A723" t="s">
        <v>7464</v>
      </c>
    </row>
    <row r="724" spans="1:1" x14ac:dyDescent="0.2">
      <c r="A724" t="s">
        <v>6680</v>
      </c>
    </row>
    <row r="725" spans="1:1" x14ac:dyDescent="0.2">
      <c r="A725" t="s">
        <v>7404</v>
      </c>
    </row>
    <row r="726" spans="1:1" x14ac:dyDescent="0.2">
      <c r="A726" t="s">
        <v>6681</v>
      </c>
    </row>
    <row r="727" spans="1:1" x14ac:dyDescent="0.2">
      <c r="A727" t="s">
        <v>6682</v>
      </c>
    </row>
    <row r="728" spans="1:1" x14ac:dyDescent="0.2">
      <c r="A728" t="s">
        <v>6683</v>
      </c>
    </row>
    <row r="729" spans="1:1" x14ac:dyDescent="0.2">
      <c r="A729" t="s">
        <v>6684</v>
      </c>
    </row>
    <row r="730" spans="1:1" x14ac:dyDescent="0.2">
      <c r="A730" t="s">
        <v>6685</v>
      </c>
    </row>
    <row r="731" spans="1:1" x14ac:dyDescent="0.2">
      <c r="A731" t="s">
        <v>6686</v>
      </c>
    </row>
    <row r="732" spans="1:1" x14ac:dyDescent="0.2">
      <c r="A732" t="s">
        <v>6687</v>
      </c>
    </row>
    <row r="733" spans="1:1" x14ac:dyDescent="0.2">
      <c r="A733" t="s">
        <v>6688</v>
      </c>
    </row>
    <row r="734" spans="1:1" x14ac:dyDescent="0.2">
      <c r="A734" t="s">
        <v>6689</v>
      </c>
    </row>
    <row r="735" spans="1:1" x14ac:dyDescent="0.2">
      <c r="A735" t="s">
        <v>6690</v>
      </c>
    </row>
    <row r="736" spans="1:1" x14ac:dyDescent="0.2">
      <c r="A736" t="s">
        <v>6691</v>
      </c>
    </row>
    <row r="737" spans="1:1" x14ac:dyDescent="0.2">
      <c r="A737" t="s">
        <v>6692</v>
      </c>
    </row>
    <row r="738" spans="1:1" x14ac:dyDescent="0.2">
      <c r="A738" t="s">
        <v>6693</v>
      </c>
    </row>
    <row r="739" spans="1:1" x14ac:dyDescent="0.2">
      <c r="A739" t="s">
        <v>6694</v>
      </c>
    </row>
    <row r="740" spans="1:1" x14ac:dyDescent="0.2">
      <c r="A740" t="s">
        <v>6695</v>
      </c>
    </row>
    <row r="741" spans="1:1" x14ac:dyDescent="0.2">
      <c r="A741" t="s">
        <v>6696</v>
      </c>
    </row>
    <row r="742" spans="1:1" x14ac:dyDescent="0.2">
      <c r="A742" t="s">
        <v>6697</v>
      </c>
    </row>
    <row r="743" spans="1:1" x14ac:dyDescent="0.2">
      <c r="A743" t="s">
        <v>6698</v>
      </c>
    </row>
    <row r="744" spans="1:1" x14ac:dyDescent="0.2">
      <c r="A744" t="s">
        <v>6699</v>
      </c>
    </row>
    <row r="745" spans="1:1" x14ac:dyDescent="0.2">
      <c r="A745" t="s">
        <v>6700</v>
      </c>
    </row>
    <row r="746" spans="1:1" x14ac:dyDescent="0.2">
      <c r="A746" t="s">
        <v>6701</v>
      </c>
    </row>
    <row r="747" spans="1:1" x14ac:dyDescent="0.2">
      <c r="A747" t="s">
        <v>6702</v>
      </c>
    </row>
    <row r="748" spans="1:1" x14ac:dyDescent="0.2">
      <c r="A748" t="s">
        <v>6703</v>
      </c>
    </row>
    <row r="749" spans="1:1" x14ac:dyDescent="0.2">
      <c r="A749" t="s">
        <v>6704</v>
      </c>
    </row>
    <row r="750" spans="1:1" x14ac:dyDescent="0.2">
      <c r="A750" t="s">
        <v>6705</v>
      </c>
    </row>
    <row r="751" spans="1:1" x14ac:dyDescent="0.2">
      <c r="A751" t="s">
        <v>6706</v>
      </c>
    </row>
    <row r="752" spans="1:1" x14ac:dyDescent="0.2">
      <c r="A752" t="s">
        <v>6707</v>
      </c>
    </row>
    <row r="753" spans="1:1" x14ac:dyDescent="0.2">
      <c r="A753" t="s">
        <v>6708</v>
      </c>
    </row>
    <row r="754" spans="1:1" x14ac:dyDescent="0.2">
      <c r="A754" t="s">
        <v>6709</v>
      </c>
    </row>
    <row r="755" spans="1:1" x14ac:dyDescent="0.2">
      <c r="A755" t="s">
        <v>6710</v>
      </c>
    </row>
    <row r="756" spans="1:1" x14ac:dyDescent="0.2">
      <c r="A756" t="s">
        <v>6711</v>
      </c>
    </row>
    <row r="757" spans="1:1" x14ac:dyDescent="0.2">
      <c r="A757" t="s">
        <v>6712</v>
      </c>
    </row>
    <row r="758" spans="1:1" x14ac:dyDescent="0.2">
      <c r="A758" t="s">
        <v>6713</v>
      </c>
    </row>
    <row r="759" spans="1:1" x14ac:dyDescent="0.2">
      <c r="A759" t="s">
        <v>6714</v>
      </c>
    </row>
    <row r="760" spans="1:1" x14ac:dyDescent="0.2">
      <c r="A760" t="s">
        <v>6715</v>
      </c>
    </row>
    <row r="761" spans="1:1" x14ac:dyDescent="0.2">
      <c r="A761" t="s">
        <v>6716</v>
      </c>
    </row>
    <row r="762" spans="1:1" x14ac:dyDescent="0.2">
      <c r="A762" t="s">
        <v>6717</v>
      </c>
    </row>
    <row r="763" spans="1:1" x14ac:dyDescent="0.2">
      <c r="A763" t="s">
        <v>6718</v>
      </c>
    </row>
    <row r="764" spans="1:1" x14ac:dyDescent="0.2">
      <c r="A764" t="s">
        <v>7465</v>
      </c>
    </row>
    <row r="765" spans="1:1" x14ac:dyDescent="0.2">
      <c r="A765" t="s">
        <v>6719</v>
      </c>
    </row>
    <row r="766" spans="1:1" x14ac:dyDescent="0.2">
      <c r="A766" t="s">
        <v>6720</v>
      </c>
    </row>
    <row r="767" spans="1:1" x14ac:dyDescent="0.2">
      <c r="A767" t="s">
        <v>6721</v>
      </c>
    </row>
    <row r="768" spans="1:1" x14ac:dyDescent="0.2">
      <c r="A768" t="s">
        <v>6722</v>
      </c>
    </row>
    <row r="769" spans="1:1" x14ac:dyDescent="0.2">
      <c r="A769" t="s">
        <v>6723</v>
      </c>
    </row>
    <row r="770" spans="1:1" x14ac:dyDescent="0.2">
      <c r="A770" t="s">
        <v>6724</v>
      </c>
    </row>
    <row r="771" spans="1:1" x14ac:dyDescent="0.2">
      <c r="A771" t="s">
        <v>6725</v>
      </c>
    </row>
    <row r="772" spans="1:1" x14ac:dyDescent="0.2">
      <c r="A772" t="s">
        <v>6726</v>
      </c>
    </row>
    <row r="773" spans="1:1" x14ac:dyDescent="0.2">
      <c r="A773" t="s">
        <v>6727</v>
      </c>
    </row>
    <row r="774" spans="1:1" x14ac:dyDescent="0.2">
      <c r="A774" t="s">
        <v>6728</v>
      </c>
    </row>
    <row r="775" spans="1:1" x14ac:dyDescent="0.2">
      <c r="A775" t="s">
        <v>6729</v>
      </c>
    </row>
    <row r="776" spans="1:1" x14ac:dyDescent="0.2">
      <c r="A776" t="s">
        <v>6730</v>
      </c>
    </row>
    <row r="777" spans="1:1" x14ac:dyDescent="0.2">
      <c r="A777" t="s">
        <v>6731</v>
      </c>
    </row>
    <row r="778" spans="1:1" x14ac:dyDescent="0.2">
      <c r="A778" t="s">
        <v>6732</v>
      </c>
    </row>
    <row r="779" spans="1:1" x14ac:dyDescent="0.2">
      <c r="A779" t="s">
        <v>6733</v>
      </c>
    </row>
    <row r="780" spans="1:1" x14ac:dyDescent="0.2">
      <c r="A780" t="s">
        <v>6734</v>
      </c>
    </row>
    <row r="781" spans="1:1" x14ac:dyDescent="0.2">
      <c r="A781" t="s">
        <v>6735</v>
      </c>
    </row>
    <row r="782" spans="1:1" x14ac:dyDescent="0.2">
      <c r="A782" t="s">
        <v>6736</v>
      </c>
    </row>
    <row r="783" spans="1:1" x14ac:dyDescent="0.2">
      <c r="A783" t="s">
        <v>6737</v>
      </c>
    </row>
    <row r="784" spans="1:1" x14ac:dyDescent="0.2">
      <c r="A784" t="s">
        <v>6738</v>
      </c>
    </row>
    <row r="785" spans="1:1" x14ac:dyDescent="0.2">
      <c r="A785" t="s">
        <v>6739</v>
      </c>
    </row>
    <row r="786" spans="1:1" x14ac:dyDescent="0.2">
      <c r="A786" t="s">
        <v>6740</v>
      </c>
    </row>
    <row r="787" spans="1:1" x14ac:dyDescent="0.2">
      <c r="A787" t="s">
        <v>6741</v>
      </c>
    </row>
    <row r="788" spans="1:1" x14ac:dyDescent="0.2">
      <c r="A788" t="s">
        <v>6742</v>
      </c>
    </row>
    <row r="789" spans="1:1" x14ac:dyDescent="0.2">
      <c r="A789" t="s">
        <v>6743</v>
      </c>
    </row>
    <row r="790" spans="1:1" x14ac:dyDescent="0.2">
      <c r="A790" t="s">
        <v>6744</v>
      </c>
    </row>
    <row r="791" spans="1:1" x14ac:dyDescent="0.2">
      <c r="A791" t="s">
        <v>6745</v>
      </c>
    </row>
    <row r="792" spans="1:1" x14ac:dyDescent="0.2">
      <c r="A792" t="s">
        <v>6746</v>
      </c>
    </row>
    <row r="793" spans="1:1" x14ac:dyDescent="0.2">
      <c r="A793" t="s">
        <v>6747</v>
      </c>
    </row>
    <row r="794" spans="1:1" x14ac:dyDescent="0.2">
      <c r="A794" t="s">
        <v>6748</v>
      </c>
    </row>
    <row r="795" spans="1:1" x14ac:dyDescent="0.2">
      <c r="A795" t="s">
        <v>6749</v>
      </c>
    </row>
    <row r="796" spans="1:1" x14ac:dyDescent="0.2">
      <c r="A796" t="s">
        <v>6750</v>
      </c>
    </row>
    <row r="797" spans="1:1" x14ac:dyDescent="0.2">
      <c r="A797" t="s">
        <v>6751</v>
      </c>
    </row>
    <row r="798" spans="1:1" x14ac:dyDescent="0.2">
      <c r="A798" t="s">
        <v>6752</v>
      </c>
    </row>
    <row r="799" spans="1:1" x14ac:dyDescent="0.2">
      <c r="A799" t="s">
        <v>6753</v>
      </c>
    </row>
    <row r="800" spans="1:1" x14ac:dyDescent="0.2">
      <c r="A800" t="s">
        <v>6754</v>
      </c>
    </row>
    <row r="801" spans="1:1" x14ac:dyDescent="0.2">
      <c r="A801" t="s">
        <v>6755</v>
      </c>
    </row>
    <row r="802" spans="1:1" x14ac:dyDescent="0.2">
      <c r="A802" t="s">
        <v>6756</v>
      </c>
    </row>
    <row r="803" spans="1:1" x14ac:dyDescent="0.2">
      <c r="A803" t="s">
        <v>6757</v>
      </c>
    </row>
    <row r="804" spans="1:1" x14ac:dyDescent="0.2">
      <c r="A804" t="s">
        <v>6758</v>
      </c>
    </row>
    <row r="805" spans="1:1" x14ac:dyDescent="0.2">
      <c r="A805" t="s">
        <v>6759</v>
      </c>
    </row>
    <row r="806" spans="1:1" x14ac:dyDescent="0.2">
      <c r="A806" t="s">
        <v>6760</v>
      </c>
    </row>
    <row r="807" spans="1:1" x14ac:dyDescent="0.2">
      <c r="A807" t="s">
        <v>6761</v>
      </c>
    </row>
    <row r="808" spans="1:1" x14ac:dyDescent="0.2">
      <c r="A808" t="s">
        <v>6762</v>
      </c>
    </row>
    <row r="809" spans="1:1" x14ac:dyDescent="0.2">
      <c r="A809" t="s">
        <v>6763</v>
      </c>
    </row>
    <row r="810" spans="1:1" x14ac:dyDescent="0.2">
      <c r="A810" t="s">
        <v>7466</v>
      </c>
    </row>
    <row r="811" spans="1:1" x14ac:dyDescent="0.2">
      <c r="A811" t="s">
        <v>6764</v>
      </c>
    </row>
    <row r="812" spans="1:1" x14ac:dyDescent="0.2">
      <c r="A812" t="s">
        <v>6765</v>
      </c>
    </row>
    <row r="813" spans="1:1" x14ac:dyDescent="0.2">
      <c r="A813" t="s">
        <v>6766</v>
      </c>
    </row>
    <row r="814" spans="1:1" x14ac:dyDescent="0.2">
      <c r="A814" t="s">
        <v>6767</v>
      </c>
    </row>
    <row r="815" spans="1:1" x14ac:dyDescent="0.2">
      <c r="A815" t="s">
        <v>6768</v>
      </c>
    </row>
    <row r="816" spans="1:1" x14ac:dyDescent="0.2">
      <c r="A816" t="s">
        <v>6769</v>
      </c>
    </row>
    <row r="817" spans="1:1" x14ac:dyDescent="0.2">
      <c r="A817" t="s">
        <v>6770</v>
      </c>
    </row>
    <row r="818" spans="1:1" x14ac:dyDescent="0.2">
      <c r="A818" t="s">
        <v>6771</v>
      </c>
    </row>
    <row r="819" spans="1:1" x14ac:dyDescent="0.2">
      <c r="A819" t="s">
        <v>6772</v>
      </c>
    </row>
    <row r="820" spans="1:1" x14ac:dyDescent="0.2">
      <c r="A820" t="s">
        <v>6773</v>
      </c>
    </row>
    <row r="821" spans="1:1" x14ac:dyDescent="0.2">
      <c r="A821" t="s">
        <v>6774</v>
      </c>
    </row>
    <row r="822" spans="1:1" x14ac:dyDescent="0.2">
      <c r="A822" t="s">
        <v>6775</v>
      </c>
    </row>
    <row r="823" spans="1:1" x14ac:dyDescent="0.2">
      <c r="A823" t="s">
        <v>6776</v>
      </c>
    </row>
    <row r="824" spans="1:1" x14ac:dyDescent="0.2">
      <c r="A824" t="s">
        <v>6777</v>
      </c>
    </row>
    <row r="825" spans="1:1" x14ac:dyDescent="0.2">
      <c r="A825" t="s">
        <v>6778</v>
      </c>
    </row>
    <row r="826" spans="1:1" x14ac:dyDescent="0.2">
      <c r="A826" t="s">
        <v>6779</v>
      </c>
    </row>
    <row r="827" spans="1:1" x14ac:dyDescent="0.2">
      <c r="A827" t="s">
        <v>6780</v>
      </c>
    </row>
    <row r="828" spans="1:1" x14ac:dyDescent="0.2">
      <c r="A828" t="s">
        <v>6781</v>
      </c>
    </row>
    <row r="829" spans="1:1" x14ac:dyDescent="0.2">
      <c r="A829" t="s">
        <v>6782</v>
      </c>
    </row>
    <row r="830" spans="1:1" x14ac:dyDescent="0.2">
      <c r="A830" t="s">
        <v>6783</v>
      </c>
    </row>
    <row r="831" spans="1:1" x14ac:dyDescent="0.2">
      <c r="A831" t="s">
        <v>6784</v>
      </c>
    </row>
    <row r="832" spans="1:1" x14ac:dyDescent="0.2">
      <c r="A832" t="s">
        <v>6785</v>
      </c>
    </row>
    <row r="833" spans="1:1" x14ac:dyDescent="0.2">
      <c r="A833" t="s">
        <v>6786</v>
      </c>
    </row>
    <row r="834" spans="1:1" x14ac:dyDescent="0.2">
      <c r="A834" t="s">
        <v>6787</v>
      </c>
    </row>
    <row r="835" spans="1:1" x14ac:dyDescent="0.2">
      <c r="A835" t="s">
        <v>6788</v>
      </c>
    </row>
    <row r="836" spans="1:1" x14ac:dyDescent="0.2">
      <c r="A836" t="s">
        <v>6789</v>
      </c>
    </row>
    <row r="837" spans="1:1" x14ac:dyDescent="0.2">
      <c r="A837" t="s">
        <v>6790</v>
      </c>
    </row>
    <row r="838" spans="1:1" x14ac:dyDescent="0.2">
      <c r="A838" t="s">
        <v>6791</v>
      </c>
    </row>
    <row r="839" spans="1:1" x14ac:dyDescent="0.2">
      <c r="A839" t="s">
        <v>6792</v>
      </c>
    </row>
    <row r="840" spans="1:1" x14ac:dyDescent="0.2">
      <c r="A840" t="s">
        <v>6793</v>
      </c>
    </row>
    <row r="841" spans="1:1" x14ac:dyDescent="0.2">
      <c r="A841" t="s">
        <v>6794</v>
      </c>
    </row>
    <row r="842" spans="1:1" x14ac:dyDescent="0.2">
      <c r="A842" t="s">
        <v>6795</v>
      </c>
    </row>
    <row r="843" spans="1:1" x14ac:dyDescent="0.2">
      <c r="A843" t="s">
        <v>6796</v>
      </c>
    </row>
    <row r="844" spans="1:1" x14ac:dyDescent="0.2">
      <c r="A844" t="s">
        <v>6797</v>
      </c>
    </row>
    <row r="845" spans="1:1" x14ac:dyDescent="0.2">
      <c r="A845" t="s">
        <v>6798</v>
      </c>
    </row>
    <row r="846" spans="1:1" x14ac:dyDescent="0.2">
      <c r="A846" t="s">
        <v>6799</v>
      </c>
    </row>
    <row r="847" spans="1:1" x14ac:dyDescent="0.2">
      <c r="A847" t="s">
        <v>6800</v>
      </c>
    </row>
    <row r="848" spans="1:1" x14ac:dyDescent="0.2">
      <c r="A848" t="s">
        <v>6801</v>
      </c>
    </row>
    <row r="849" spans="1:1" x14ac:dyDescent="0.2">
      <c r="A849" t="s">
        <v>6802</v>
      </c>
    </row>
    <row r="850" spans="1:1" x14ac:dyDescent="0.2">
      <c r="A850" t="s">
        <v>6803</v>
      </c>
    </row>
    <row r="851" spans="1:1" x14ac:dyDescent="0.2">
      <c r="A851" t="s">
        <v>6804</v>
      </c>
    </row>
    <row r="852" spans="1:1" x14ac:dyDescent="0.2">
      <c r="A852" t="s">
        <v>6805</v>
      </c>
    </row>
    <row r="853" spans="1:1" x14ac:dyDescent="0.2">
      <c r="A853" t="s">
        <v>6806</v>
      </c>
    </row>
    <row r="854" spans="1:1" x14ac:dyDescent="0.2">
      <c r="A854" t="s">
        <v>6807</v>
      </c>
    </row>
    <row r="855" spans="1:1" x14ac:dyDescent="0.2">
      <c r="A855" t="s">
        <v>6808</v>
      </c>
    </row>
    <row r="856" spans="1:1" x14ac:dyDescent="0.2">
      <c r="A856" t="s">
        <v>6809</v>
      </c>
    </row>
    <row r="857" spans="1:1" x14ac:dyDescent="0.2">
      <c r="A857" t="s">
        <v>6810</v>
      </c>
    </row>
    <row r="858" spans="1:1" x14ac:dyDescent="0.2">
      <c r="A858" t="s">
        <v>6811</v>
      </c>
    </row>
    <row r="859" spans="1:1" x14ac:dyDescent="0.2">
      <c r="A859" t="s">
        <v>6812</v>
      </c>
    </row>
    <row r="860" spans="1:1" x14ac:dyDescent="0.2">
      <c r="A860" t="s">
        <v>7330</v>
      </c>
    </row>
    <row r="861" spans="1:1" x14ac:dyDescent="0.2">
      <c r="A861" t="s">
        <v>6813</v>
      </c>
    </row>
    <row r="862" spans="1:1" x14ac:dyDescent="0.2">
      <c r="A862" t="s">
        <v>6814</v>
      </c>
    </row>
    <row r="863" spans="1:1" x14ac:dyDescent="0.2">
      <c r="A863" t="s">
        <v>6815</v>
      </c>
    </row>
    <row r="864" spans="1:1" x14ac:dyDescent="0.2">
      <c r="A864" t="s">
        <v>6816</v>
      </c>
    </row>
    <row r="865" spans="1:1" x14ac:dyDescent="0.2">
      <c r="A865" t="s">
        <v>6817</v>
      </c>
    </row>
    <row r="866" spans="1:1" x14ac:dyDescent="0.2">
      <c r="A866" t="s">
        <v>6818</v>
      </c>
    </row>
    <row r="867" spans="1:1" x14ac:dyDescent="0.2">
      <c r="A867" t="s">
        <v>6819</v>
      </c>
    </row>
    <row r="868" spans="1:1" x14ac:dyDescent="0.2">
      <c r="A868" t="s">
        <v>6820</v>
      </c>
    </row>
    <row r="869" spans="1:1" x14ac:dyDescent="0.2">
      <c r="A869" t="s">
        <v>6821</v>
      </c>
    </row>
    <row r="870" spans="1:1" x14ac:dyDescent="0.2">
      <c r="A870" t="s">
        <v>6822</v>
      </c>
    </row>
    <row r="871" spans="1:1" x14ac:dyDescent="0.2">
      <c r="A871" t="s">
        <v>6823</v>
      </c>
    </row>
    <row r="872" spans="1:1" x14ac:dyDescent="0.2">
      <c r="A872" t="s">
        <v>6824</v>
      </c>
    </row>
    <row r="873" spans="1:1" x14ac:dyDescent="0.2">
      <c r="A873" t="s">
        <v>6825</v>
      </c>
    </row>
    <row r="874" spans="1:1" x14ac:dyDescent="0.2">
      <c r="A874" t="s">
        <v>6826</v>
      </c>
    </row>
    <row r="875" spans="1:1" x14ac:dyDescent="0.2">
      <c r="A875" t="s">
        <v>6827</v>
      </c>
    </row>
    <row r="876" spans="1:1" x14ac:dyDescent="0.2">
      <c r="A876" t="s">
        <v>6828</v>
      </c>
    </row>
    <row r="877" spans="1:1" x14ac:dyDescent="0.2">
      <c r="A877" t="s">
        <v>6829</v>
      </c>
    </row>
    <row r="878" spans="1:1" x14ac:dyDescent="0.2">
      <c r="A878" t="s">
        <v>6830</v>
      </c>
    </row>
    <row r="879" spans="1:1" x14ac:dyDescent="0.2">
      <c r="A879" t="s">
        <v>6831</v>
      </c>
    </row>
    <row r="880" spans="1:1" x14ac:dyDescent="0.2">
      <c r="A880" t="s">
        <v>6832</v>
      </c>
    </row>
    <row r="881" spans="1:1" x14ac:dyDescent="0.2">
      <c r="A881" t="s">
        <v>6833</v>
      </c>
    </row>
    <row r="882" spans="1:1" x14ac:dyDescent="0.2">
      <c r="A882" t="s">
        <v>6834</v>
      </c>
    </row>
    <row r="883" spans="1:1" x14ac:dyDescent="0.2">
      <c r="A883" t="s">
        <v>6835</v>
      </c>
    </row>
    <row r="884" spans="1:1" x14ac:dyDescent="0.2">
      <c r="A884" t="s">
        <v>6836</v>
      </c>
    </row>
    <row r="885" spans="1:1" x14ac:dyDescent="0.2">
      <c r="A885" t="s">
        <v>6837</v>
      </c>
    </row>
    <row r="886" spans="1:1" x14ac:dyDescent="0.2">
      <c r="A886" t="s">
        <v>6838</v>
      </c>
    </row>
    <row r="887" spans="1:1" x14ac:dyDescent="0.2">
      <c r="A887" t="s">
        <v>6839</v>
      </c>
    </row>
    <row r="888" spans="1:1" x14ac:dyDescent="0.2">
      <c r="A888" t="s">
        <v>6840</v>
      </c>
    </row>
    <row r="889" spans="1:1" x14ac:dyDescent="0.2">
      <c r="A889" t="s">
        <v>6841</v>
      </c>
    </row>
    <row r="890" spans="1:1" x14ac:dyDescent="0.2">
      <c r="A890" t="s">
        <v>6842</v>
      </c>
    </row>
    <row r="891" spans="1:1" x14ac:dyDescent="0.2">
      <c r="A891" t="s">
        <v>6843</v>
      </c>
    </row>
    <row r="892" spans="1:1" x14ac:dyDescent="0.2">
      <c r="A892" t="s">
        <v>6844</v>
      </c>
    </row>
    <row r="893" spans="1:1" x14ac:dyDescent="0.2">
      <c r="A893" t="s">
        <v>6845</v>
      </c>
    </row>
    <row r="894" spans="1:1" x14ac:dyDescent="0.2">
      <c r="A894" t="s">
        <v>6846</v>
      </c>
    </row>
    <row r="895" spans="1:1" x14ac:dyDescent="0.2">
      <c r="A895" t="s">
        <v>6847</v>
      </c>
    </row>
    <row r="896" spans="1:1" x14ac:dyDescent="0.2">
      <c r="A896" t="s">
        <v>6848</v>
      </c>
    </row>
    <row r="897" spans="1:1" x14ac:dyDescent="0.2">
      <c r="A897" t="s">
        <v>6849</v>
      </c>
    </row>
    <row r="898" spans="1:1" x14ac:dyDescent="0.2">
      <c r="A898" t="s">
        <v>6850</v>
      </c>
    </row>
    <row r="899" spans="1:1" x14ac:dyDescent="0.2">
      <c r="A899" t="s">
        <v>6851</v>
      </c>
    </row>
    <row r="900" spans="1:1" x14ac:dyDescent="0.2">
      <c r="A900" t="s">
        <v>6852</v>
      </c>
    </row>
    <row r="901" spans="1:1" x14ac:dyDescent="0.2">
      <c r="A901" t="s">
        <v>6853</v>
      </c>
    </row>
    <row r="902" spans="1:1" x14ac:dyDescent="0.2">
      <c r="A902" t="s">
        <v>6854</v>
      </c>
    </row>
    <row r="903" spans="1:1" x14ac:dyDescent="0.2">
      <c r="A903" t="s">
        <v>6855</v>
      </c>
    </row>
    <row r="904" spans="1:1" x14ac:dyDescent="0.2">
      <c r="A904" t="s">
        <v>6856</v>
      </c>
    </row>
    <row r="905" spans="1:1" x14ac:dyDescent="0.2">
      <c r="A905" t="s">
        <v>6857</v>
      </c>
    </row>
    <row r="906" spans="1:1" x14ac:dyDescent="0.2">
      <c r="A906" t="s">
        <v>6858</v>
      </c>
    </row>
    <row r="907" spans="1:1" x14ac:dyDescent="0.2">
      <c r="A907" t="s">
        <v>6859</v>
      </c>
    </row>
    <row r="908" spans="1:1" x14ac:dyDescent="0.2">
      <c r="A908" t="s">
        <v>6860</v>
      </c>
    </row>
    <row r="909" spans="1:1" x14ac:dyDescent="0.2">
      <c r="A909" t="s">
        <v>6861</v>
      </c>
    </row>
    <row r="910" spans="1:1" x14ac:dyDescent="0.2">
      <c r="A910" t="s">
        <v>6862</v>
      </c>
    </row>
    <row r="911" spans="1:1" x14ac:dyDescent="0.2">
      <c r="A911" t="s">
        <v>6863</v>
      </c>
    </row>
    <row r="912" spans="1:1" x14ac:dyDescent="0.2">
      <c r="A912" t="s">
        <v>6864</v>
      </c>
    </row>
    <row r="913" spans="1:1" x14ac:dyDescent="0.2">
      <c r="A913" t="s">
        <v>6865</v>
      </c>
    </row>
    <row r="914" spans="1:1" x14ac:dyDescent="0.2">
      <c r="A914" t="s">
        <v>6866</v>
      </c>
    </row>
    <row r="915" spans="1:1" x14ac:dyDescent="0.2">
      <c r="A915" t="s">
        <v>6867</v>
      </c>
    </row>
    <row r="916" spans="1:1" x14ac:dyDescent="0.2">
      <c r="A916" t="s">
        <v>6868</v>
      </c>
    </row>
    <row r="917" spans="1:1" x14ac:dyDescent="0.2">
      <c r="A917" t="s">
        <v>6869</v>
      </c>
    </row>
    <row r="918" spans="1:1" x14ac:dyDescent="0.2">
      <c r="A918" t="s">
        <v>6870</v>
      </c>
    </row>
    <row r="919" spans="1:1" x14ac:dyDescent="0.2">
      <c r="A919" t="s">
        <v>6871</v>
      </c>
    </row>
    <row r="920" spans="1:1" x14ac:dyDescent="0.2">
      <c r="A920" t="s">
        <v>6872</v>
      </c>
    </row>
    <row r="921" spans="1:1" x14ac:dyDescent="0.2">
      <c r="A921" t="s">
        <v>6873</v>
      </c>
    </row>
    <row r="922" spans="1:1" x14ac:dyDescent="0.2">
      <c r="A922" t="s">
        <v>6874</v>
      </c>
    </row>
    <row r="923" spans="1:1" x14ac:dyDescent="0.2">
      <c r="A923" t="s">
        <v>6875</v>
      </c>
    </row>
    <row r="924" spans="1:1" x14ac:dyDescent="0.2">
      <c r="A924" t="s">
        <v>6876</v>
      </c>
    </row>
    <row r="925" spans="1:1" x14ac:dyDescent="0.2">
      <c r="A925" t="s">
        <v>6877</v>
      </c>
    </row>
    <row r="926" spans="1:1" x14ac:dyDescent="0.2">
      <c r="A926" t="s">
        <v>6878</v>
      </c>
    </row>
    <row r="927" spans="1:1" x14ac:dyDescent="0.2">
      <c r="A927" t="s">
        <v>6879</v>
      </c>
    </row>
    <row r="928" spans="1:1" x14ac:dyDescent="0.2">
      <c r="A928" t="s">
        <v>6880</v>
      </c>
    </row>
    <row r="929" spans="1:1" x14ac:dyDescent="0.2">
      <c r="A929" t="s">
        <v>6881</v>
      </c>
    </row>
    <row r="930" spans="1:1" x14ac:dyDescent="0.2">
      <c r="A930" t="s">
        <v>6882</v>
      </c>
    </row>
    <row r="931" spans="1:1" x14ac:dyDescent="0.2">
      <c r="A931" t="s">
        <v>6883</v>
      </c>
    </row>
    <row r="932" spans="1:1" x14ac:dyDescent="0.2">
      <c r="A932" t="s">
        <v>6884</v>
      </c>
    </row>
    <row r="933" spans="1:1" x14ac:dyDescent="0.2">
      <c r="A933" t="s">
        <v>6885</v>
      </c>
    </row>
    <row r="934" spans="1:1" x14ac:dyDescent="0.2">
      <c r="A934" t="s">
        <v>6886</v>
      </c>
    </row>
    <row r="935" spans="1:1" x14ac:dyDescent="0.2">
      <c r="A935" t="s">
        <v>6887</v>
      </c>
    </row>
    <row r="936" spans="1:1" x14ac:dyDescent="0.2">
      <c r="A936" t="s">
        <v>6888</v>
      </c>
    </row>
    <row r="937" spans="1:1" x14ac:dyDescent="0.2">
      <c r="A937" t="s">
        <v>6889</v>
      </c>
    </row>
    <row r="938" spans="1:1" x14ac:dyDescent="0.2">
      <c r="A938" t="s">
        <v>6890</v>
      </c>
    </row>
    <row r="939" spans="1:1" x14ac:dyDescent="0.2">
      <c r="A939" t="s">
        <v>6891</v>
      </c>
    </row>
    <row r="940" spans="1:1" x14ac:dyDescent="0.2">
      <c r="A940" t="s">
        <v>6892</v>
      </c>
    </row>
    <row r="941" spans="1:1" x14ac:dyDescent="0.2">
      <c r="A941" t="s">
        <v>6893</v>
      </c>
    </row>
    <row r="942" spans="1:1" x14ac:dyDescent="0.2">
      <c r="A942" t="s">
        <v>6894</v>
      </c>
    </row>
    <row r="943" spans="1:1" x14ac:dyDescent="0.2">
      <c r="A943" t="s">
        <v>6895</v>
      </c>
    </row>
    <row r="944" spans="1:1" x14ac:dyDescent="0.2">
      <c r="A944" t="s">
        <v>6896</v>
      </c>
    </row>
    <row r="945" spans="1:1" x14ac:dyDescent="0.2">
      <c r="A945" t="s">
        <v>6897</v>
      </c>
    </row>
    <row r="946" spans="1:1" x14ac:dyDescent="0.2">
      <c r="A946" t="s">
        <v>6898</v>
      </c>
    </row>
    <row r="947" spans="1:1" x14ac:dyDescent="0.2">
      <c r="A947" t="s">
        <v>6899</v>
      </c>
    </row>
    <row r="948" spans="1:1" x14ac:dyDescent="0.2">
      <c r="A948" t="s">
        <v>6900</v>
      </c>
    </row>
    <row r="949" spans="1:1" x14ac:dyDescent="0.2">
      <c r="A949" t="s">
        <v>6901</v>
      </c>
    </row>
    <row r="950" spans="1:1" x14ac:dyDescent="0.2">
      <c r="A950" t="s">
        <v>6902</v>
      </c>
    </row>
    <row r="951" spans="1:1" x14ac:dyDescent="0.2">
      <c r="A951" t="s">
        <v>6903</v>
      </c>
    </row>
    <row r="952" spans="1:1" x14ac:dyDescent="0.2">
      <c r="A952" t="s">
        <v>6904</v>
      </c>
    </row>
    <row r="953" spans="1:1" x14ac:dyDescent="0.2">
      <c r="A953" t="s">
        <v>6905</v>
      </c>
    </row>
    <row r="954" spans="1:1" x14ac:dyDescent="0.2">
      <c r="A954" t="s">
        <v>6906</v>
      </c>
    </row>
    <row r="955" spans="1:1" x14ac:dyDescent="0.2">
      <c r="A955" t="s">
        <v>6907</v>
      </c>
    </row>
    <row r="956" spans="1:1" x14ac:dyDescent="0.2">
      <c r="A956" t="s">
        <v>6908</v>
      </c>
    </row>
    <row r="957" spans="1:1" x14ac:dyDescent="0.2">
      <c r="A957" t="s">
        <v>6909</v>
      </c>
    </row>
    <row r="958" spans="1:1" x14ac:dyDescent="0.2">
      <c r="A958" t="s">
        <v>6910</v>
      </c>
    </row>
    <row r="959" spans="1:1" x14ac:dyDescent="0.2">
      <c r="A959" t="s">
        <v>6911</v>
      </c>
    </row>
    <row r="960" spans="1:1" x14ac:dyDescent="0.2">
      <c r="A960" t="s">
        <v>6912</v>
      </c>
    </row>
    <row r="961" spans="1:1" x14ac:dyDescent="0.2">
      <c r="A961" t="s">
        <v>6913</v>
      </c>
    </row>
    <row r="962" spans="1:1" x14ac:dyDescent="0.2">
      <c r="A962" t="s">
        <v>6914</v>
      </c>
    </row>
    <row r="963" spans="1:1" x14ac:dyDescent="0.2">
      <c r="A963" t="s">
        <v>6915</v>
      </c>
    </row>
    <row r="964" spans="1:1" x14ac:dyDescent="0.2">
      <c r="A964" t="s">
        <v>6916</v>
      </c>
    </row>
    <row r="965" spans="1:1" x14ac:dyDescent="0.2">
      <c r="A965" t="s">
        <v>6917</v>
      </c>
    </row>
    <row r="966" spans="1:1" x14ac:dyDescent="0.2">
      <c r="A966" t="s">
        <v>6918</v>
      </c>
    </row>
    <row r="967" spans="1:1" x14ac:dyDescent="0.2">
      <c r="A967" t="s">
        <v>6919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A14"/>
  <sheetViews>
    <sheetView workbookViewId="0">
      <selection sqref="A1:B14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1" x14ac:dyDescent="0.2">
      <c r="A1" t="s">
        <v>4922</v>
      </c>
    </row>
    <row r="2" spans="1:1" x14ac:dyDescent="0.2">
      <c r="A2" t="s">
        <v>4923</v>
      </c>
    </row>
    <row r="3" spans="1:1" x14ac:dyDescent="0.2">
      <c r="A3" t="s">
        <v>4924</v>
      </c>
    </row>
    <row r="4" spans="1:1" x14ac:dyDescent="0.2">
      <c r="A4" t="s">
        <v>4925</v>
      </c>
    </row>
    <row r="5" spans="1:1" x14ac:dyDescent="0.2">
      <c r="A5" t="s">
        <v>4926</v>
      </c>
    </row>
    <row r="6" spans="1:1" x14ac:dyDescent="0.2">
      <c r="A6" t="s">
        <v>4927</v>
      </c>
    </row>
    <row r="7" spans="1:1" x14ac:dyDescent="0.2">
      <c r="A7" t="s">
        <v>4928</v>
      </c>
    </row>
    <row r="8" spans="1:1" x14ac:dyDescent="0.2">
      <c r="A8" t="s">
        <v>4929</v>
      </c>
    </row>
    <row r="9" spans="1:1" x14ac:dyDescent="0.2">
      <c r="A9" t="s">
        <v>4930</v>
      </c>
    </row>
    <row r="10" spans="1:1" x14ac:dyDescent="0.2">
      <c r="A10" t="s">
        <v>4931</v>
      </c>
    </row>
    <row r="11" spans="1:1" x14ac:dyDescent="0.2">
      <c r="A11" t="s">
        <v>4932</v>
      </c>
    </row>
    <row r="12" spans="1:1" x14ac:dyDescent="0.2">
      <c r="A12" t="s">
        <v>4933</v>
      </c>
    </row>
    <row r="13" spans="1:1" x14ac:dyDescent="0.2">
      <c r="A13" t="s">
        <v>4934</v>
      </c>
    </row>
    <row r="14" spans="1:1" x14ac:dyDescent="0.2">
      <c r="A14" t="s">
        <v>4935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T89"/>
  <sheetViews>
    <sheetView tabSelected="1" zoomScaleNormal="100" workbookViewId="0">
      <selection activeCell="A16" sqref="A16"/>
    </sheetView>
  </sheetViews>
  <sheetFormatPr defaultRowHeight="12.75" x14ac:dyDescent="0.2"/>
  <cols>
    <col min="1" max="1" width="19.7109375" customWidth="1"/>
    <col min="2" max="2" width="34.28515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  <col min="20" max="20" width="9.42578125" bestFit="1" customWidth="1"/>
  </cols>
  <sheetData>
    <row r="1" spans="1:20" s="151" customFormat="1" x14ac:dyDescent="0.2">
      <c r="A1" s="152" t="s">
        <v>878</v>
      </c>
      <c r="B1" s="152" t="s">
        <v>879</v>
      </c>
      <c r="D1" s="152" t="s">
        <v>2747</v>
      </c>
      <c r="E1" s="152" t="s">
        <v>870</v>
      </c>
      <c r="G1" s="155"/>
      <c r="H1" s="152" t="s">
        <v>2747</v>
      </c>
      <c r="I1" s="152" t="s">
        <v>870</v>
      </c>
      <c r="K1" s="152" t="s">
        <v>3490</v>
      </c>
      <c r="L1" s="152" t="s">
        <v>3491</v>
      </c>
      <c r="M1" s="152" t="s">
        <v>114</v>
      </c>
      <c r="P1" s="155" t="s">
        <v>3492</v>
      </c>
      <c r="T1" s="151" t="s">
        <v>7904</v>
      </c>
    </row>
    <row r="2" spans="1:20" ht="13.5" thickBot="1" x14ac:dyDescent="0.25">
      <c r="A2" s="152" t="s">
        <v>866</v>
      </c>
      <c r="B2" t="b">
        <v>1</v>
      </c>
      <c r="D2" s="152" t="s">
        <v>6927</v>
      </c>
      <c r="E2" s="152" t="s">
        <v>2748</v>
      </c>
      <c r="G2" s="152" t="s">
        <v>3487</v>
      </c>
      <c r="H2" s="291" t="s">
        <v>3480</v>
      </c>
      <c r="I2" s="291" t="s">
        <v>3480</v>
      </c>
      <c r="K2" s="152" t="s">
        <v>3493</v>
      </c>
      <c r="L2" s="152"/>
      <c r="M2" s="152"/>
      <c r="N2" s="151"/>
      <c r="O2" s="151"/>
      <c r="P2" s="50"/>
      <c r="Q2" s="50"/>
      <c r="R2" s="50"/>
      <c r="T2" t="b">
        <v>0</v>
      </c>
    </row>
    <row r="3" spans="1:20" ht="14.25" thickTop="1" thickBot="1" x14ac:dyDescent="0.25">
      <c r="A3" s="152" t="s">
        <v>867</v>
      </c>
      <c r="B3" t="b">
        <v>1</v>
      </c>
      <c r="D3" s="152" t="s">
        <v>6928</v>
      </c>
      <c r="E3" s="152" t="s">
        <v>2749</v>
      </c>
      <c r="G3" s="152" t="s">
        <v>3484</v>
      </c>
      <c r="H3" s="311" t="s">
        <v>3484</v>
      </c>
      <c r="I3" s="311" t="s">
        <v>3484</v>
      </c>
      <c r="K3" s="152" t="s">
        <v>3493</v>
      </c>
      <c r="L3" s="152" t="s">
        <v>3484</v>
      </c>
      <c r="M3" s="151" t="e">
        <f>P3:R3</f>
        <v>#VALUE!</v>
      </c>
      <c r="N3" s="151"/>
      <c r="O3" s="151"/>
      <c r="P3" s="352" t="s">
        <v>3492</v>
      </c>
      <c r="Q3" s="352" t="s">
        <v>3484</v>
      </c>
      <c r="R3" s="351"/>
    </row>
    <row r="4" spans="1:20" ht="13.5" thickTop="1" x14ac:dyDescent="0.2">
      <c r="A4" s="152" t="s">
        <v>868</v>
      </c>
      <c r="B4" s="152" t="s">
        <v>870</v>
      </c>
      <c r="C4" s="151"/>
      <c r="D4" s="152" t="s">
        <v>6929</v>
      </c>
      <c r="E4" s="152" t="s">
        <v>2750</v>
      </c>
      <c r="G4" s="152" t="s">
        <v>3483</v>
      </c>
      <c r="H4" s="595" t="s">
        <v>3483</v>
      </c>
      <c r="I4" s="595" t="s">
        <v>3483</v>
      </c>
      <c r="K4" s="152" t="s">
        <v>3493</v>
      </c>
      <c r="L4" s="152" t="s">
        <v>3483</v>
      </c>
      <c r="M4" s="151" t="e">
        <f t="shared" ref="M4:M9" si="0">P4:R4</f>
        <v>#VALUE!</v>
      </c>
      <c r="N4" s="151"/>
      <c r="O4" s="151"/>
      <c r="P4" s="597" t="s">
        <v>3492</v>
      </c>
      <c r="Q4" s="597" t="s">
        <v>3483</v>
      </c>
      <c r="R4" s="597"/>
    </row>
    <row r="5" spans="1:20" x14ac:dyDescent="0.2">
      <c r="A5" s="152" t="s">
        <v>869</v>
      </c>
      <c r="B5" s="152" t="s">
        <v>871</v>
      </c>
      <c r="C5" s="151"/>
      <c r="D5" s="152" t="s">
        <v>6930</v>
      </c>
      <c r="E5" s="152" t="s">
        <v>2751</v>
      </c>
      <c r="G5" s="152" t="s">
        <v>3481</v>
      </c>
      <c r="H5" s="565" t="s">
        <v>3481</v>
      </c>
      <c r="I5" s="565" t="s">
        <v>3481</v>
      </c>
      <c r="K5" s="152" t="s">
        <v>3493</v>
      </c>
      <c r="L5" s="152" t="s">
        <v>3481</v>
      </c>
      <c r="M5" s="151" t="e">
        <f t="shared" si="0"/>
        <v>#VALUE!</v>
      </c>
      <c r="N5" s="151"/>
      <c r="O5" s="151"/>
      <c r="P5" s="566" t="s">
        <v>3492</v>
      </c>
      <c r="Q5" s="566" t="s">
        <v>3481</v>
      </c>
      <c r="R5" s="566"/>
    </row>
    <row r="6" spans="1:20" x14ac:dyDescent="0.2">
      <c r="A6" s="152" t="s">
        <v>872</v>
      </c>
      <c r="B6" s="152" t="s">
        <v>3492</v>
      </c>
      <c r="C6" s="151"/>
      <c r="D6" s="152" t="s">
        <v>6931</v>
      </c>
      <c r="E6" s="152" t="s">
        <v>2752</v>
      </c>
      <c r="G6" s="152" t="s">
        <v>3482</v>
      </c>
      <c r="H6" s="596" t="s">
        <v>3482</v>
      </c>
      <c r="I6" s="596" t="s">
        <v>3482</v>
      </c>
      <c r="K6" s="152" t="s">
        <v>3493</v>
      </c>
      <c r="L6" s="152" t="s">
        <v>3482</v>
      </c>
      <c r="M6" s="151" t="e">
        <f t="shared" si="0"/>
        <v>#VALUE!</v>
      </c>
      <c r="N6" s="151"/>
      <c r="O6" s="151"/>
      <c r="P6" s="609" t="s">
        <v>3492</v>
      </c>
      <c r="Q6" s="609" t="s">
        <v>3482</v>
      </c>
      <c r="R6" s="609"/>
    </row>
    <row r="7" spans="1:20" x14ac:dyDescent="0.2">
      <c r="A7" s="152" t="s">
        <v>873</v>
      </c>
      <c r="B7" t="s">
        <v>874</v>
      </c>
      <c r="C7" s="151"/>
      <c r="D7" s="152" t="s">
        <v>6946</v>
      </c>
      <c r="E7" s="152" t="s">
        <v>2753</v>
      </c>
      <c r="G7" s="152" t="s">
        <v>3485</v>
      </c>
      <c r="H7" s="628" t="s">
        <v>3485</v>
      </c>
      <c r="I7" s="628" t="s">
        <v>3485</v>
      </c>
      <c r="K7" s="152" t="s">
        <v>3493</v>
      </c>
      <c r="L7" s="152" t="s">
        <v>3485</v>
      </c>
      <c r="M7" s="151" t="e">
        <f t="shared" si="0"/>
        <v>#VALUE!</v>
      </c>
      <c r="N7" s="151"/>
      <c r="O7" s="151"/>
      <c r="P7" s="629" t="s">
        <v>3492</v>
      </c>
      <c r="Q7" s="629" t="s">
        <v>3485</v>
      </c>
      <c r="R7" s="629"/>
    </row>
    <row r="8" spans="1:20" x14ac:dyDescent="0.2">
      <c r="A8" s="152" t="s">
        <v>875</v>
      </c>
      <c r="B8" s="152" t="s">
        <v>876</v>
      </c>
      <c r="C8" s="151"/>
      <c r="D8" s="152" t="s">
        <v>6932</v>
      </c>
      <c r="E8" s="152" t="s">
        <v>2754</v>
      </c>
      <c r="G8" s="152" t="s">
        <v>3488</v>
      </c>
      <c r="H8" s="292" t="s">
        <v>88</v>
      </c>
      <c r="I8" s="292" t="s">
        <v>88</v>
      </c>
      <c r="K8" s="152" t="s">
        <v>3493</v>
      </c>
      <c r="L8" s="152" t="s">
        <v>3488</v>
      </c>
      <c r="M8" s="151" t="e">
        <f t="shared" si="0"/>
        <v>#VALUE!</v>
      </c>
      <c r="N8" s="151"/>
      <c r="O8" s="151"/>
      <c r="P8" s="309" t="s">
        <v>3492</v>
      </c>
      <c r="Q8" s="309" t="s">
        <v>3488</v>
      </c>
      <c r="R8" s="309"/>
    </row>
    <row r="9" spans="1:20" x14ac:dyDescent="0.2">
      <c r="A9" s="152" t="s">
        <v>877</v>
      </c>
      <c r="B9" t="s">
        <v>4921</v>
      </c>
      <c r="C9" s="151"/>
      <c r="D9" s="152" t="s">
        <v>6933</v>
      </c>
      <c r="E9" s="152" t="s">
        <v>2755</v>
      </c>
      <c r="G9" s="152" t="s">
        <v>3486</v>
      </c>
      <c r="H9" s="293" t="s">
        <v>3486</v>
      </c>
      <c r="I9" s="293" t="s">
        <v>3486</v>
      </c>
      <c r="K9" s="152" t="s">
        <v>3493</v>
      </c>
      <c r="L9" s="152" t="s">
        <v>3486</v>
      </c>
      <c r="M9" s="151" t="e">
        <f t="shared" si="0"/>
        <v>#VALUE!</v>
      </c>
      <c r="N9" s="151"/>
      <c r="O9" s="151"/>
      <c r="P9" s="310" t="s">
        <v>3492</v>
      </c>
      <c r="Q9" s="310" t="s">
        <v>3486</v>
      </c>
      <c r="R9" s="310"/>
    </row>
    <row r="10" spans="1:20" x14ac:dyDescent="0.2">
      <c r="A10" s="152" t="s">
        <v>880</v>
      </c>
      <c r="B10" s="152" t="s">
        <v>6984</v>
      </c>
      <c r="C10" s="151"/>
      <c r="D10" s="152" t="s">
        <v>6934</v>
      </c>
      <c r="E10" s="152" t="s">
        <v>2756</v>
      </c>
      <c r="G10" s="152" t="s">
        <v>4486</v>
      </c>
      <c r="H10" s="434" t="s">
        <v>4486</v>
      </c>
      <c r="I10" s="434" t="s">
        <v>4486</v>
      </c>
      <c r="K10" s="152" t="s">
        <v>3489</v>
      </c>
      <c r="L10" s="152" t="s">
        <v>3487</v>
      </c>
      <c r="M10" s="151">
        <f>PedGuiMedIV!A1</f>
        <v>0</v>
      </c>
      <c r="P10" s="50"/>
      <c r="Q10" s="50"/>
      <c r="R10" s="50"/>
    </row>
    <row r="11" spans="1:20" x14ac:dyDescent="0.2">
      <c r="A11" s="152" t="s">
        <v>7918</v>
      </c>
      <c r="B11" t="b">
        <v>1</v>
      </c>
      <c r="C11" s="151"/>
      <c r="D11" s="152" t="s">
        <v>6935</v>
      </c>
      <c r="E11" s="152" t="s">
        <v>2757</v>
      </c>
      <c r="G11" s="152" t="s">
        <v>3476</v>
      </c>
      <c r="H11" s="435" t="s">
        <v>3476</v>
      </c>
      <c r="I11" s="435" t="s">
        <v>3476</v>
      </c>
      <c r="K11" s="152" t="s">
        <v>3489</v>
      </c>
      <c r="L11" s="152" t="s">
        <v>3484</v>
      </c>
      <c r="M11" s="157" t="e">
        <f>PedGuiMedIV!E9:N23,PedGuiMedIV!E25:N29,PedGuiMedIV!F31</f>
        <v>#VALUE!</v>
      </c>
      <c r="P11" s="50"/>
      <c r="Q11" s="50"/>
      <c r="R11" s="50"/>
    </row>
    <row r="12" spans="1:20" x14ac:dyDescent="0.2">
      <c r="A12" s="152" t="s">
        <v>7921</v>
      </c>
      <c r="B12" s="152" t="s">
        <v>7923</v>
      </c>
      <c r="D12" s="152" t="s">
        <v>6936</v>
      </c>
      <c r="E12" s="152" t="s">
        <v>2758</v>
      </c>
      <c r="G12" s="152" t="s">
        <v>3477</v>
      </c>
      <c r="H12" s="436" t="s">
        <v>3477</v>
      </c>
      <c r="I12" s="436" t="s">
        <v>3477</v>
      </c>
      <c r="K12" s="152" t="s">
        <v>3489</v>
      </c>
      <c r="L12" s="152" t="s">
        <v>3483</v>
      </c>
      <c r="M12" s="157" t="e">
        <f>PedGuiMedIV!D9:D23,PedGuiMedIV!D25:D29,PedGuiMedIV!D31:E33</f>
        <v>#VALUE!</v>
      </c>
      <c r="P12" s="50"/>
      <c r="Q12" s="50"/>
      <c r="R12" s="50"/>
    </row>
    <row r="13" spans="1:20" x14ac:dyDescent="0.2">
      <c r="A13" s="152" t="s">
        <v>7919</v>
      </c>
      <c r="B13" s="152" t="s">
        <v>7917</v>
      </c>
      <c r="D13" s="152" t="s">
        <v>6937</v>
      </c>
      <c r="E13" s="152" t="s">
        <v>2759</v>
      </c>
      <c r="K13" s="152" t="s">
        <v>3489</v>
      </c>
      <c r="L13" s="152" t="s">
        <v>3481</v>
      </c>
      <c r="M13" s="157" t="e">
        <f>PedGuiMedIV!B1:O5</f>
        <v>#VALUE!</v>
      </c>
    </row>
    <row r="14" spans="1:20" x14ac:dyDescent="0.2">
      <c r="A14" s="152" t="s">
        <v>7922</v>
      </c>
      <c r="B14" s="152" t="s">
        <v>7923</v>
      </c>
      <c r="D14" s="152" t="s">
        <v>6938</v>
      </c>
      <c r="E14" s="152" t="s">
        <v>2760</v>
      </c>
      <c r="K14" s="152" t="s">
        <v>3489</v>
      </c>
      <c r="L14" s="152" t="s">
        <v>3482</v>
      </c>
      <c r="M14" t="str">
        <f>PedGuiMedIV!B7:O7</f>
        <v>Adviesdosering</v>
      </c>
    </row>
    <row r="15" spans="1:20" x14ac:dyDescent="0.2">
      <c r="A15" s="152" t="s">
        <v>7920</v>
      </c>
      <c r="B15" s="152" t="s">
        <v>7917</v>
      </c>
      <c r="D15" s="152" t="s">
        <v>6939</v>
      </c>
      <c r="E15" s="152" t="s">
        <v>2761</v>
      </c>
      <c r="K15" s="152" t="s">
        <v>3489</v>
      </c>
      <c r="L15" s="152" t="s">
        <v>3485</v>
      </c>
      <c r="M15" s="157" t="e">
        <f>PedGuiMedIV!B35:O42</f>
        <v>#VALUE!</v>
      </c>
    </row>
    <row r="16" spans="1:20" x14ac:dyDescent="0.2">
      <c r="D16" s="152" t="s">
        <v>6940</v>
      </c>
      <c r="E16" s="152" t="s">
        <v>2762</v>
      </c>
      <c r="K16" s="152" t="s">
        <v>3489</v>
      </c>
      <c r="L16" s="152" t="s">
        <v>3488</v>
      </c>
    </row>
    <row r="17" spans="4:13" x14ac:dyDescent="0.2">
      <c r="D17" s="152" t="s">
        <v>6941</v>
      </c>
      <c r="E17" s="152" t="s">
        <v>2763</v>
      </c>
      <c r="K17" s="152" t="s">
        <v>3489</v>
      </c>
      <c r="L17" s="152" t="s">
        <v>3486</v>
      </c>
    </row>
    <row r="18" spans="4:13" x14ac:dyDescent="0.2">
      <c r="D18" s="152" t="s">
        <v>6942</v>
      </c>
      <c r="E18" s="152" t="s">
        <v>5112</v>
      </c>
      <c r="K18" s="152" t="s">
        <v>3494</v>
      </c>
      <c r="L18" s="152" t="s">
        <v>3487</v>
      </c>
      <c r="M18">
        <f>GlobGuiMedDisc!A1</f>
        <v>0</v>
      </c>
    </row>
    <row r="19" spans="4:13" x14ac:dyDescent="0.2">
      <c r="D19" s="152" t="s">
        <v>6943</v>
      </c>
      <c r="E19" s="152" t="s">
        <v>2764</v>
      </c>
      <c r="K19" s="152" t="s">
        <v>3494</v>
      </c>
      <c r="L19" s="152" t="s">
        <v>3484</v>
      </c>
      <c r="M19" t="str">
        <f>GlobGuiMedDisc!E9:T38</f>
        <v/>
      </c>
    </row>
    <row r="20" spans="4:13" x14ac:dyDescent="0.2">
      <c r="D20" t="s">
        <v>5264</v>
      </c>
      <c r="E20" s="152" t="s">
        <v>2765</v>
      </c>
      <c r="H20" s="161"/>
      <c r="K20" s="152" t="s">
        <v>3494</v>
      </c>
      <c r="L20" s="152" t="s">
        <v>3483</v>
      </c>
      <c r="M20">
        <f>GlobGuiMedDisc!D9:D38</f>
        <v>12</v>
      </c>
    </row>
    <row r="21" spans="4:13" x14ac:dyDescent="0.2">
      <c r="D21" t="s">
        <v>5265</v>
      </c>
      <c r="E21" s="152" t="s">
        <v>2766</v>
      </c>
      <c r="K21" s="152" t="s">
        <v>3494</v>
      </c>
      <c r="L21" s="152" t="s">
        <v>3481</v>
      </c>
      <c r="M21" t="e">
        <f>GlobGuiMedDisc!B1:T5</f>
        <v>#VALUE!</v>
      </c>
    </row>
    <row r="22" spans="4:13" x14ac:dyDescent="0.2">
      <c r="D22" t="s">
        <v>5209</v>
      </c>
      <c r="E22" s="152" t="s">
        <v>2767</v>
      </c>
      <c r="K22" s="152" t="s">
        <v>3494</v>
      </c>
      <c r="L22" s="152" t="s">
        <v>3482</v>
      </c>
      <c r="M22" t="str">
        <f>GlobGuiMedDisc!B7:T7</f>
        <v>Route</v>
      </c>
    </row>
    <row r="23" spans="4:13" x14ac:dyDescent="0.2">
      <c r="D23" t="s">
        <v>5266</v>
      </c>
      <c r="E23" s="152" t="s">
        <v>2768</v>
      </c>
      <c r="K23" s="152" t="s">
        <v>3494</v>
      </c>
      <c r="L23" s="152" t="s">
        <v>3485</v>
      </c>
    </row>
    <row r="24" spans="4:13" x14ac:dyDescent="0.2">
      <c r="D24" t="s">
        <v>5267</v>
      </c>
      <c r="E24" s="152" t="s">
        <v>2769</v>
      </c>
      <c r="K24" s="152" t="s">
        <v>3494</v>
      </c>
      <c r="L24" s="152" t="s">
        <v>3488</v>
      </c>
    </row>
    <row r="25" spans="4:13" x14ac:dyDescent="0.2">
      <c r="D25" t="s">
        <v>5268</v>
      </c>
      <c r="E25" s="152" t="s">
        <v>2770</v>
      </c>
      <c r="K25" s="152" t="s">
        <v>3494</v>
      </c>
      <c r="L25" s="152" t="s">
        <v>3486</v>
      </c>
    </row>
    <row r="26" spans="4:13" x14ac:dyDescent="0.2">
      <c r="D26" t="s">
        <v>5269</v>
      </c>
      <c r="E26" s="152" t="s">
        <v>2771</v>
      </c>
      <c r="K26" s="152" t="s">
        <v>3495</v>
      </c>
      <c r="L26" s="152" t="s">
        <v>3487</v>
      </c>
      <c r="M26">
        <f>PedGuiLijnPM!A1</f>
        <v>0</v>
      </c>
    </row>
    <row r="27" spans="4:13" x14ac:dyDescent="0.2">
      <c r="D27" t="s">
        <v>5270</v>
      </c>
      <c r="E27" s="152" t="s">
        <v>5279</v>
      </c>
      <c r="K27" s="152" t="s">
        <v>3495</v>
      </c>
      <c r="L27" s="152" t="s">
        <v>3484</v>
      </c>
      <c r="M27" t="e">
        <f>PedGuiLijnPM!E16,PedGuiLijnPM!E23,PedGuiLijnPM!E25:E26,PedGuiLijnPM!E28,PedGuiLijnPM!E30:E31</f>
        <v>#VALUE!</v>
      </c>
    </row>
    <row r="28" spans="4:13" x14ac:dyDescent="0.2">
      <c r="D28" t="s">
        <v>5271</v>
      </c>
      <c r="E28" s="152" t="s">
        <v>2772</v>
      </c>
      <c r="K28" s="152" t="s">
        <v>3495</v>
      </c>
      <c r="L28" s="152" t="s">
        <v>3483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D29" t="s">
        <v>5272</v>
      </c>
      <c r="E29" s="152" t="s">
        <v>2773</v>
      </c>
      <c r="K29" s="152" t="s">
        <v>3495</v>
      </c>
      <c r="L29" s="152" t="s">
        <v>3481</v>
      </c>
      <c r="M29" t="e">
        <f>PedGuiLijnPM!B1:O5</f>
        <v>#VALUE!</v>
      </c>
    </row>
    <row r="30" spans="4:13" x14ac:dyDescent="0.2">
      <c r="D30" t="s">
        <v>5273</v>
      </c>
      <c r="E30" s="152" t="s">
        <v>2774</v>
      </c>
      <c r="K30" s="152" t="s">
        <v>3495</v>
      </c>
      <c r="L30" s="152" t="s">
        <v>3482</v>
      </c>
      <c r="M30" t="e">
        <f>PedGuiLijnPM!B7:O7,PedGuiLijnPM!B19:O19</f>
        <v>#VALUE!</v>
      </c>
    </row>
    <row r="31" spans="4:13" x14ac:dyDescent="0.2">
      <c r="D31" t="s">
        <v>5274</v>
      </c>
      <c r="E31" s="152" t="s">
        <v>2775</v>
      </c>
      <c r="K31" s="152" t="s">
        <v>3495</v>
      </c>
      <c r="L31" s="152" t="s">
        <v>3485</v>
      </c>
    </row>
    <row r="32" spans="4:13" x14ac:dyDescent="0.2">
      <c r="D32" t="s">
        <v>5275</v>
      </c>
      <c r="E32" s="152" t="s">
        <v>2776</v>
      </c>
      <c r="K32" s="152" t="s">
        <v>3495</v>
      </c>
      <c r="L32" s="152" t="s">
        <v>3488</v>
      </c>
    </row>
    <row r="33" spans="4:13" x14ac:dyDescent="0.2">
      <c r="D33" t="s">
        <v>5276</v>
      </c>
      <c r="E33" s="152" t="s">
        <v>2777</v>
      </c>
      <c r="K33" s="152" t="s">
        <v>3495</v>
      </c>
      <c r="L33" s="152" t="s">
        <v>3486</v>
      </c>
    </row>
    <row r="34" spans="4:13" x14ac:dyDescent="0.2">
      <c r="D34" t="s">
        <v>5277</v>
      </c>
      <c r="E34" s="152" t="s">
        <v>2778</v>
      </c>
      <c r="K34" s="152" t="s">
        <v>3496</v>
      </c>
      <c r="L34" s="152" t="s">
        <v>3487</v>
      </c>
      <c r="M34">
        <f>PedGuiEntTPN!A1</f>
        <v>0</v>
      </c>
    </row>
    <row r="35" spans="4:13" x14ac:dyDescent="0.2">
      <c r="D35" t="s">
        <v>5278</v>
      </c>
      <c r="E35" s="152" t="s">
        <v>2779</v>
      </c>
      <c r="K35" s="152" t="s">
        <v>3496</v>
      </c>
      <c r="L35" s="152" t="s">
        <v>3484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4:13" x14ac:dyDescent="0.2">
      <c r="E36" s="152" t="s">
        <v>2780</v>
      </c>
      <c r="K36" s="152" t="s">
        <v>3496</v>
      </c>
      <c r="L36" s="152" t="s">
        <v>3483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4:13" x14ac:dyDescent="0.2">
      <c r="E37" s="152" t="s">
        <v>2781</v>
      </c>
      <c r="K37" s="152" t="s">
        <v>3496</v>
      </c>
      <c r="L37" s="152" t="s">
        <v>3481</v>
      </c>
      <c r="M37" t="e">
        <f>PedGuiEntTPN!B1:N5</f>
        <v>#VALUE!</v>
      </c>
    </row>
    <row r="38" spans="4:13" x14ac:dyDescent="0.2">
      <c r="E38" s="152" t="s">
        <v>2782</v>
      </c>
      <c r="K38" s="152" t="s">
        <v>3496</v>
      </c>
      <c r="L38" s="152" t="s">
        <v>3482</v>
      </c>
      <c r="M38" t="e">
        <f>PedGuiEntTPN!B7:N7,PedGuiEntTPN!B20:N20</f>
        <v>#VALUE!</v>
      </c>
    </row>
    <row r="39" spans="4:13" x14ac:dyDescent="0.2">
      <c r="E39" s="152" t="s">
        <v>2783</v>
      </c>
      <c r="K39" s="152" t="s">
        <v>3496</v>
      </c>
      <c r="L39" s="152" t="s">
        <v>3485</v>
      </c>
      <c r="M39" t="e">
        <f>PedGuiEntTPN!B41:N48</f>
        <v>#VALUE!</v>
      </c>
    </row>
    <row r="40" spans="4:13" x14ac:dyDescent="0.2">
      <c r="E40" s="152" t="s">
        <v>5280</v>
      </c>
      <c r="K40" s="152" t="s">
        <v>3496</v>
      </c>
      <c r="L40" s="152" t="s">
        <v>3488</v>
      </c>
    </row>
    <row r="41" spans="4:13" x14ac:dyDescent="0.2">
      <c r="E41" s="152" t="s">
        <v>2784</v>
      </c>
      <c r="K41" s="152" t="s">
        <v>3496</v>
      </c>
      <c r="L41" s="152" t="s">
        <v>3486</v>
      </c>
    </row>
    <row r="42" spans="4:13" x14ac:dyDescent="0.2">
      <c r="E42" s="152" t="s">
        <v>2785</v>
      </c>
      <c r="K42" s="152" t="s">
        <v>3497</v>
      </c>
      <c r="L42" s="152" t="s">
        <v>3487</v>
      </c>
      <c r="M42">
        <f>PedGuiLab!A1</f>
        <v>0</v>
      </c>
    </row>
    <row r="43" spans="4:13" x14ac:dyDescent="0.2">
      <c r="E43" s="152" t="s">
        <v>2786</v>
      </c>
      <c r="K43" s="152" t="s">
        <v>3497</v>
      </c>
      <c r="L43" s="152" t="s">
        <v>3484</v>
      </c>
      <c r="M43" t="str">
        <f>PedGuiLab!D43</f>
        <v/>
      </c>
    </row>
    <row r="44" spans="4:13" x14ac:dyDescent="0.2">
      <c r="E44" s="152" t="s">
        <v>2787</v>
      </c>
      <c r="K44" s="152" t="s">
        <v>3497</v>
      </c>
      <c r="L44" s="152" t="s">
        <v>3483</v>
      </c>
      <c r="M44" t="e">
        <f>PedGuiLab!B9:L9,PedGuiLab!B43:C44</f>
        <v>#VALUE!</v>
      </c>
    </row>
    <row r="45" spans="4:13" x14ac:dyDescent="0.2">
      <c r="E45" s="152" t="s">
        <v>2788</v>
      </c>
      <c r="K45" s="152" t="s">
        <v>3497</v>
      </c>
      <c r="L45" s="152" t="s">
        <v>3481</v>
      </c>
      <c r="M45" t="e">
        <f>PedGuiLab!B1:S5</f>
        <v>#VALUE!</v>
      </c>
    </row>
    <row r="46" spans="4:13" x14ac:dyDescent="0.2">
      <c r="E46" s="152" t="s">
        <v>2789</v>
      </c>
      <c r="K46" s="152" t="s">
        <v>3497</v>
      </c>
      <c r="L46" s="152" t="s">
        <v>3482</v>
      </c>
      <c r="M46">
        <f>PedGuiLab!B7:N7</f>
        <v>0</v>
      </c>
    </row>
    <row r="47" spans="4:13" x14ac:dyDescent="0.2">
      <c r="E47" s="152" t="s">
        <v>2790</v>
      </c>
      <c r="K47" s="152" t="s">
        <v>3497</v>
      </c>
      <c r="L47" s="152" t="s">
        <v>3485</v>
      </c>
    </row>
    <row r="48" spans="4:13" x14ac:dyDescent="0.2">
      <c r="E48" s="152" t="s">
        <v>2791</v>
      </c>
      <c r="K48" s="152" t="s">
        <v>3497</v>
      </c>
      <c r="L48" s="152" t="s">
        <v>3488</v>
      </c>
      <c r="M48" t="e">
        <f>PedGuiLab!B10:I41,PedGuiLab!K10:L41</f>
        <v>#VALUE!</v>
      </c>
    </row>
    <row r="49" spans="5:13" x14ac:dyDescent="0.2">
      <c r="E49" s="152" t="s">
        <v>2792</v>
      </c>
      <c r="K49" s="152" t="s">
        <v>3497</v>
      </c>
      <c r="L49" s="152" t="s">
        <v>3486</v>
      </c>
    </row>
    <row r="50" spans="5:13" x14ac:dyDescent="0.2">
      <c r="E50" s="152" t="s">
        <v>2793</v>
      </c>
      <c r="K50" s="152" t="s">
        <v>3498</v>
      </c>
      <c r="L50" s="152" t="s">
        <v>3487</v>
      </c>
      <c r="M50">
        <f>PedGuiAcuut!A1</f>
        <v>0</v>
      </c>
    </row>
    <row r="51" spans="5:13" x14ac:dyDescent="0.2">
      <c r="E51" s="152" t="s">
        <v>2794</v>
      </c>
      <c r="K51" s="152" t="s">
        <v>3498</v>
      </c>
      <c r="L51" s="152" t="s">
        <v>3484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152" t="s">
        <v>2795</v>
      </c>
      <c r="K52" s="152" t="s">
        <v>3498</v>
      </c>
      <c r="L52" s="152" t="s">
        <v>3483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152" t="s">
        <v>2796</v>
      </c>
      <c r="K53" s="152" t="s">
        <v>3498</v>
      </c>
      <c r="L53" s="152" t="s">
        <v>3481</v>
      </c>
      <c r="M53" t="e">
        <f>PedGuiAcuut!B2:G5</f>
        <v>#VALUE!</v>
      </c>
    </row>
    <row r="54" spans="5:13" x14ac:dyDescent="0.2">
      <c r="E54" s="152" t="s">
        <v>2797</v>
      </c>
      <c r="K54" s="152" t="s">
        <v>3498</v>
      </c>
      <c r="L54" s="152" t="s">
        <v>3482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152" t="s">
        <v>3498</v>
      </c>
      <c r="L55" s="152" t="s">
        <v>3485</v>
      </c>
    </row>
    <row r="56" spans="5:13" x14ac:dyDescent="0.2">
      <c r="K56" s="152" t="s">
        <v>3498</v>
      </c>
      <c r="L56" s="152" t="s">
        <v>3488</v>
      </c>
    </row>
    <row r="57" spans="5:13" x14ac:dyDescent="0.2">
      <c r="K57" s="152" t="s">
        <v>3498</v>
      </c>
      <c r="L57" s="152" t="s">
        <v>3486</v>
      </c>
    </row>
    <row r="58" spans="5:13" x14ac:dyDescent="0.2">
      <c r="K58" s="152" t="s">
        <v>3499</v>
      </c>
      <c r="L58" s="152" t="s">
        <v>3487</v>
      </c>
      <c r="M58">
        <f>PedGuiAfspr!B1</f>
        <v>0</v>
      </c>
    </row>
    <row r="59" spans="5:13" x14ac:dyDescent="0.2">
      <c r="K59" s="152" t="s">
        <v>3499</v>
      </c>
      <c r="L59" s="152" t="s">
        <v>3484</v>
      </c>
      <c r="M59" t="e">
        <f>PedGuiAfspr!D8:D11,PedGuiAfspr!D18:D19,PedGuiAfspr!H9:H10,PedGuiAfspr!J10,PedGuiAfspr!G18,PedGuiAfspr!E35</f>
        <v>#VALUE!</v>
      </c>
    </row>
    <row r="60" spans="5:13" x14ac:dyDescent="0.2">
      <c r="K60" s="152" t="s">
        <v>3499</v>
      </c>
      <c r="L60" s="152" t="s">
        <v>3483</v>
      </c>
      <c r="M60" t="e">
        <f>PedGuiAfspr!I10,PedGuiAfspr!G17:J17</f>
        <v>#VALUE!</v>
      </c>
    </row>
    <row r="61" spans="5:13" x14ac:dyDescent="0.2">
      <c r="K61" s="152" t="s">
        <v>3499</v>
      </c>
      <c r="L61" s="152" t="s">
        <v>3481</v>
      </c>
      <c r="M61" t="e">
        <f>PedGuiAfspr!B1:J4</f>
        <v>#VALUE!</v>
      </c>
    </row>
    <row r="62" spans="5:13" x14ac:dyDescent="0.2">
      <c r="K62" s="152" t="s">
        <v>3499</v>
      </c>
      <c r="L62" s="152" t="s">
        <v>3482</v>
      </c>
      <c r="M62" t="e">
        <f>PedGuiAfspr!C6:J6,PedGuiAfspr!C22:J22,PedGuiAfspr!C28:J28</f>
        <v>#VALUE!</v>
      </c>
    </row>
    <row r="63" spans="5:13" x14ac:dyDescent="0.2">
      <c r="K63" s="152" t="s">
        <v>3499</v>
      </c>
      <c r="L63" s="152" t="s">
        <v>3485</v>
      </c>
      <c r="M63" t="e">
        <f>PedGuiAfspr!C37:J41</f>
        <v>#VALUE!</v>
      </c>
    </row>
    <row r="64" spans="5:13" x14ac:dyDescent="0.2">
      <c r="K64" s="152" t="s">
        <v>3499</v>
      </c>
      <c r="L64" s="152" t="s">
        <v>3488</v>
      </c>
    </row>
    <row r="65" spans="11:13" x14ac:dyDescent="0.2">
      <c r="K65" s="152" t="s">
        <v>3499</v>
      </c>
      <c r="L65" s="152" t="s">
        <v>3486</v>
      </c>
    </row>
    <row r="66" spans="11:13" x14ac:dyDescent="0.2">
      <c r="K66" s="152" t="s">
        <v>4255</v>
      </c>
      <c r="L66" s="152" t="s">
        <v>3487</v>
      </c>
      <c r="M66">
        <f>NeoGuiInfB!A1</f>
        <v>0</v>
      </c>
    </row>
    <row r="67" spans="11:13" x14ac:dyDescent="0.2">
      <c r="K67" s="152" t="s">
        <v>4255</v>
      </c>
      <c r="L67" s="152" t="s">
        <v>3484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152" t="s">
        <v>4255</v>
      </c>
      <c r="L68" s="152" t="s">
        <v>3483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M47,NeoGuiInfB!D49:E58,NeoGuiInfB!D62:E72,NeoGuiInfB!L25:R25,NeoGuiInfB!C49:C59,NeoGuiInfB!C47,NeoGuiInfB!F47,NeoGuiInfB!C62:C72</f>
        <v>#VALUE!</v>
      </c>
    </row>
    <row r="69" spans="11:13" x14ac:dyDescent="0.2">
      <c r="K69" s="152" t="s">
        <v>4255</v>
      </c>
      <c r="L69" s="152" t="s">
        <v>3481</v>
      </c>
      <c r="M69" t="e">
        <f>NeoGuiInfB!C9:R12</f>
        <v>#VALUE!</v>
      </c>
    </row>
    <row r="70" spans="11:13" x14ac:dyDescent="0.2">
      <c r="K70" s="152" t="s">
        <v>4255</v>
      </c>
      <c r="L70" s="152" t="s">
        <v>3482</v>
      </c>
      <c r="M70" t="e">
        <f>NeoGuiInfB!C14:R14,NeoGuiInfB!C24:R24,NeoGuiInfB!C45:R45,NeoGuiInfB!C61:R61</f>
        <v>#VALUE!</v>
      </c>
    </row>
    <row r="71" spans="11:13" x14ac:dyDescent="0.2">
      <c r="K71" s="152" t="s">
        <v>4255</v>
      </c>
      <c r="L71" s="152" t="s">
        <v>3485</v>
      </c>
      <c r="M71" t="e">
        <f>NeoGuiInfB!C2:R7</f>
        <v>#VALUE!</v>
      </c>
    </row>
    <row r="72" spans="11:13" x14ac:dyDescent="0.2">
      <c r="K72" s="152" t="s">
        <v>4255</v>
      </c>
      <c r="L72" s="152" t="s">
        <v>3488</v>
      </c>
    </row>
    <row r="73" spans="11:13" x14ac:dyDescent="0.2">
      <c r="K73" s="152" t="s">
        <v>4255</v>
      </c>
      <c r="L73" s="152" t="s">
        <v>3486</v>
      </c>
    </row>
    <row r="74" spans="11:13" x14ac:dyDescent="0.2">
      <c r="K74" s="152" t="s">
        <v>4492</v>
      </c>
      <c r="L74" s="152" t="s">
        <v>3487</v>
      </c>
      <c r="M74">
        <f>NeoGuiAfspr!B1</f>
        <v>0</v>
      </c>
    </row>
    <row r="75" spans="11:13" x14ac:dyDescent="0.2">
      <c r="K75" s="152" t="s">
        <v>4492</v>
      </c>
      <c r="L75" s="152" t="s">
        <v>3484</v>
      </c>
      <c r="M75" t="e">
        <f>NeoGuiAfspr!D8:D10,NeoGuiAfspr!D12,NeoGuiAfspr!K8,NeoGuiAfspr!K18:L18,NeoGuiAfspr!E27,NeoGuiAfspr!H31,NeoGuiAfspr!E41</f>
        <v>#VALUE!</v>
      </c>
    </row>
    <row r="76" spans="11:13" x14ac:dyDescent="0.2">
      <c r="K76" s="152" t="s">
        <v>4492</v>
      </c>
      <c r="L76" s="152" t="s">
        <v>3483</v>
      </c>
      <c r="M76" t="e">
        <f>NeoGuiAfspr!D27,NeoGuiAfspr!F41:G41</f>
        <v>#VALUE!</v>
      </c>
    </row>
    <row r="77" spans="11:13" x14ac:dyDescent="0.2">
      <c r="K77" s="152" t="s">
        <v>4492</v>
      </c>
      <c r="L77" s="152" t="s">
        <v>3481</v>
      </c>
      <c r="M77" t="e">
        <f>NeoGuiAfspr!B1:L4</f>
        <v>#VALUE!</v>
      </c>
    </row>
    <row r="78" spans="11:13" x14ac:dyDescent="0.2">
      <c r="K78" s="152" t="s">
        <v>4492</v>
      </c>
      <c r="L78" s="152" t="s">
        <v>3482</v>
      </c>
      <c r="M78" t="e">
        <f>NeoGuiAfspr!C6:L6,NeoGuiAfspr!C21:F21,NeoGuiAfspr!C34:F34</f>
        <v>#VALUE!</v>
      </c>
    </row>
    <row r="79" spans="11:13" x14ac:dyDescent="0.2">
      <c r="K79" s="152" t="s">
        <v>4492</v>
      </c>
      <c r="L79" s="152" t="s">
        <v>3485</v>
      </c>
      <c r="M79" t="e">
        <f>NeoGuiAfspr!C44:K49</f>
        <v>#VALUE!</v>
      </c>
    </row>
    <row r="80" spans="11:13" x14ac:dyDescent="0.2">
      <c r="K80" s="152" t="s">
        <v>4492</v>
      </c>
      <c r="L80" s="152" t="s">
        <v>3488</v>
      </c>
    </row>
    <row r="81" spans="11:13" x14ac:dyDescent="0.2">
      <c r="K81" s="152" t="s">
        <v>4492</v>
      </c>
      <c r="L81" s="152" t="s">
        <v>3486</v>
      </c>
    </row>
    <row r="82" spans="11:13" x14ac:dyDescent="0.2">
      <c r="K82" s="152" t="s">
        <v>4493</v>
      </c>
      <c r="L82" s="152" t="s">
        <v>3487</v>
      </c>
      <c r="M82">
        <f>NeoGuiLab!A1</f>
        <v>0</v>
      </c>
    </row>
    <row r="83" spans="11:13" x14ac:dyDescent="0.2">
      <c r="K83" s="152" t="s">
        <v>4493</v>
      </c>
      <c r="L83" s="152" t="s">
        <v>3484</v>
      </c>
      <c r="M83" t="str">
        <f>NeoGuiLab!C41</f>
        <v/>
      </c>
    </row>
    <row r="84" spans="11:13" x14ac:dyDescent="0.2">
      <c r="K84" s="152" t="s">
        <v>4493</v>
      </c>
      <c r="L84" s="152" t="s">
        <v>3483</v>
      </c>
      <c r="M84" t="e">
        <f>NeoGuiLab!B41,NeoGuiLab!B8:T8</f>
        <v>#VALUE!</v>
      </c>
    </row>
    <row r="85" spans="11:13" x14ac:dyDescent="0.2">
      <c r="K85" s="152" t="s">
        <v>4493</v>
      </c>
      <c r="L85" s="152" t="s">
        <v>3481</v>
      </c>
      <c r="M85" t="e">
        <f>NeoGuiLab!B1:T4</f>
        <v>#VALUE!</v>
      </c>
    </row>
    <row r="86" spans="11:13" x14ac:dyDescent="0.2">
      <c r="K86" s="152" t="s">
        <v>4493</v>
      </c>
      <c r="L86" s="152" t="s">
        <v>3482</v>
      </c>
      <c r="M86">
        <f>NeoGuiLab!B6:T6</f>
        <v>0</v>
      </c>
    </row>
    <row r="87" spans="11:13" x14ac:dyDescent="0.2">
      <c r="K87" s="152" t="s">
        <v>4493</v>
      </c>
      <c r="L87" s="152" t="s">
        <v>3485</v>
      </c>
    </row>
    <row r="88" spans="11:13" x14ac:dyDescent="0.2">
      <c r="K88" s="152" t="s">
        <v>4493</v>
      </c>
      <c r="L88" s="152" t="s">
        <v>3488</v>
      </c>
      <c r="M88" t="e">
        <f>NeoGuiLab!B9:M40,NeoGuiLab!O9:T40</f>
        <v>#VALUE!</v>
      </c>
    </row>
    <row r="89" spans="11:13" x14ac:dyDescent="0.2">
      <c r="K89" s="152" t="s">
        <v>4493</v>
      </c>
      <c r="L89" s="152" t="s">
        <v>3486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  <outlinePr showOutlineSymbols="0"/>
  </sheetPr>
  <dimension ref="A1:I2378"/>
  <sheetViews>
    <sheetView showZeros="0" showOutlineSymbols="0" workbookViewId="0">
      <pane ySplit="1" topLeftCell="A467" activePane="bottomLeft" state="frozen"/>
      <selection pane="bottomLeft" activeCell="B444" sqref="B444:B473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355" customWidth="1"/>
  </cols>
  <sheetData>
    <row r="1" spans="1:9" x14ac:dyDescent="0.2">
      <c r="A1" t="s">
        <v>883</v>
      </c>
      <c r="B1" t="s">
        <v>881</v>
      </c>
      <c r="C1" t="s">
        <v>882</v>
      </c>
      <c r="D1" t="s">
        <v>1725</v>
      </c>
      <c r="E1" t="s">
        <v>879</v>
      </c>
      <c r="F1" t="s">
        <v>1703</v>
      </c>
      <c r="G1" t="s">
        <v>1722</v>
      </c>
      <c r="H1" t="s">
        <v>1723</v>
      </c>
      <c r="I1" t="s">
        <v>1724</v>
      </c>
    </row>
    <row r="2" spans="1:9" x14ac:dyDescent="0.2">
      <c r="A2" t="s">
        <v>2809</v>
      </c>
      <c r="B2" t="s">
        <v>884</v>
      </c>
      <c r="D2" t="b">
        <f>IFERROR(VLOOKUP(B2,PatData!$A$2:$A$2030,1,),"")&lt;&gt;""</f>
        <v>1</v>
      </c>
      <c r="E2">
        <v>2276313</v>
      </c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1220</v>
      </c>
      <c r="B3" t="s">
        <v>885</v>
      </c>
      <c r="D3" t="b">
        <f>IFERROR(VLOOKUP(B3,PatData!$A$2:$A$2030,1,),"")&lt;&gt;""</f>
        <v>1</v>
      </c>
      <c r="E3" t="s">
        <v>6929</v>
      </c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2810</v>
      </c>
      <c r="B4" t="s">
        <v>886</v>
      </c>
      <c r="D4" t="b">
        <f>IFERROR(VLOOKUP(B4,PatData!$A$2:$A$2030,1,),"")&lt;&gt;""</f>
        <v>1</v>
      </c>
      <c r="E4" t="s">
        <v>7660</v>
      </c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2811</v>
      </c>
      <c r="B5" t="s">
        <v>887</v>
      </c>
      <c r="D5" t="b">
        <f>IFERROR(VLOOKUP(B5,PatData!$A$2:$A$2030,1,),"")&lt;&gt;""</f>
        <v>1</v>
      </c>
      <c r="E5" t="s">
        <v>7661</v>
      </c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2812</v>
      </c>
      <c r="B6" t="s">
        <v>888</v>
      </c>
      <c r="D6" t="b">
        <f>IFERROR(VLOOKUP(B6,PatData!$A$2:$A$2030,1,),"")&lt;&gt;""</f>
        <v>1</v>
      </c>
      <c r="E6">
        <v>42818</v>
      </c>
      <c r="F6" t="b">
        <v>0</v>
      </c>
      <c r="G6" t="b">
        <v>1</v>
      </c>
      <c r="H6" t="b">
        <v>0</v>
      </c>
      <c r="I6" t="b">
        <v>0</v>
      </c>
    </row>
    <row r="7" spans="1:9" x14ac:dyDescent="0.2">
      <c r="A7" t="s">
        <v>7537</v>
      </c>
      <c r="B7" t="s">
        <v>1523</v>
      </c>
      <c r="D7" t="b">
        <f>IFERROR(VLOOKUP(B7,PatData!$A$2:$A$2030,1,),"")&lt;&gt;""</f>
        <v>0</v>
      </c>
      <c r="E7" t="s">
        <v>883</v>
      </c>
      <c r="F7" t="b">
        <v>0</v>
      </c>
      <c r="G7" t="b">
        <v>0</v>
      </c>
      <c r="H7" t="b">
        <v>0</v>
      </c>
      <c r="I7" t="b">
        <v>0</v>
      </c>
    </row>
    <row r="8" spans="1:9" x14ac:dyDescent="0.2">
      <c r="A8" t="s">
        <v>925</v>
      </c>
      <c r="B8" t="s">
        <v>889</v>
      </c>
      <c r="D8" t="b">
        <f>IFERROR(VLOOKUP(B8,PatData!$A$2:$A$2030,1,),"")&lt;&gt;""</f>
        <v>0</v>
      </c>
      <c r="E8" t="s">
        <v>884</v>
      </c>
      <c r="F8" t="b">
        <v>0</v>
      </c>
      <c r="G8" t="b">
        <v>0</v>
      </c>
      <c r="H8" t="b">
        <v>0</v>
      </c>
      <c r="I8" t="b">
        <v>0</v>
      </c>
    </row>
    <row r="9" spans="1:9" x14ac:dyDescent="0.2">
      <c r="A9" t="s">
        <v>7812</v>
      </c>
      <c r="B9" t="s">
        <v>890</v>
      </c>
      <c r="D9" t="b">
        <f>IFERROR(VLOOKUP(B9,PatData!$A$2:$A$2030,1,),"")&lt;&gt;""</f>
        <v>0</v>
      </c>
      <c r="E9" t="s">
        <v>114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5056</v>
      </c>
      <c r="B10" t="s">
        <v>5073</v>
      </c>
      <c r="D10" t="b">
        <f>IFERROR(VLOOKUP(B10,PatData!$A$2:$A$2030,1,),"")&lt;&gt;""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5057</v>
      </c>
      <c r="B11" t="s">
        <v>5074</v>
      </c>
      <c r="D11" t="b">
        <f>IFERROR(VLOOKUP(B11,PatData!$A$2:$A$2030,1,),"")&lt;&gt;""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5058</v>
      </c>
      <c r="B12" t="s">
        <v>5075</v>
      </c>
      <c r="D12" t="b">
        <f>IFERROR(VLOOKUP(B12,PatData!$A$2:$A$2030,1,),"")&lt;&gt;""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5059</v>
      </c>
      <c r="B13" t="s">
        <v>5076</v>
      </c>
      <c r="D13" t="b">
        <f>IFERROR(VLOOKUP(B13,PatData!$A$2:$A$2030,1,),"")&lt;&gt;""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5060</v>
      </c>
      <c r="B14" t="s">
        <v>5077</v>
      </c>
      <c r="D14" t="b">
        <f>IFERROR(VLOOKUP(B14,PatData!$A$2:$A$2030,1,),"")&lt;&gt;""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5061</v>
      </c>
      <c r="B15" t="s">
        <v>5078</v>
      </c>
      <c r="D15" t="b">
        <f>IFERROR(VLOOKUP(B15,PatData!$A$2:$A$2030,1,),"")&lt;&gt;""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5062</v>
      </c>
      <c r="B16" t="s">
        <v>5079</v>
      </c>
      <c r="D16" t="b">
        <f>IFERROR(VLOOKUP(B16,PatData!$A$2:$A$2030,1,),"")&lt;&gt;""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5063</v>
      </c>
      <c r="B17" t="s">
        <v>5080</v>
      </c>
      <c r="D17" t="b">
        <f>IFERROR(VLOOKUP(B17,PatData!$A$2:$A$2030,1,),"")&lt;&gt;""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5064</v>
      </c>
      <c r="B18" t="s">
        <v>5081</v>
      </c>
      <c r="D18" t="b">
        <f>IFERROR(VLOOKUP(B18,PatData!$A$2:$A$2030,1,),"")&lt;&gt;""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5065</v>
      </c>
      <c r="B19" t="s">
        <v>5082</v>
      </c>
      <c r="D19" t="b">
        <f>IFERROR(VLOOKUP(B19,PatData!$A$2:$A$2030,1,),"")&lt;&gt;""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5066</v>
      </c>
      <c r="B20" t="s">
        <v>5083</v>
      </c>
      <c r="D20" t="b">
        <f>IFERROR(VLOOKUP(B20,PatData!$A$2:$A$2030,1,),"")&lt;&gt;""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5067</v>
      </c>
      <c r="B21" t="s">
        <v>5084</v>
      </c>
      <c r="D21" t="b">
        <f>IFERROR(VLOOKUP(B21,PatData!$A$2:$A$2030,1,),"")&lt;&gt;""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5068</v>
      </c>
      <c r="B22" t="s">
        <v>5085</v>
      </c>
      <c r="D22" t="b">
        <f>IFERROR(VLOOKUP(B22,PatData!$A$2:$A$2030,1,),"")&lt;&gt;""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5069</v>
      </c>
      <c r="B23" t="s">
        <v>5086</v>
      </c>
      <c r="D23" t="b">
        <f>IFERROR(VLOOKUP(B23,PatData!$A$2:$A$2030,1,),"")&lt;&gt;""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3393</v>
      </c>
      <c r="B24" t="s">
        <v>1728</v>
      </c>
      <c r="D24" t="b">
        <f>IFERROR(VLOOKUP(B24,PatData!$A$2:$A$2030,1,),"")&lt;&gt;""</f>
        <v>1</v>
      </c>
      <c r="E24" t="s">
        <v>7662</v>
      </c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3394</v>
      </c>
      <c r="B25" t="s">
        <v>1729</v>
      </c>
      <c r="D25" t="b">
        <f>IFERROR(VLOOKUP(B25,PatData!$A$2:$A$2030,1,),"")&lt;&gt;""</f>
        <v>1</v>
      </c>
      <c r="E25" t="s">
        <v>7663</v>
      </c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3395</v>
      </c>
      <c r="B26" t="s">
        <v>1730</v>
      </c>
      <c r="D26" t="b">
        <f>IFERROR(VLOOKUP(B26,PatData!$A$2:$A$2030,1,),"")&lt;&gt;""</f>
        <v>1</v>
      </c>
      <c r="E26" t="s">
        <v>7664</v>
      </c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3396</v>
      </c>
      <c r="B27" t="s">
        <v>1731</v>
      </c>
      <c r="D27" t="b">
        <f>IFERROR(VLOOKUP(B27,PatData!$A$2:$A$2030,1,),"")&lt;&gt;""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3397</v>
      </c>
      <c r="B28" t="s">
        <v>1732</v>
      </c>
      <c r="D28" t="b">
        <f>IFERROR(VLOOKUP(B28,PatData!$A$2:$A$2030,1,),"")&lt;&gt;""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3398</v>
      </c>
      <c r="B29" t="s">
        <v>1733</v>
      </c>
      <c r="D29" t="b">
        <f>IFERROR(VLOOKUP(B29,PatData!$A$2:$A$2030,1,),"")&lt;&gt;""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3399</v>
      </c>
      <c r="B30" t="s">
        <v>1734</v>
      </c>
      <c r="D30" t="b">
        <f>IFERROR(VLOOKUP(B30,PatData!$A$2:$A$2030,1,),"")&lt;&gt;""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3400</v>
      </c>
      <c r="B31" t="s">
        <v>1735</v>
      </c>
      <c r="D31" t="b">
        <f>IFERROR(VLOOKUP(B31,PatData!$A$2:$A$2030,1,),"")&lt;&gt;""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3401</v>
      </c>
      <c r="B32" t="s">
        <v>1736</v>
      </c>
      <c r="D32" t="b">
        <f>IFERROR(VLOOKUP(B32,PatData!$A$2:$A$2030,1,),"")&lt;&gt;""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3402</v>
      </c>
      <c r="B33" t="s">
        <v>1737</v>
      </c>
      <c r="D33" t="b">
        <f>IFERROR(VLOOKUP(B33,PatData!$A$2:$A$2030,1,),"")&lt;&gt;""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3403</v>
      </c>
      <c r="B34" t="s">
        <v>1738</v>
      </c>
      <c r="D34" t="b">
        <f>IFERROR(VLOOKUP(B34,PatData!$A$2:$A$2030,1,),"")&lt;&gt;""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3404</v>
      </c>
      <c r="B35" t="s">
        <v>1739</v>
      </c>
      <c r="D35" t="b">
        <f>IFERROR(VLOOKUP(B35,PatData!$A$2:$A$2030,1,),"")&lt;&gt;""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3405</v>
      </c>
      <c r="B36" t="s">
        <v>1740</v>
      </c>
      <c r="D36" t="b">
        <f>IFERROR(VLOOKUP(B36,PatData!$A$2:$A$2030,1,),"")&lt;&gt;""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3406</v>
      </c>
      <c r="B37" t="s">
        <v>1741</v>
      </c>
      <c r="D37" t="b">
        <f>IFERROR(VLOOKUP(B37,PatData!$A$2:$A$2030,1,),"")&lt;&gt;""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3407</v>
      </c>
      <c r="B38" t="s">
        <v>1742</v>
      </c>
      <c r="D38" t="b">
        <f>IFERROR(VLOOKUP(B38,PatData!$A$2:$A$2030,1,),"")&lt;&gt;""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3408</v>
      </c>
      <c r="B39" t="s">
        <v>1743</v>
      </c>
      <c r="D39" t="b">
        <f>IFERROR(VLOOKUP(B39,PatData!$A$2:$A$2030,1,),"")&lt;&gt;""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3409</v>
      </c>
      <c r="B40" t="s">
        <v>1744</v>
      </c>
      <c r="D40" t="b">
        <f>IFERROR(VLOOKUP(B40,PatData!$A$2:$A$2030,1,),"")&lt;&gt;""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3410</v>
      </c>
      <c r="B41" t="s">
        <v>1745</v>
      </c>
      <c r="D41" t="b">
        <f>IFERROR(VLOOKUP(B41,PatData!$A$2:$A$2030,1,),"")&lt;&gt;""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3411</v>
      </c>
      <c r="B42" t="s">
        <v>1746</v>
      </c>
      <c r="D42" t="b">
        <f>IFERROR(VLOOKUP(B42,PatData!$A$2:$A$2030,1,),"")&lt;&gt;""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3412</v>
      </c>
      <c r="B43" t="s">
        <v>1747</v>
      </c>
      <c r="D43" t="b">
        <f>IFERROR(VLOOKUP(B43,PatData!$A$2:$A$2030,1,),"")&lt;&gt;""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3413</v>
      </c>
      <c r="B44" t="s">
        <v>1748</v>
      </c>
      <c r="D44" t="b">
        <f>IFERROR(VLOOKUP(B44,PatData!$A$2:$A$2030,1,),"")&lt;&gt;""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3414</v>
      </c>
      <c r="B45" t="s">
        <v>1749</v>
      </c>
      <c r="D45" t="b">
        <f>IFERROR(VLOOKUP(B45,PatData!$A$2:$A$2030,1,),"")&lt;&gt;""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3415</v>
      </c>
      <c r="B46" t="s">
        <v>1750</v>
      </c>
      <c r="D46" t="b">
        <f>IFERROR(VLOOKUP(B46,PatData!$A$2:$A$2030,1,),"")&lt;&gt;""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3416</v>
      </c>
      <c r="B47" t="s">
        <v>1751</v>
      </c>
      <c r="D47" t="b">
        <f>IFERROR(VLOOKUP(B47,PatData!$A$2:$A$2030,1,),"")&lt;&gt;""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3417</v>
      </c>
      <c r="B48" t="s">
        <v>1752</v>
      </c>
      <c r="D48" t="b">
        <f>IFERROR(VLOOKUP(B48,PatData!$A$2:$A$2030,1,),"")&lt;&gt;""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3418</v>
      </c>
      <c r="B49" t="s">
        <v>1753</v>
      </c>
      <c r="D49" t="b">
        <f>IFERROR(VLOOKUP(B49,PatData!$A$2:$A$2030,1,),"")&lt;&gt;""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3419</v>
      </c>
      <c r="B50" t="s">
        <v>1754</v>
      </c>
      <c r="D50" t="b">
        <f>IFERROR(VLOOKUP(B50,PatData!$A$2:$A$2030,1,),"")&lt;&gt;""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3420</v>
      </c>
      <c r="B51" t="s">
        <v>1755</v>
      </c>
      <c r="D51" t="b">
        <f>IFERROR(VLOOKUP(B51,PatData!$A$2:$A$2030,1,),"")&lt;&gt;""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3421</v>
      </c>
      <c r="B52" t="s">
        <v>1756</v>
      </c>
      <c r="D52" t="b">
        <f>IFERROR(VLOOKUP(B52,PatData!$A$2:$A$2030,1,),"")&lt;&gt;""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3422</v>
      </c>
      <c r="B53" t="s">
        <v>1757</v>
      </c>
      <c r="D53" t="b">
        <f>IFERROR(VLOOKUP(B53,PatData!$A$2:$A$2030,1,),"")&lt;&gt;""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5294</v>
      </c>
      <c r="B54" t="s">
        <v>5295</v>
      </c>
      <c r="D54" t="b">
        <f>IFERROR(VLOOKUP(B54,PatData!$A$2:$A$2030,1,),"")&lt;&gt;""</f>
        <v>1</v>
      </c>
      <c r="E54">
        <v>0</v>
      </c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5296</v>
      </c>
      <c r="B55" t="s">
        <v>5297</v>
      </c>
      <c r="D55" t="b">
        <f>IFERROR(VLOOKUP(B55,PatData!$A$2:$A$2030,1,),"")&lt;&gt;""</f>
        <v>1</v>
      </c>
      <c r="E55">
        <v>0</v>
      </c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5298</v>
      </c>
      <c r="B56" t="s">
        <v>5299</v>
      </c>
      <c r="D56" t="b">
        <f>IFERROR(VLOOKUP(B56,PatData!$A$2:$A$2030,1,),"")&lt;&gt;""</f>
        <v>1</v>
      </c>
      <c r="E56">
        <v>40</v>
      </c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5300</v>
      </c>
      <c r="B57" t="s">
        <v>5301</v>
      </c>
      <c r="D57" t="b">
        <f>IFERROR(VLOOKUP(B57,PatData!$A$2:$A$2030,1,),"")&lt;&gt;""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5302</v>
      </c>
      <c r="B58" t="s">
        <v>5303</v>
      </c>
      <c r="D58" t="b">
        <f>IFERROR(VLOOKUP(B58,PatData!$A$2:$A$2030,1,),"")&lt;&gt;""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5304</v>
      </c>
      <c r="B59" t="s">
        <v>5305</v>
      </c>
      <c r="D59" t="b">
        <f>IFERROR(VLOOKUP(B59,PatData!$A$2:$A$2030,1,),"")&lt;&gt;""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5306</v>
      </c>
      <c r="B60" t="s">
        <v>5307</v>
      </c>
      <c r="D60" t="b">
        <f>IFERROR(VLOOKUP(B60,PatData!$A$2:$A$2030,1,),"")&lt;&gt;""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5308</v>
      </c>
      <c r="B61" t="s">
        <v>5309</v>
      </c>
      <c r="D61" t="b">
        <f>IFERROR(VLOOKUP(B61,PatData!$A$2:$A$2030,1,),"")&lt;&gt;""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5310</v>
      </c>
      <c r="B62" t="s">
        <v>5311</v>
      </c>
      <c r="D62" t="b">
        <f>IFERROR(VLOOKUP(B62,PatData!$A$2:$A$2030,1,),"")&lt;&gt;""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5312</v>
      </c>
      <c r="B63" t="s">
        <v>5313</v>
      </c>
      <c r="D63" t="b">
        <f>IFERROR(VLOOKUP(B63,PatData!$A$2:$A$2030,1,),"")&lt;&gt;""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5314</v>
      </c>
      <c r="B64" t="s">
        <v>5315</v>
      </c>
      <c r="D64" t="b">
        <f>IFERROR(VLOOKUP(B64,PatData!$A$2:$A$2030,1,),"")&lt;&gt;""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5316</v>
      </c>
      <c r="B65" t="s">
        <v>5317</v>
      </c>
      <c r="D65" t="b">
        <f>IFERROR(VLOOKUP(B65,PatData!$A$2:$A$2030,1,),"")&lt;&gt;""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5318</v>
      </c>
      <c r="B66" t="s">
        <v>5319</v>
      </c>
      <c r="D66" t="b">
        <f>IFERROR(VLOOKUP(B66,PatData!$A$2:$A$2030,1,),"")&lt;&gt;""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5320</v>
      </c>
      <c r="B67" t="s">
        <v>5321</v>
      </c>
      <c r="D67" t="b">
        <f>IFERROR(VLOOKUP(B67,PatData!$A$2:$A$2030,1,),"")&lt;&gt;""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5322</v>
      </c>
      <c r="B68" t="s">
        <v>5323</v>
      </c>
      <c r="D68" t="b">
        <f>IFERROR(VLOOKUP(B68,PatData!$A$2:$A$2030,1,),"")&lt;&gt;""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5324</v>
      </c>
      <c r="B69" t="s">
        <v>5325</v>
      </c>
      <c r="D69" t="b">
        <f>IFERROR(VLOOKUP(B69,PatData!$A$2:$A$2030,1,),"")&lt;&gt;""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5326</v>
      </c>
      <c r="B70" t="s">
        <v>5327</v>
      </c>
      <c r="D70" t="b">
        <f>IFERROR(VLOOKUP(B70,PatData!$A$2:$A$2030,1,),"")&lt;&gt;""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5328</v>
      </c>
      <c r="B71" t="s">
        <v>5329</v>
      </c>
      <c r="D71" t="b">
        <f>IFERROR(VLOOKUP(B71,PatData!$A$2:$A$2030,1,),"")&lt;&gt;""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5330</v>
      </c>
      <c r="B72" t="s">
        <v>5331</v>
      </c>
      <c r="D72" t="b">
        <f>IFERROR(VLOOKUP(B72,PatData!$A$2:$A$2030,1,),"")&lt;&gt;""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5332</v>
      </c>
      <c r="B73" t="s">
        <v>5333</v>
      </c>
      <c r="D73" t="b">
        <f>IFERROR(VLOOKUP(B73,PatData!$A$2:$A$2030,1,),"")&lt;&gt;""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5334</v>
      </c>
      <c r="B74" t="s">
        <v>5335</v>
      </c>
      <c r="D74" t="b">
        <f>IFERROR(VLOOKUP(B74,PatData!$A$2:$A$2030,1,),"")&lt;&gt;""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5336</v>
      </c>
      <c r="B75" t="s">
        <v>5337</v>
      </c>
      <c r="D75" t="b">
        <f>IFERROR(VLOOKUP(B75,PatData!$A$2:$A$2030,1,),"")&lt;&gt;""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5338</v>
      </c>
      <c r="B76" t="s">
        <v>5339</v>
      </c>
      <c r="D76" t="b">
        <f>IFERROR(VLOOKUP(B76,PatData!$A$2:$A$2030,1,),"")&lt;&gt;""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5340</v>
      </c>
      <c r="B77" t="s">
        <v>5341</v>
      </c>
      <c r="D77" t="b">
        <f>IFERROR(VLOOKUP(B77,PatData!$A$2:$A$2030,1,),"")&lt;&gt;""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5342</v>
      </c>
      <c r="B78" t="s">
        <v>5343</v>
      </c>
      <c r="D78" t="b">
        <f>IFERROR(VLOOKUP(B78,PatData!$A$2:$A$2030,1,),"")&lt;&gt;""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5344</v>
      </c>
      <c r="B79" t="s">
        <v>5345</v>
      </c>
      <c r="D79" t="b">
        <f>IFERROR(VLOOKUP(B79,PatData!$A$2:$A$2030,1,),"")&lt;&gt;""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5346</v>
      </c>
      <c r="B80" t="s">
        <v>5347</v>
      </c>
      <c r="D80" t="b">
        <f>IFERROR(VLOOKUP(B80,PatData!$A$2:$A$2030,1,),"")&lt;&gt;""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5348</v>
      </c>
      <c r="B81" t="s">
        <v>5349</v>
      </c>
      <c r="D81" t="b">
        <f>IFERROR(VLOOKUP(B81,PatData!$A$2:$A$2030,1,),"")&lt;&gt;""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5350</v>
      </c>
      <c r="B82" t="s">
        <v>5351</v>
      </c>
      <c r="D82" t="b">
        <f>IFERROR(VLOOKUP(B82,PatData!$A$2:$A$2030,1,),"")&lt;&gt;""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5352</v>
      </c>
      <c r="B83" t="s">
        <v>5353</v>
      </c>
      <c r="D83" t="b">
        <f>IFERROR(VLOOKUP(B83,PatData!$A$2:$A$2030,1,),"")&lt;&gt;""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2813</v>
      </c>
      <c r="B84" t="s">
        <v>1758</v>
      </c>
      <c r="D84" t="b">
        <f>IFERROR(VLOOKUP(B84,PatData!$A$2:$A$2030,1,),"")&lt;&gt;""</f>
        <v>1</v>
      </c>
      <c r="E84" t="s">
        <v>118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2814</v>
      </c>
      <c r="B85" t="s">
        <v>1759</v>
      </c>
      <c r="D85" t="b">
        <f>IFERROR(VLOOKUP(B85,PatData!$A$2:$A$2030,1,),"")&lt;&gt;""</f>
        <v>1</v>
      </c>
      <c r="E85" t="s">
        <v>118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2815</v>
      </c>
      <c r="B86" t="s">
        <v>1760</v>
      </c>
      <c r="D86" t="b">
        <f>IFERROR(VLOOKUP(B86,PatData!$A$2:$A$2030,1,),"")&lt;&gt;""</f>
        <v>1</v>
      </c>
      <c r="E86" t="s">
        <v>118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2816</v>
      </c>
      <c r="B87" t="s">
        <v>1761</v>
      </c>
      <c r="D87" t="b">
        <f>IFERROR(VLOOKUP(B87,PatData!$A$2:$A$2030,1,),"")&lt;&gt;""</f>
        <v>1</v>
      </c>
      <c r="E87"/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2817</v>
      </c>
      <c r="B88" t="s">
        <v>1762</v>
      </c>
      <c r="D88" t="b">
        <f>IFERROR(VLOOKUP(B88,PatData!$A$2:$A$2030,1,),"")&lt;&gt;""</f>
        <v>1</v>
      </c>
      <c r="E88"/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2818</v>
      </c>
      <c r="B89" t="s">
        <v>1763</v>
      </c>
      <c r="D89" t="b">
        <f>IFERROR(VLOOKUP(B89,PatData!$A$2:$A$2030,1,),"")&lt;&gt;""</f>
        <v>1</v>
      </c>
      <c r="E89"/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2819</v>
      </c>
      <c r="B90" t="s">
        <v>1764</v>
      </c>
      <c r="D90" t="b">
        <f>IFERROR(VLOOKUP(B90,PatData!$A$2:$A$2030,1,),"")&lt;&gt;""</f>
        <v>1</v>
      </c>
      <c r="E90"/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2820</v>
      </c>
      <c r="B91" t="s">
        <v>1765</v>
      </c>
      <c r="D91" t="b">
        <f>IFERROR(VLOOKUP(B91,PatData!$A$2:$A$2030,1,),"")&lt;&gt;""</f>
        <v>1</v>
      </c>
      <c r="E91"/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2821</v>
      </c>
      <c r="B92" t="s">
        <v>1766</v>
      </c>
      <c r="D92" t="b">
        <f>IFERROR(VLOOKUP(B92,PatData!$A$2:$A$2030,1,),"")&lt;&gt;""</f>
        <v>1</v>
      </c>
      <c r="E92"/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2822</v>
      </c>
      <c r="B93" t="s">
        <v>1767</v>
      </c>
      <c r="D93" t="b">
        <f>IFERROR(VLOOKUP(B93,PatData!$A$2:$A$2030,1,),"")&lt;&gt;""</f>
        <v>1</v>
      </c>
      <c r="E93"/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2823</v>
      </c>
      <c r="B94" t="s">
        <v>1768</v>
      </c>
      <c r="D94" t="b">
        <f>IFERROR(VLOOKUP(B94,PatData!$A$2:$A$2030,1,),"")&lt;&gt;""</f>
        <v>1</v>
      </c>
      <c r="E94"/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2824</v>
      </c>
      <c r="B95" t="s">
        <v>1769</v>
      </c>
      <c r="D95" t="b">
        <f>IFERROR(VLOOKUP(B95,PatData!$A$2:$A$2030,1,),"")&lt;&gt;""</f>
        <v>1</v>
      </c>
      <c r="E95"/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2825</v>
      </c>
      <c r="B96" t="s">
        <v>1770</v>
      </c>
      <c r="D96" t="b">
        <f>IFERROR(VLOOKUP(B96,PatData!$A$2:$A$2030,1,),"")&lt;&gt;""</f>
        <v>1</v>
      </c>
      <c r="E96"/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2826</v>
      </c>
      <c r="B97" t="s">
        <v>1771</v>
      </c>
      <c r="D97" t="b">
        <f>IFERROR(VLOOKUP(B97,PatData!$A$2:$A$2030,1,),"")&lt;&gt;""</f>
        <v>1</v>
      </c>
      <c r="E97"/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2827</v>
      </c>
      <c r="B98" t="s">
        <v>1772</v>
      </c>
      <c r="D98" t="b">
        <f>IFERROR(VLOOKUP(B98,PatData!$A$2:$A$2030,1,),"")&lt;&gt;""</f>
        <v>1</v>
      </c>
      <c r="E98"/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2828</v>
      </c>
      <c r="B99" t="s">
        <v>1773</v>
      </c>
      <c r="D99" t="b">
        <f>IFERROR(VLOOKUP(B99,PatData!$A$2:$A$2030,1,),"")&lt;&gt;""</f>
        <v>1</v>
      </c>
      <c r="E99"/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2829</v>
      </c>
      <c r="B100" t="s">
        <v>1774</v>
      </c>
      <c r="D100" t="b">
        <f>IFERROR(VLOOKUP(B100,PatData!$A$2:$A$2030,1,),"")&lt;&gt;""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2830</v>
      </c>
      <c r="B101" t="s">
        <v>1775</v>
      </c>
      <c r="D101" t="b">
        <f>IFERROR(VLOOKUP(B101,PatData!$A$2:$A$2030,1,),"")&lt;&gt;""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2831</v>
      </c>
      <c r="B102" t="s">
        <v>1776</v>
      </c>
      <c r="D102" t="b">
        <f>IFERROR(VLOOKUP(B102,PatData!$A$2:$A$2030,1,),"")&lt;&gt;""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2832</v>
      </c>
      <c r="B103" t="s">
        <v>1777</v>
      </c>
      <c r="D103" t="b">
        <f>IFERROR(VLOOKUP(B103,PatData!$A$2:$A$2030,1,),"")&lt;&gt;""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2833</v>
      </c>
      <c r="B104" t="s">
        <v>1778</v>
      </c>
      <c r="D104" t="b">
        <f>IFERROR(VLOOKUP(B104,PatData!$A$2:$A$2030,1,),"")&lt;&gt;""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2834</v>
      </c>
      <c r="B105" t="s">
        <v>1779</v>
      </c>
      <c r="D105" t="b">
        <f>IFERROR(VLOOKUP(B105,PatData!$A$2:$A$2030,1,),"")&lt;&gt;""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2835</v>
      </c>
      <c r="B106" t="s">
        <v>1780</v>
      </c>
      <c r="D106" t="b">
        <f>IFERROR(VLOOKUP(B106,PatData!$A$2:$A$2030,1,),"")&lt;&gt;""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2836</v>
      </c>
      <c r="B107" t="s">
        <v>1781</v>
      </c>
      <c r="D107" t="b">
        <f>IFERROR(VLOOKUP(B107,PatData!$A$2:$A$2030,1,),"")&lt;&gt;""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2837</v>
      </c>
      <c r="B108" t="s">
        <v>1782</v>
      </c>
      <c r="D108" t="b">
        <f>IFERROR(VLOOKUP(B108,PatData!$A$2:$A$2030,1,),"")&lt;&gt;""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2838</v>
      </c>
      <c r="B109" t="s">
        <v>1783</v>
      </c>
      <c r="D109" t="b">
        <f>IFERROR(VLOOKUP(B109,PatData!$A$2:$A$2030,1,),"")&lt;&gt;""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2839</v>
      </c>
      <c r="B110" t="s">
        <v>1784</v>
      </c>
      <c r="D110" t="b">
        <f>IFERROR(VLOOKUP(B110,PatData!$A$2:$A$2030,1,),"")&lt;&gt;""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2840</v>
      </c>
      <c r="B111" t="s">
        <v>1785</v>
      </c>
      <c r="D111" t="b">
        <f>IFERROR(VLOOKUP(B111,PatData!$A$2:$A$2030,1,),"")&lt;&gt;""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2841</v>
      </c>
      <c r="B112" t="s">
        <v>1786</v>
      </c>
      <c r="D112" t="b">
        <f>IFERROR(VLOOKUP(B112,PatData!$A$2:$A$2030,1,),"")&lt;&gt;""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2842</v>
      </c>
      <c r="B113" t="s">
        <v>1787</v>
      </c>
      <c r="D113" t="b">
        <f>IFERROR(VLOOKUP(B113,PatData!$A$2:$A$2030,1,),"")&lt;&gt;""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2843</v>
      </c>
      <c r="B114" t="s">
        <v>1788</v>
      </c>
      <c r="D114" t="b">
        <f>IFERROR(VLOOKUP(B114,PatData!$A$2:$A$2030,1,),"")&lt;&gt;""</f>
        <v>1</v>
      </c>
      <c r="E114">
        <v>2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2844</v>
      </c>
      <c r="B115" t="s">
        <v>1789</v>
      </c>
      <c r="D115" t="b">
        <f>IFERROR(VLOOKUP(B115,PatData!$A$2:$A$2030,1,),"")&lt;&gt;""</f>
        <v>1</v>
      </c>
      <c r="E115">
        <v>40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2845</v>
      </c>
      <c r="B116" t="s">
        <v>1790</v>
      </c>
      <c r="D116" t="b">
        <f>IFERROR(VLOOKUP(B116,PatData!$A$2:$A$2030,1,),"")&lt;&gt;""</f>
        <v>1</v>
      </c>
      <c r="E116">
        <v>1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2846</v>
      </c>
      <c r="B117" t="s">
        <v>1791</v>
      </c>
      <c r="D117" t="b">
        <f>IFERROR(VLOOKUP(B117,PatData!$A$2:$A$2030,1,),"")&lt;&gt;""</f>
        <v>1</v>
      </c>
      <c r="E117">
        <v>0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2847</v>
      </c>
      <c r="B118" t="s">
        <v>1792</v>
      </c>
      <c r="D118" t="b">
        <f>IFERROR(VLOOKUP(B118,PatData!$A$2:$A$2030,1,),"")&lt;&gt;""</f>
        <v>1</v>
      </c>
      <c r="E118">
        <v>0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2848</v>
      </c>
      <c r="B119" t="s">
        <v>1793</v>
      </c>
      <c r="D119" t="b">
        <f>IFERROR(VLOOKUP(B119,PatData!$A$2:$A$2030,1,),"")&lt;&gt;""</f>
        <v>1</v>
      </c>
      <c r="E119">
        <v>0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2849</v>
      </c>
      <c r="B120" t="s">
        <v>1794</v>
      </c>
      <c r="D120" t="b">
        <f>IFERROR(VLOOKUP(B120,PatData!$A$2:$A$2030,1,),"")&lt;&gt;""</f>
        <v>1</v>
      </c>
      <c r="E120">
        <v>0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2850</v>
      </c>
      <c r="B121" t="s">
        <v>1795</v>
      </c>
      <c r="D121" t="b">
        <f>IFERROR(VLOOKUP(B121,PatData!$A$2:$A$2030,1,),"")&lt;&gt;""</f>
        <v>1</v>
      </c>
      <c r="E121">
        <v>0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2851</v>
      </c>
      <c r="B122" t="s">
        <v>1796</v>
      </c>
      <c r="D122" t="b">
        <f>IFERROR(VLOOKUP(B122,PatData!$A$2:$A$2030,1,),"")&lt;&gt;""</f>
        <v>1</v>
      </c>
      <c r="E122">
        <v>0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2852</v>
      </c>
      <c r="B123" t="s">
        <v>1797</v>
      </c>
      <c r="D123" t="b">
        <f>IFERROR(VLOOKUP(B123,PatData!$A$2:$A$2030,1,),"")&lt;&gt;""</f>
        <v>1</v>
      </c>
      <c r="E123">
        <v>0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2853</v>
      </c>
      <c r="B124" t="s">
        <v>1798</v>
      </c>
      <c r="D124" t="b">
        <f>IFERROR(VLOOKUP(B124,PatData!$A$2:$A$2030,1,),"")&lt;&gt;""</f>
        <v>1</v>
      </c>
      <c r="E124">
        <v>0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2854</v>
      </c>
      <c r="B125" t="s">
        <v>1799</v>
      </c>
      <c r="D125" t="b">
        <f>IFERROR(VLOOKUP(B125,PatData!$A$2:$A$2030,1,),"")&lt;&gt;""</f>
        <v>1</v>
      </c>
      <c r="E125">
        <v>0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2855</v>
      </c>
      <c r="B126" t="s">
        <v>1800</v>
      </c>
      <c r="D126" t="b">
        <f>IFERROR(VLOOKUP(B126,PatData!$A$2:$A$2030,1,),"")&lt;&gt;""</f>
        <v>1</v>
      </c>
      <c r="E126">
        <v>0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2856</v>
      </c>
      <c r="B127" t="s">
        <v>1801</v>
      </c>
      <c r="D127" t="b">
        <f>IFERROR(VLOOKUP(B127,PatData!$A$2:$A$2030,1,),"")&lt;&gt;""</f>
        <v>1</v>
      </c>
      <c r="E127">
        <v>0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2857</v>
      </c>
      <c r="B128" t="s">
        <v>1802</v>
      </c>
      <c r="D128" t="b">
        <f>IFERROR(VLOOKUP(B128,PatData!$A$2:$A$2030,1,),"")&lt;&gt;""</f>
        <v>1</v>
      </c>
      <c r="E128">
        <v>0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2858</v>
      </c>
      <c r="B129" t="s">
        <v>1803</v>
      </c>
      <c r="D129" t="b">
        <f>IFERROR(VLOOKUP(B129,PatData!$A$2:$A$2030,1,),"")&lt;&gt;""</f>
        <v>1</v>
      </c>
      <c r="E129">
        <v>0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2859</v>
      </c>
      <c r="B130" t="s">
        <v>1804</v>
      </c>
      <c r="D130" t="b">
        <f>IFERROR(VLOOKUP(B130,PatData!$A$2:$A$2030,1,),"")&lt;&gt;""</f>
        <v>1</v>
      </c>
      <c r="E130">
        <v>0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2860</v>
      </c>
      <c r="B131" t="s">
        <v>1805</v>
      </c>
      <c r="D131" t="b">
        <f>IFERROR(VLOOKUP(B131,PatData!$A$2:$A$2030,1,),"")&lt;&gt;""</f>
        <v>1</v>
      </c>
      <c r="E131">
        <v>0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2861</v>
      </c>
      <c r="B132" t="s">
        <v>1806</v>
      </c>
      <c r="D132" t="b">
        <f>IFERROR(VLOOKUP(B132,PatData!$A$2:$A$2030,1,),"")&lt;&gt;""</f>
        <v>1</v>
      </c>
      <c r="E132">
        <v>0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2862</v>
      </c>
      <c r="B133" t="s">
        <v>1807</v>
      </c>
      <c r="D133" t="b">
        <f>IFERROR(VLOOKUP(B133,PatData!$A$2:$A$2030,1,),"")&lt;&gt;""</f>
        <v>1</v>
      </c>
      <c r="E133">
        <v>0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2863</v>
      </c>
      <c r="B134" t="s">
        <v>1808</v>
      </c>
      <c r="D134" t="b">
        <f>IFERROR(VLOOKUP(B134,PatData!$A$2:$A$2030,1,),"")&lt;&gt;""</f>
        <v>1</v>
      </c>
      <c r="E134">
        <v>0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2864</v>
      </c>
      <c r="B135" t="s">
        <v>1809</v>
      </c>
      <c r="D135" t="b">
        <f>IFERROR(VLOOKUP(B135,PatData!$A$2:$A$2030,1,),"")&lt;&gt;""</f>
        <v>1</v>
      </c>
      <c r="E135">
        <v>0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2865</v>
      </c>
      <c r="B136" t="s">
        <v>1810</v>
      </c>
      <c r="D136" t="b">
        <f>IFERROR(VLOOKUP(B136,PatData!$A$2:$A$2030,1,),"")&lt;&gt;""</f>
        <v>1</v>
      </c>
      <c r="E136">
        <v>0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2866</v>
      </c>
      <c r="B137" t="s">
        <v>1811</v>
      </c>
      <c r="D137" t="b">
        <f>IFERROR(VLOOKUP(B137,PatData!$A$2:$A$2030,1,),"")&lt;&gt;""</f>
        <v>1</v>
      </c>
      <c r="E137">
        <v>0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2867</v>
      </c>
      <c r="B138" t="s">
        <v>1812</v>
      </c>
      <c r="D138" t="b">
        <f>IFERROR(VLOOKUP(B138,PatData!$A$2:$A$2030,1,),"")&lt;&gt;""</f>
        <v>1</v>
      </c>
      <c r="E138">
        <v>0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2868</v>
      </c>
      <c r="B139" t="s">
        <v>1813</v>
      </c>
      <c r="D139" t="b">
        <f>IFERROR(VLOOKUP(B139,PatData!$A$2:$A$2030,1,),"")&lt;&gt;""</f>
        <v>1</v>
      </c>
      <c r="E139">
        <v>0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2869</v>
      </c>
      <c r="B140" t="s">
        <v>1814</v>
      </c>
      <c r="D140" t="b">
        <f>IFERROR(VLOOKUP(B140,PatData!$A$2:$A$2030,1,),"")&lt;&gt;""</f>
        <v>1</v>
      </c>
      <c r="E140">
        <v>0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2870</v>
      </c>
      <c r="B141" t="s">
        <v>1815</v>
      </c>
      <c r="D141" t="b">
        <f>IFERROR(VLOOKUP(B141,PatData!$A$2:$A$2030,1,),"")&lt;&gt;""</f>
        <v>1</v>
      </c>
      <c r="E141">
        <v>0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2871</v>
      </c>
      <c r="B142" t="s">
        <v>1816</v>
      </c>
      <c r="D142" t="b">
        <f>IFERROR(VLOOKUP(B142,PatData!$A$2:$A$2030,1,),"")&lt;&gt;""</f>
        <v>1</v>
      </c>
      <c r="E142">
        <v>0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2872</v>
      </c>
      <c r="B143" t="s">
        <v>1817</v>
      </c>
      <c r="D143" t="b">
        <f>IFERROR(VLOOKUP(B143,PatData!$A$2:$A$2030,1,),"")&lt;&gt;""</f>
        <v>1</v>
      </c>
      <c r="E143">
        <v>0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5354</v>
      </c>
      <c r="B144" t="s">
        <v>1818</v>
      </c>
      <c r="D144" t="b">
        <f>IFERROR(VLOOKUP(B144,PatData!$A$2:$A$2030,1,),"")&lt;&gt;""</f>
        <v>1</v>
      </c>
      <c r="E144" t="s">
        <v>7665</v>
      </c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5355</v>
      </c>
      <c r="B145" t="s">
        <v>1819</v>
      </c>
      <c r="D145" t="b">
        <f>IFERROR(VLOOKUP(B145,PatData!$A$2:$A$2030,1,),"")&lt;&gt;""</f>
        <v>1</v>
      </c>
      <c r="E145" t="s">
        <v>7666</v>
      </c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5356</v>
      </c>
      <c r="B146" t="s">
        <v>1820</v>
      </c>
      <c r="D146" t="b">
        <f>IFERROR(VLOOKUP(B146,PatData!$A$2:$A$2030,1,),"")&lt;&gt;""</f>
        <v>1</v>
      </c>
      <c r="E146" t="s">
        <v>7667</v>
      </c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5357</v>
      </c>
      <c r="B147" t="s">
        <v>1821</v>
      </c>
      <c r="D147" t="b">
        <f>IFERROR(VLOOKUP(B147,PatData!$A$2:$A$2030,1,),"")&lt;&gt;""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5358</v>
      </c>
      <c r="B148" t="s">
        <v>1822</v>
      </c>
      <c r="D148" t="b">
        <f>IFERROR(VLOOKUP(B148,PatData!$A$2:$A$2030,1,),"")&lt;&gt;""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5359</v>
      </c>
      <c r="B149" t="s">
        <v>1823</v>
      </c>
      <c r="D149" t="b">
        <f>IFERROR(VLOOKUP(B149,PatData!$A$2:$A$2030,1,),"")&lt;&gt;""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5360</v>
      </c>
      <c r="B150" t="s">
        <v>1824</v>
      </c>
      <c r="D150" t="b">
        <f>IFERROR(VLOOKUP(B150,PatData!$A$2:$A$2030,1,),"")&lt;&gt;""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5361</v>
      </c>
      <c r="B151" t="s">
        <v>1825</v>
      </c>
      <c r="D151" t="b">
        <f>IFERROR(VLOOKUP(B151,PatData!$A$2:$A$2030,1,),"")&lt;&gt;""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5362</v>
      </c>
      <c r="B152" t="s">
        <v>1826</v>
      </c>
      <c r="D152" t="b">
        <f>IFERROR(VLOOKUP(B152,PatData!$A$2:$A$2030,1,),"")&lt;&gt;""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5363</v>
      </c>
      <c r="B153" t="s">
        <v>1827</v>
      </c>
      <c r="D153" t="b">
        <f>IFERROR(VLOOKUP(B153,PatData!$A$2:$A$2030,1,),"")&lt;&gt;""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5364</v>
      </c>
      <c r="B154" t="s">
        <v>1828</v>
      </c>
      <c r="D154" t="b">
        <f>IFERROR(VLOOKUP(B154,PatData!$A$2:$A$2030,1,),"")&lt;&gt;""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5365</v>
      </c>
      <c r="B155" t="s">
        <v>1829</v>
      </c>
      <c r="D155" t="b">
        <f>IFERROR(VLOOKUP(B155,PatData!$A$2:$A$2030,1,),"")&lt;&gt;""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5366</v>
      </c>
      <c r="B156" t="s">
        <v>1830</v>
      </c>
      <c r="D156" t="b">
        <f>IFERROR(VLOOKUP(B156,PatData!$A$2:$A$2030,1,),"")&lt;&gt;""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5367</v>
      </c>
      <c r="B157" t="s">
        <v>1831</v>
      </c>
      <c r="D157" t="b">
        <f>IFERROR(VLOOKUP(B157,PatData!$A$2:$A$2030,1,),"")&lt;&gt;""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5368</v>
      </c>
      <c r="B158" t="s">
        <v>1832</v>
      </c>
      <c r="D158" t="b">
        <f>IFERROR(VLOOKUP(B158,PatData!$A$2:$A$2030,1,),"")&lt;&gt;""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5369</v>
      </c>
      <c r="B159" t="s">
        <v>1833</v>
      </c>
      <c r="D159" t="b">
        <f>IFERROR(VLOOKUP(B159,PatData!$A$2:$A$2030,1,),"")&lt;&gt;""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5370</v>
      </c>
      <c r="B160" t="s">
        <v>1834</v>
      </c>
      <c r="D160" t="b">
        <f>IFERROR(VLOOKUP(B160,PatData!$A$2:$A$2030,1,),"")&lt;&gt;""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5371</v>
      </c>
      <c r="B161" t="s">
        <v>1835</v>
      </c>
      <c r="D161" t="b">
        <f>IFERROR(VLOOKUP(B161,PatData!$A$2:$A$2030,1,),"")&lt;&gt;""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5372</v>
      </c>
      <c r="B162" t="s">
        <v>1836</v>
      </c>
      <c r="D162" t="b">
        <f>IFERROR(VLOOKUP(B162,PatData!$A$2:$A$2030,1,),"")&lt;&gt;""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5373</v>
      </c>
      <c r="B163" t="s">
        <v>1837</v>
      </c>
      <c r="D163" t="b">
        <f>IFERROR(VLOOKUP(B163,PatData!$A$2:$A$2030,1,),"")&lt;&gt;""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5374</v>
      </c>
      <c r="B164" t="s">
        <v>1838</v>
      </c>
      <c r="D164" t="b">
        <f>IFERROR(VLOOKUP(B164,PatData!$A$2:$A$2030,1,),"")&lt;&gt;""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5375</v>
      </c>
      <c r="B165" t="s">
        <v>1839</v>
      </c>
      <c r="D165" t="b">
        <f>IFERROR(VLOOKUP(B165,PatData!$A$2:$A$2030,1,),"")&lt;&gt;""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5376</v>
      </c>
      <c r="B166" t="s">
        <v>1840</v>
      </c>
      <c r="D166" t="b">
        <f>IFERROR(VLOOKUP(B166,PatData!$A$2:$A$2030,1,),"")&lt;&gt;""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5377</v>
      </c>
      <c r="B167" t="s">
        <v>1841</v>
      </c>
      <c r="D167" t="b">
        <f>IFERROR(VLOOKUP(B167,PatData!$A$2:$A$2030,1,),"")&lt;&gt;""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5378</v>
      </c>
      <c r="B168" t="s">
        <v>1842</v>
      </c>
      <c r="D168" t="b">
        <f>IFERROR(VLOOKUP(B168,PatData!$A$2:$A$2030,1,),"")&lt;&gt;""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5379</v>
      </c>
      <c r="B169" t="s">
        <v>1843</v>
      </c>
      <c r="D169" t="b">
        <f>IFERROR(VLOOKUP(B169,PatData!$A$2:$A$2030,1,),"")&lt;&gt;""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5380</v>
      </c>
      <c r="B170" t="s">
        <v>1844</v>
      </c>
      <c r="D170" t="b">
        <f>IFERROR(VLOOKUP(B170,PatData!$A$2:$A$2030,1,),"")&lt;&gt;""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5381</v>
      </c>
      <c r="B171" t="s">
        <v>1845</v>
      </c>
      <c r="D171" t="b">
        <f>IFERROR(VLOOKUP(B171,PatData!$A$2:$A$2030,1,),"")&lt;&gt;""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5382</v>
      </c>
      <c r="B172" t="s">
        <v>1846</v>
      </c>
      <c r="D172" t="b">
        <f>IFERROR(VLOOKUP(B172,PatData!$A$2:$A$2030,1,),"")&lt;&gt;""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5383</v>
      </c>
      <c r="B173" t="s">
        <v>1847</v>
      </c>
      <c r="D173" t="b">
        <f>IFERROR(VLOOKUP(B173,PatData!$A$2:$A$2030,1,),"")&lt;&gt;""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3083</v>
      </c>
      <c r="B174" t="s">
        <v>5671</v>
      </c>
      <c r="D174" t="b">
        <f>IFERROR(VLOOKUP(B174,PatData!$A$2:$A$2030,1,),"")&lt;&gt;""</f>
        <v>1</v>
      </c>
      <c r="E174">
        <v>6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3084</v>
      </c>
      <c r="B175" t="s">
        <v>5673</v>
      </c>
      <c r="D175" t="b">
        <f>IFERROR(VLOOKUP(B175,PatData!$A$2:$A$2030,1,),"")&lt;&gt;""</f>
        <v>1</v>
      </c>
      <c r="E175">
        <v>4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3085</v>
      </c>
      <c r="B176" t="s">
        <v>5675</v>
      </c>
      <c r="D176" t="b">
        <f>IFERROR(VLOOKUP(B176,PatData!$A$2:$A$2030,1,),"")&lt;&gt;""</f>
        <v>1</v>
      </c>
      <c r="E176">
        <v>6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3086</v>
      </c>
      <c r="B177" t="s">
        <v>5677</v>
      </c>
      <c r="D177" t="b">
        <f>IFERROR(VLOOKUP(B177,PatData!$A$2:$A$2030,1,),"")&lt;&gt;""</f>
        <v>1</v>
      </c>
      <c r="E177"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3087</v>
      </c>
      <c r="B178" t="s">
        <v>5679</v>
      </c>
      <c r="D178" t="b">
        <f>IFERROR(VLOOKUP(B178,PatData!$A$2:$A$2030,1,),"")&lt;&gt;""</f>
        <v>1</v>
      </c>
      <c r="E178"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3088</v>
      </c>
      <c r="B179" t="s">
        <v>5681</v>
      </c>
      <c r="D179" t="b">
        <f>IFERROR(VLOOKUP(B179,PatData!$A$2:$A$2030,1,),"")&lt;&gt;""</f>
        <v>1</v>
      </c>
      <c r="E179"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3089</v>
      </c>
      <c r="B180" t="s">
        <v>5683</v>
      </c>
      <c r="D180" t="b">
        <f>IFERROR(VLOOKUP(B180,PatData!$A$2:$A$2030,1,),"")&lt;&gt;""</f>
        <v>1</v>
      </c>
      <c r="E180"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3090</v>
      </c>
      <c r="B181" t="s">
        <v>5685</v>
      </c>
      <c r="D181" t="b">
        <f>IFERROR(VLOOKUP(B181,PatData!$A$2:$A$2030,1,),"")&lt;&gt;""</f>
        <v>1</v>
      </c>
      <c r="E181"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3091</v>
      </c>
      <c r="B182" t="s">
        <v>5687</v>
      </c>
      <c r="D182" t="b">
        <f>IFERROR(VLOOKUP(B182,PatData!$A$2:$A$2030,1,),"")&lt;&gt;""</f>
        <v>1</v>
      </c>
      <c r="E182"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3092</v>
      </c>
      <c r="B183" t="s">
        <v>5689</v>
      </c>
      <c r="D183" t="b">
        <f>IFERROR(VLOOKUP(B183,PatData!$A$2:$A$2030,1,),"")&lt;&gt;""</f>
        <v>1</v>
      </c>
      <c r="E183"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3093</v>
      </c>
      <c r="B184" t="s">
        <v>5691</v>
      </c>
      <c r="D184" t="b">
        <f>IFERROR(VLOOKUP(B184,PatData!$A$2:$A$2030,1,),"")&lt;&gt;""</f>
        <v>1</v>
      </c>
      <c r="E184"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3094</v>
      </c>
      <c r="B185" t="s">
        <v>5693</v>
      </c>
      <c r="D185" t="b">
        <f>IFERROR(VLOOKUP(B185,PatData!$A$2:$A$2030,1,),"")&lt;&gt;""</f>
        <v>1</v>
      </c>
      <c r="E185"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3095</v>
      </c>
      <c r="B186" t="s">
        <v>5695</v>
      </c>
      <c r="D186" t="b">
        <f>IFERROR(VLOOKUP(B186,PatData!$A$2:$A$2030,1,),"")&lt;&gt;""</f>
        <v>1</v>
      </c>
      <c r="E186"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3096</v>
      </c>
      <c r="B187" t="s">
        <v>5697</v>
      </c>
      <c r="D187" t="b">
        <f>IFERROR(VLOOKUP(B187,PatData!$A$2:$A$2030,1,),"")&lt;&gt;""</f>
        <v>1</v>
      </c>
      <c r="E187"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3097</v>
      </c>
      <c r="B188" t="s">
        <v>5699</v>
      </c>
      <c r="D188" t="b">
        <f>IFERROR(VLOOKUP(B188,PatData!$A$2:$A$2030,1,),"")&lt;&gt;""</f>
        <v>1</v>
      </c>
      <c r="E188"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3098</v>
      </c>
      <c r="B189" t="s">
        <v>5701</v>
      </c>
      <c r="D189" t="b">
        <f>IFERROR(VLOOKUP(B189,PatData!$A$2:$A$2030,1,),"")&lt;&gt;""</f>
        <v>1</v>
      </c>
      <c r="E189"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3099</v>
      </c>
      <c r="B190" t="s">
        <v>5703</v>
      </c>
      <c r="D190" t="b">
        <f>IFERROR(VLOOKUP(B190,PatData!$A$2:$A$2030,1,),"")&lt;&gt;""</f>
        <v>1</v>
      </c>
      <c r="E190"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3100</v>
      </c>
      <c r="B191" t="s">
        <v>5705</v>
      </c>
      <c r="D191" t="b">
        <f>IFERROR(VLOOKUP(B191,PatData!$A$2:$A$2030,1,),"")&lt;&gt;""</f>
        <v>1</v>
      </c>
      <c r="E191"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3101</v>
      </c>
      <c r="B192" t="s">
        <v>5707</v>
      </c>
      <c r="D192" t="b">
        <f>IFERROR(VLOOKUP(B192,PatData!$A$2:$A$2030,1,),"")&lt;&gt;""</f>
        <v>1</v>
      </c>
      <c r="E192"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3102</v>
      </c>
      <c r="B193" t="s">
        <v>5709</v>
      </c>
      <c r="D193" t="b">
        <f>IFERROR(VLOOKUP(B193,PatData!$A$2:$A$2030,1,),"")&lt;&gt;""</f>
        <v>1</v>
      </c>
      <c r="E193"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3103</v>
      </c>
      <c r="B194" t="s">
        <v>5711</v>
      </c>
      <c r="D194" t="b">
        <f>IFERROR(VLOOKUP(B194,PatData!$A$2:$A$2030,1,),"")&lt;&gt;""</f>
        <v>1</v>
      </c>
      <c r="E194"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3104</v>
      </c>
      <c r="B195" t="s">
        <v>5713</v>
      </c>
      <c r="D195" t="b">
        <f>IFERROR(VLOOKUP(B195,PatData!$A$2:$A$2030,1,),"")&lt;&gt;""</f>
        <v>1</v>
      </c>
      <c r="E195"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3105</v>
      </c>
      <c r="B196" t="s">
        <v>5715</v>
      </c>
      <c r="D196" t="b">
        <f>IFERROR(VLOOKUP(B196,PatData!$A$2:$A$2030,1,),"")&lt;&gt;""</f>
        <v>1</v>
      </c>
      <c r="E196"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3106</v>
      </c>
      <c r="B197" t="s">
        <v>5717</v>
      </c>
      <c r="D197" t="b">
        <f>IFERROR(VLOOKUP(B197,PatData!$A$2:$A$2030,1,),"")&lt;&gt;""</f>
        <v>1</v>
      </c>
      <c r="E197"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3107</v>
      </c>
      <c r="B198" t="s">
        <v>5719</v>
      </c>
      <c r="D198" t="b">
        <f>IFERROR(VLOOKUP(B198,PatData!$A$2:$A$2030,1,),"")&lt;&gt;""</f>
        <v>1</v>
      </c>
      <c r="E198"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3108</v>
      </c>
      <c r="B199" t="s">
        <v>5721</v>
      </c>
      <c r="D199" t="b">
        <f>IFERROR(VLOOKUP(B199,PatData!$A$2:$A$2030,1,),"")&lt;&gt;""</f>
        <v>1</v>
      </c>
      <c r="E199"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3109</v>
      </c>
      <c r="B200" t="s">
        <v>5723</v>
      </c>
      <c r="D200" t="b">
        <f>IFERROR(VLOOKUP(B200,PatData!$A$2:$A$2030,1,),"")&lt;&gt;""</f>
        <v>1</v>
      </c>
      <c r="E200"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3110</v>
      </c>
      <c r="B201" t="s">
        <v>5725</v>
      </c>
      <c r="D201" t="b">
        <f>IFERROR(VLOOKUP(B201,PatData!$A$2:$A$2030,1,),"")&lt;&gt;""</f>
        <v>1</v>
      </c>
      <c r="E201"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3111</v>
      </c>
      <c r="B202" t="s">
        <v>5727</v>
      </c>
      <c r="D202" t="b">
        <f>IFERROR(VLOOKUP(B202,PatData!$A$2:$A$2030,1,),"")&lt;&gt;""</f>
        <v>1</v>
      </c>
      <c r="E202"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3112</v>
      </c>
      <c r="B203" t="s">
        <v>5729</v>
      </c>
      <c r="D203" t="b">
        <f>IFERROR(VLOOKUP(B203,PatData!$A$2:$A$2030,1,),"")&lt;&gt;""</f>
        <v>1</v>
      </c>
      <c r="E203"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5670</v>
      </c>
      <c r="B204" t="s">
        <v>5940</v>
      </c>
      <c r="D204" t="b">
        <f>IFERROR(VLOOKUP(B204,PatData!$A$2:$A$2030,1,),"")&lt;&gt;""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5672</v>
      </c>
      <c r="B205" t="s">
        <v>5941</v>
      </c>
      <c r="D205" t="b">
        <f>IFERROR(VLOOKUP(B205,PatData!$A$2:$A$2030,1,),"")&lt;&gt;""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5674</v>
      </c>
      <c r="B206" t="s">
        <v>5942</v>
      </c>
      <c r="D206" t="b">
        <f>IFERROR(VLOOKUP(B206,PatData!$A$2:$A$2030,1,),"")&lt;&gt;""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5676</v>
      </c>
      <c r="B207" t="s">
        <v>5943</v>
      </c>
      <c r="D207" t="b">
        <f>IFERROR(VLOOKUP(B207,PatData!$A$2:$A$2030,1,),"")&lt;&gt;""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5678</v>
      </c>
      <c r="B208" t="s">
        <v>5944</v>
      </c>
      <c r="D208" t="b">
        <f>IFERROR(VLOOKUP(B208,PatData!$A$2:$A$2030,1,),"")&lt;&gt;""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5680</v>
      </c>
      <c r="B209" t="s">
        <v>5945</v>
      </c>
      <c r="D209" t="b">
        <f>IFERROR(VLOOKUP(B209,PatData!$A$2:$A$2030,1,),"")&lt;&gt;""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5682</v>
      </c>
      <c r="B210" t="s">
        <v>5946</v>
      </c>
      <c r="D210" t="b">
        <f>IFERROR(VLOOKUP(B210,PatData!$A$2:$A$2030,1,),"")&lt;&gt;""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5684</v>
      </c>
      <c r="B211" t="s">
        <v>5947</v>
      </c>
      <c r="D211" t="b">
        <f>IFERROR(VLOOKUP(B211,PatData!$A$2:$A$2030,1,),"")&lt;&gt;""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5686</v>
      </c>
      <c r="B212" t="s">
        <v>5948</v>
      </c>
      <c r="D212" t="b">
        <f>IFERROR(VLOOKUP(B212,PatData!$A$2:$A$2030,1,),"")&lt;&gt;""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5688</v>
      </c>
      <c r="B213" t="s">
        <v>5949</v>
      </c>
      <c r="D213" t="b">
        <f>IFERROR(VLOOKUP(B213,PatData!$A$2:$A$2030,1,),"")&lt;&gt;""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5690</v>
      </c>
      <c r="B214" t="s">
        <v>5950</v>
      </c>
      <c r="D214" t="b">
        <f>IFERROR(VLOOKUP(B214,PatData!$A$2:$A$2030,1,),"")&lt;&gt;""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5692</v>
      </c>
      <c r="B215" t="s">
        <v>5951</v>
      </c>
      <c r="D215" t="b">
        <f>IFERROR(VLOOKUP(B215,PatData!$A$2:$A$2030,1,),"")&lt;&gt;""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5694</v>
      </c>
      <c r="B216" t="s">
        <v>5952</v>
      </c>
      <c r="D216" t="b">
        <f>IFERROR(VLOOKUP(B216,PatData!$A$2:$A$2030,1,),"")&lt;&gt;""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5696</v>
      </c>
      <c r="B217" t="s">
        <v>5953</v>
      </c>
      <c r="D217" t="b">
        <f>IFERROR(VLOOKUP(B217,PatData!$A$2:$A$2030,1,),"")&lt;&gt;""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5698</v>
      </c>
      <c r="B218" t="s">
        <v>5954</v>
      </c>
      <c r="D218" t="b">
        <f>IFERROR(VLOOKUP(B218,PatData!$A$2:$A$2030,1,),"")&lt;&gt;""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5700</v>
      </c>
      <c r="B219" t="s">
        <v>5955</v>
      </c>
      <c r="D219" t="b">
        <f>IFERROR(VLOOKUP(B219,PatData!$A$2:$A$2030,1,),"")&lt;&gt;""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5702</v>
      </c>
      <c r="B220" t="s">
        <v>5956</v>
      </c>
      <c r="D220" t="b">
        <f>IFERROR(VLOOKUP(B220,PatData!$A$2:$A$2030,1,),"")&lt;&gt;""</f>
        <v>1</v>
      </c>
      <c r="E220"/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5704</v>
      </c>
      <c r="B221" t="s">
        <v>5957</v>
      </c>
      <c r="D221" t="b">
        <f>IFERROR(VLOOKUP(B221,PatData!$A$2:$A$2030,1,),"")&lt;&gt;""</f>
        <v>1</v>
      </c>
      <c r="E221"/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5706</v>
      </c>
      <c r="B222" t="s">
        <v>5958</v>
      </c>
      <c r="D222" t="b">
        <f>IFERROR(VLOOKUP(B222,PatData!$A$2:$A$2030,1,),"")&lt;&gt;""</f>
        <v>1</v>
      </c>
      <c r="E222"/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5708</v>
      </c>
      <c r="B223" t="s">
        <v>5959</v>
      </c>
      <c r="D223" t="b">
        <f>IFERROR(VLOOKUP(B223,PatData!$A$2:$A$2030,1,),"")&lt;&gt;""</f>
        <v>1</v>
      </c>
      <c r="E223"/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5710</v>
      </c>
      <c r="B224" t="s">
        <v>5960</v>
      </c>
      <c r="D224" t="b">
        <f>IFERROR(VLOOKUP(B224,PatData!$A$2:$A$2030,1,),"")&lt;&gt;""</f>
        <v>1</v>
      </c>
      <c r="E224"/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5712</v>
      </c>
      <c r="B225" t="s">
        <v>5961</v>
      </c>
      <c r="D225" t="b">
        <f>IFERROR(VLOOKUP(B225,PatData!$A$2:$A$2030,1,),"")&lt;&gt;""</f>
        <v>1</v>
      </c>
      <c r="E225"/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5714</v>
      </c>
      <c r="B226" t="s">
        <v>5962</v>
      </c>
      <c r="D226" t="b">
        <f>IFERROR(VLOOKUP(B226,PatData!$A$2:$A$2030,1,),"")&lt;&gt;""</f>
        <v>1</v>
      </c>
      <c r="E226"/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5716</v>
      </c>
      <c r="B227" t="s">
        <v>5963</v>
      </c>
      <c r="D227" t="b">
        <f>IFERROR(VLOOKUP(B227,PatData!$A$2:$A$2030,1,),"")&lt;&gt;""</f>
        <v>1</v>
      </c>
      <c r="E227"/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5718</v>
      </c>
      <c r="B228" t="s">
        <v>5964</v>
      </c>
      <c r="D228" t="b">
        <f>IFERROR(VLOOKUP(B228,PatData!$A$2:$A$2030,1,),"")&lt;&gt;""</f>
        <v>1</v>
      </c>
      <c r="E228"/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5720</v>
      </c>
      <c r="B229" t="s">
        <v>5965</v>
      </c>
      <c r="D229" t="b">
        <f>IFERROR(VLOOKUP(B229,PatData!$A$2:$A$2030,1,),"")&lt;&gt;""</f>
        <v>1</v>
      </c>
      <c r="E229"/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5722</v>
      </c>
      <c r="B230" t="s">
        <v>5966</v>
      </c>
      <c r="D230" t="b">
        <f>IFERROR(VLOOKUP(B230,PatData!$A$2:$A$2030,1,),"")&lt;&gt;""</f>
        <v>1</v>
      </c>
      <c r="E230"/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5724</v>
      </c>
      <c r="B231" t="s">
        <v>5967</v>
      </c>
      <c r="D231" t="b">
        <f>IFERROR(VLOOKUP(B231,PatData!$A$2:$A$2030,1,),"")&lt;&gt;""</f>
        <v>1</v>
      </c>
      <c r="E231"/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5726</v>
      </c>
      <c r="B232" t="s">
        <v>5968</v>
      </c>
      <c r="D232" t="b">
        <f>IFERROR(VLOOKUP(B232,PatData!$A$2:$A$2030,1,),"")&lt;&gt;""</f>
        <v>1</v>
      </c>
      <c r="E232"/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5728</v>
      </c>
      <c r="B233" t="s">
        <v>5969</v>
      </c>
      <c r="D233" t="b">
        <f>IFERROR(VLOOKUP(B233,PatData!$A$2:$A$2030,1,),"")&lt;&gt;""</f>
        <v>1</v>
      </c>
      <c r="E233"/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2903</v>
      </c>
      <c r="B234" t="s">
        <v>1848</v>
      </c>
      <c r="D234" t="b">
        <f>IFERROR(VLOOKUP(B234,PatData!$A$2:$A$2030,1,),"")&lt;&gt;""</f>
        <v>1</v>
      </c>
      <c r="E234" t="s">
        <v>7668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2904</v>
      </c>
      <c r="B235" t="s">
        <v>1849</v>
      </c>
      <c r="D235" t="b">
        <f>IFERROR(VLOOKUP(B235,PatData!$A$2:$A$2030,1,),"")&lt;&gt;""</f>
        <v>1</v>
      </c>
      <c r="E235" t="s">
        <v>33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2905</v>
      </c>
      <c r="B236" t="s">
        <v>1850</v>
      </c>
      <c r="D236" t="b">
        <f>IFERROR(VLOOKUP(B236,PatData!$A$2:$A$2030,1,),"")&lt;&gt;""</f>
        <v>1</v>
      </c>
      <c r="E236" t="s">
        <v>7669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2906</v>
      </c>
      <c r="B237" t="s">
        <v>1851</v>
      </c>
      <c r="D237" t="b">
        <f>IFERROR(VLOOKUP(B237,PatData!$A$2:$A$2030,1,),"")&lt;&gt;""</f>
        <v>1</v>
      </c>
      <c r="E237"/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2907</v>
      </c>
      <c r="B238" t="s">
        <v>1852</v>
      </c>
      <c r="D238" t="b">
        <f>IFERROR(VLOOKUP(B238,PatData!$A$2:$A$2030,1,),"")&lt;&gt;""</f>
        <v>1</v>
      </c>
      <c r="E238"/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2908</v>
      </c>
      <c r="B239" t="s">
        <v>1853</v>
      </c>
      <c r="D239" t="b">
        <f>IFERROR(VLOOKUP(B239,PatData!$A$2:$A$2030,1,),"")&lt;&gt;""</f>
        <v>1</v>
      </c>
      <c r="E239"/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2909</v>
      </c>
      <c r="B240" t="s">
        <v>1854</v>
      </c>
      <c r="D240" t="b">
        <f>IFERROR(VLOOKUP(B240,PatData!$A$2:$A$2030,1,),"")&lt;&gt;""</f>
        <v>1</v>
      </c>
      <c r="E240"/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2910</v>
      </c>
      <c r="B241" t="s">
        <v>1855</v>
      </c>
      <c r="D241" t="b">
        <f>IFERROR(VLOOKUP(B241,PatData!$A$2:$A$2030,1,),"")&lt;&gt;""</f>
        <v>1</v>
      </c>
      <c r="E241"/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2911</v>
      </c>
      <c r="B242" t="s">
        <v>1856</v>
      </c>
      <c r="D242" t="b">
        <f>IFERROR(VLOOKUP(B242,PatData!$A$2:$A$2030,1,),"")&lt;&gt;""</f>
        <v>1</v>
      </c>
      <c r="E242"/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2912</v>
      </c>
      <c r="B243" t="s">
        <v>1857</v>
      </c>
      <c r="D243" t="b">
        <f>IFERROR(VLOOKUP(B243,PatData!$A$2:$A$2030,1,),"")&lt;&gt;""</f>
        <v>1</v>
      </c>
      <c r="E243"/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2913</v>
      </c>
      <c r="B244" t="s">
        <v>1858</v>
      </c>
      <c r="D244" t="b">
        <f>IFERROR(VLOOKUP(B244,PatData!$A$2:$A$2030,1,),"")&lt;&gt;""</f>
        <v>1</v>
      </c>
      <c r="E244"/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2914</v>
      </c>
      <c r="B245" t="s">
        <v>1859</v>
      </c>
      <c r="D245" t="b">
        <f>IFERROR(VLOOKUP(B245,PatData!$A$2:$A$2030,1,),"")&lt;&gt;""</f>
        <v>1</v>
      </c>
      <c r="E245"/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2915</v>
      </c>
      <c r="B246" t="s">
        <v>1860</v>
      </c>
      <c r="D246" t="b">
        <f>IFERROR(VLOOKUP(B246,PatData!$A$2:$A$2030,1,),"")&lt;&gt;""</f>
        <v>1</v>
      </c>
      <c r="E246"/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2916</v>
      </c>
      <c r="B247" t="s">
        <v>1861</v>
      </c>
      <c r="D247" t="b">
        <f>IFERROR(VLOOKUP(B247,PatData!$A$2:$A$2030,1,),"")&lt;&gt;""</f>
        <v>1</v>
      </c>
      <c r="E247"/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2917</v>
      </c>
      <c r="B248" t="s">
        <v>1862</v>
      </c>
      <c r="D248" t="b">
        <f>IFERROR(VLOOKUP(B248,PatData!$A$2:$A$2030,1,),"")&lt;&gt;""</f>
        <v>1</v>
      </c>
      <c r="E248"/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2918</v>
      </c>
      <c r="B249" t="s">
        <v>1863</v>
      </c>
      <c r="D249" t="b">
        <f>IFERROR(VLOOKUP(B249,PatData!$A$2:$A$2030,1,),"")&lt;&gt;""</f>
        <v>1</v>
      </c>
      <c r="E249"/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2919</v>
      </c>
      <c r="B250" t="s">
        <v>1864</v>
      </c>
      <c r="D250" t="b">
        <f>IFERROR(VLOOKUP(B250,PatData!$A$2:$A$2030,1,),"")&lt;&gt;""</f>
        <v>1</v>
      </c>
      <c r="E250"/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2920</v>
      </c>
      <c r="B251" t="s">
        <v>1865</v>
      </c>
      <c r="D251" t="b">
        <f>IFERROR(VLOOKUP(B251,PatData!$A$2:$A$2030,1,),"")&lt;&gt;""</f>
        <v>1</v>
      </c>
      <c r="E251"/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2921</v>
      </c>
      <c r="B252" t="s">
        <v>1866</v>
      </c>
      <c r="D252" t="b">
        <f>IFERROR(VLOOKUP(B252,PatData!$A$2:$A$2030,1,),"")&lt;&gt;""</f>
        <v>1</v>
      </c>
      <c r="E252"/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2922</v>
      </c>
      <c r="B253" t="s">
        <v>1867</v>
      </c>
      <c r="D253" t="b">
        <f>IFERROR(VLOOKUP(B253,PatData!$A$2:$A$2030,1,),"")&lt;&gt;""</f>
        <v>1</v>
      </c>
      <c r="E253"/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2923</v>
      </c>
      <c r="B254" t="s">
        <v>1868</v>
      </c>
      <c r="D254" t="b">
        <f>IFERROR(VLOOKUP(B254,PatData!$A$2:$A$2030,1,),"")&lt;&gt;""</f>
        <v>1</v>
      </c>
      <c r="E254"/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2924</v>
      </c>
      <c r="B255" t="s">
        <v>1869</v>
      </c>
      <c r="D255" t="b">
        <f>IFERROR(VLOOKUP(B255,PatData!$A$2:$A$2030,1,),"")&lt;&gt;""</f>
        <v>1</v>
      </c>
      <c r="E255"/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2925</v>
      </c>
      <c r="B256" t="s">
        <v>1870</v>
      </c>
      <c r="D256" t="b">
        <f>IFERROR(VLOOKUP(B256,PatData!$A$2:$A$2030,1,),"")&lt;&gt;""</f>
        <v>1</v>
      </c>
      <c r="E256"/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2926</v>
      </c>
      <c r="B257" t="s">
        <v>1871</v>
      </c>
      <c r="D257" t="b">
        <f>IFERROR(VLOOKUP(B257,PatData!$A$2:$A$2030,1,),"")&lt;&gt;""</f>
        <v>1</v>
      </c>
      <c r="E257"/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2927</v>
      </c>
      <c r="B258" t="s">
        <v>1872</v>
      </c>
      <c r="D258" t="b">
        <f>IFERROR(VLOOKUP(B258,PatData!$A$2:$A$2030,1,),"")&lt;&gt;""</f>
        <v>1</v>
      </c>
      <c r="E258"/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2928</v>
      </c>
      <c r="B259" t="s">
        <v>1873</v>
      </c>
      <c r="D259" t="b">
        <f>IFERROR(VLOOKUP(B259,PatData!$A$2:$A$2030,1,),"")&lt;&gt;""</f>
        <v>1</v>
      </c>
      <c r="E259"/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2929</v>
      </c>
      <c r="B260" t="s">
        <v>1874</v>
      </c>
      <c r="D260" t="b">
        <f>IFERROR(VLOOKUP(B260,PatData!$A$2:$A$2030,1,),"")&lt;&gt;""</f>
        <v>1</v>
      </c>
      <c r="E260"/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2930</v>
      </c>
      <c r="B261" t="s">
        <v>1875</v>
      </c>
      <c r="D261" t="b">
        <f>IFERROR(VLOOKUP(B261,PatData!$A$2:$A$2030,1,),"")&lt;&gt;""</f>
        <v>1</v>
      </c>
      <c r="E261"/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2931</v>
      </c>
      <c r="B262" t="s">
        <v>1876</v>
      </c>
      <c r="D262" t="b">
        <f>IFERROR(VLOOKUP(B262,PatData!$A$2:$A$2030,1,),"")&lt;&gt;""</f>
        <v>1</v>
      </c>
      <c r="E262"/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2932</v>
      </c>
      <c r="B263" t="s">
        <v>1877</v>
      </c>
      <c r="D263" t="b">
        <f>IFERROR(VLOOKUP(B263,PatData!$A$2:$A$2030,1,),"")&lt;&gt;""</f>
        <v>1</v>
      </c>
      <c r="E263"/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4561</v>
      </c>
      <c r="B264" t="s">
        <v>1878</v>
      </c>
      <c r="D264" t="b">
        <f>IFERROR(VLOOKUP(B264,PatData!$A$2:$A$2030,1,),"")&lt;&gt;""</f>
        <v>1</v>
      </c>
      <c r="E264">
        <v>13730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4562</v>
      </c>
      <c r="B265" t="s">
        <v>1879</v>
      </c>
      <c r="D265" t="b">
        <f>IFERROR(VLOOKUP(B265,PatData!$A$2:$A$2030,1,),"")&lt;&gt;""</f>
        <v>1</v>
      </c>
      <c r="E265">
        <v>5533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4563</v>
      </c>
      <c r="B266" t="s">
        <v>1880</v>
      </c>
      <c r="D266" t="b">
        <f>IFERROR(VLOOKUP(B266,PatData!$A$2:$A$2030,1,),"")&lt;&gt;""</f>
        <v>1</v>
      </c>
      <c r="E266">
        <v>124915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4564</v>
      </c>
      <c r="B267" t="s">
        <v>1881</v>
      </c>
      <c r="D267" t="b">
        <f>IFERROR(VLOOKUP(B267,PatData!$A$2:$A$2030,1,),"")&lt;&gt;""</f>
        <v>1</v>
      </c>
      <c r="E267"/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4565</v>
      </c>
      <c r="B268" t="s">
        <v>1882</v>
      </c>
      <c r="D268" t="b">
        <f>IFERROR(VLOOKUP(B268,PatData!$A$2:$A$2030,1,),"")&lt;&gt;""</f>
        <v>1</v>
      </c>
      <c r="E268"/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4566</v>
      </c>
      <c r="B269" t="s">
        <v>1883</v>
      </c>
      <c r="D269" t="b">
        <f>IFERROR(VLOOKUP(B269,PatData!$A$2:$A$2030,1,),"")&lt;&gt;""</f>
        <v>1</v>
      </c>
      <c r="E269"/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4567</v>
      </c>
      <c r="B270" t="s">
        <v>1884</v>
      </c>
      <c r="D270" t="b">
        <f>IFERROR(VLOOKUP(B270,PatData!$A$2:$A$2030,1,),"")&lt;&gt;""</f>
        <v>1</v>
      </c>
      <c r="E270"/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4568</v>
      </c>
      <c r="B271" t="s">
        <v>1885</v>
      </c>
      <c r="D271" t="b">
        <f>IFERROR(VLOOKUP(B271,PatData!$A$2:$A$2030,1,),"")&lt;&gt;""</f>
        <v>1</v>
      </c>
      <c r="E271"/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4569</v>
      </c>
      <c r="B272" t="s">
        <v>1886</v>
      </c>
      <c r="D272" t="b">
        <f>IFERROR(VLOOKUP(B272,PatData!$A$2:$A$2030,1,),"")&lt;&gt;""</f>
        <v>1</v>
      </c>
      <c r="E272"/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4570</v>
      </c>
      <c r="B273" t="s">
        <v>1887</v>
      </c>
      <c r="D273" t="b">
        <f>IFERROR(VLOOKUP(B273,PatData!$A$2:$A$2030,1,),"")&lt;&gt;""</f>
        <v>1</v>
      </c>
      <c r="E273"/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4571</v>
      </c>
      <c r="B274" t="s">
        <v>1888</v>
      </c>
      <c r="D274" t="b">
        <f>IFERROR(VLOOKUP(B274,PatData!$A$2:$A$2030,1,),"")&lt;&gt;""</f>
        <v>1</v>
      </c>
      <c r="E274"/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4572</v>
      </c>
      <c r="B275" t="s">
        <v>1889</v>
      </c>
      <c r="D275" t="b">
        <f>IFERROR(VLOOKUP(B275,PatData!$A$2:$A$2030,1,),"")&lt;&gt;""</f>
        <v>1</v>
      </c>
      <c r="E275"/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4573</v>
      </c>
      <c r="B276" t="s">
        <v>1890</v>
      </c>
      <c r="D276" t="b">
        <f>IFERROR(VLOOKUP(B276,PatData!$A$2:$A$2030,1,),"")&lt;&gt;""</f>
        <v>1</v>
      </c>
      <c r="E276"/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4574</v>
      </c>
      <c r="B277" t="s">
        <v>1891</v>
      </c>
      <c r="D277" t="b">
        <f>IFERROR(VLOOKUP(B277,PatData!$A$2:$A$2030,1,),"")&lt;&gt;""</f>
        <v>1</v>
      </c>
      <c r="E277"/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4575</v>
      </c>
      <c r="B278" t="s">
        <v>1892</v>
      </c>
      <c r="D278" t="b">
        <f>IFERROR(VLOOKUP(B278,PatData!$A$2:$A$2030,1,),"")&lt;&gt;""</f>
        <v>1</v>
      </c>
      <c r="E278"/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4576</v>
      </c>
      <c r="B279" t="s">
        <v>1893</v>
      </c>
      <c r="D279" t="b">
        <f>IFERROR(VLOOKUP(B279,PatData!$A$2:$A$2030,1,),"")&lt;&gt;""</f>
        <v>1</v>
      </c>
      <c r="E279"/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4577</v>
      </c>
      <c r="B280" t="s">
        <v>1894</v>
      </c>
      <c r="D280" t="b">
        <f>IFERROR(VLOOKUP(B280,PatData!$A$2:$A$2030,1,),"")&lt;&gt;""</f>
        <v>1</v>
      </c>
      <c r="E280"/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4578</v>
      </c>
      <c r="B281" t="s">
        <v>1895</v>
      </c>
      <c r="D281" t="b">
        <f>IFERROR(VLOOKUP(B281,PatData!$A$2:$A$2030,1,),"")&lt;&gt;""</f>
        <v>1</v>
      </c>
      <c r="E281"/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4579</v>
      </c>
      <c r="B282" t="s">
        <v>1896</v>
      </c>
      <c r="D282" t="b">
        <f>IFERROR(VLOOKUP(B282,PatData!$A$2:$A$2030,1,),"")&lt;&gt;""</f>
        <v>1</v>
      </c>
      <c r="E282"/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4580</v>
      </c>
      <c r="B283" t="s">
        <v>1897</v>
      </c>
      <c r="D283" t="b">
        <f>IFERROR(VLOOKUP(B283,PatData!$A$2:$A$2030,1,),"")&lt;&gt;""</f>
        <v>1</v>
      </c>
      <c r="E283"/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4581</v>
      </c>
      <c r="B284" t="s">
        <v>1898</v>
      </c>
      <c r="D284" t="b">
        <f>IFERROR(VLOOKUP(B284,PatData!$A$2:$A$2030,1,),"")&lt;&gt;""</f>
        <v>1</v>
      </c>
      <c r="E284"/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4582</v>
      </c>
      <c r="B285" t="s">
        <v>1899</v>
      </c>
      <c r="D285" t="b">
        <f>IFERROR(VLOOKUP(B285,PatData!$A$2:$A$2030,1,),"")&lt;&gt;""</f>
        <v>1</v>
      </c>
      <c r="E285"/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4583</v>
      </c>
      <c r="B286" t="s">
        <v>1900</v>
      </c>
      <c r="D286" t="b">
        <f>IFERROR(VLOOKUP(B286,PatData!$A$2:$A$2030,1,),"")&lt;&gt;""</f>
        <v>1</v>
      </c>
      <c r="E286"/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4584</v>
      </c>
      <c r="B287" t="s">
        <v>1901</v>
      </c>
      <c r="D287" t="b">
        <f>IFERROR(VLOOKUP(B287,PatData!$A$2:$A$2030,1,),"")&lt;&gt;""</f>
        <v>1</v>
      </c>
      <c r="E287"/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4585</v>
      </c>
      <c r="B288" t="s">
        <v>1902</v>
      </c>
      <c r="D288" t="b">
        <f>IFERROR(VLOOKUP(B288,PatData!$A$2:$A$2030,1,),"")&lt;&gt;""</f>
        <v>1</v>
      </c>
      <c r="E288"/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4586</v>
      </c>
      <c r="B289" t="s">
        <v>1903</v>
      </c>
      <c r="D289" t="b">
        <f>IFERROR(VLOOKUP(B289,PatData!$A$2:$A$2030,1,),"")&lt;&gt;""</f>
        <v>1</v>
      </c>
      <c r="E289"/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4587</v>
      </c>
      <c r="B290" t="s">
        <v>1904</v>
      </c>
      <c r="D290" t="b">
        <f>IFERROR(VLOOKUP(B290,PatData!$A$2:$A$2030,1,),"")&lt;&gt;""</f>
        <v>1</v>
      </c>
      <c r="E290"/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4588</v>
      </c>
      <c r="B291" t="s">
        <v>1905</v>
      </c>
      <c r="D291" t="b">
        <f>IFERROR(VLOOKUP(B291,PatData!$A$2:$A$2030,1,),"")&lt;&gt;""</f>
        <v>1</v>
      </c>
      <c r="E291"/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4589</v>
      </c>
      <c r="B292" t="s">
        <v>1906</v>
      </c>
      <c r="D292" t="b">
        <f>IFERROR(VLOOKUP(B292,PatData!$A$2:$A$2030,1,),"")&lt;&gt;""</f>
        <v>1</v>
      </c>
      <c r="E292"/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4590</v>
      </c>
      <c r="B293" t="s">
        <v>1907</v>
      </c>
      <c r="D293" t="b">
        <f>IFERROR(VLOOKUP(B293,PatData!$A$2:$A$2030,1,),"")&lt;&gt;""</f>
        <v>1</v>
      </c>
      <c r="E293"/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7145</v>
      </c>
      <c r="B294" t="s">
        <v>7146</v>
      </c>
      <c r="D294" t="b">
        <f>IFERROR(VLOOKUP(B294,PatData!$A$2:$A$2030,1,),"")&lt;&gt;""</f>
        <v>1</v>
      </c>
      <c r="E294" t="b">
        <v>1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7147</v>
      </c>
      <c r="B295" t="s">
        <v>7148</v>
      </c>
      <c r="D295" t="b">
        <f>IFERROR(VLOOKUP(B295,PatData!$A$2:$A$2030,1,),"")&lt;&gt;""</f>
        <v>1</v>
      </c>
      <c r="E295" t="b">
        <v>1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7149</v>
      </c>
      <c r="B296" t="s">
        <v>7150</v>
      </c>
      <c r="D296" t="b">
        <f>IFERROR(VLOOKUP(B296,PatData!$A$2:$A$2030,1,),"")&lt;&gt;""</f>
        <v>1</v>
      </c>
      <c r="E296" t="b">
        <v>1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7151</v>
      </c>
      <c r="B297" t="s">
        <v>7152</v>
      </c>
      <c r="D297" t="b">
        <f>IFERROR(VLOOKUP(B297,PatData!$A$2:$A$2030,1,),"")&lt;&gt;""</f>
        <v>1</v>
      </c>
      <c r="E297" t="b">
        <v>1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7153</v>
      </c>
      <c r="B298" t="s">
        <v>7154</v>
      </c>
      <c r="D298" t="b">
        <f>IFERROR(VLOOKUP(B298,PatData!$A$2:$A$2030,1,),"")&lt;&gt;""</f>
        <v>1</v>
      </c>
      <c r="E298" t="b">
        <v>1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7155</v>
      </c>
      <c r="B299" t="s">
        <v>7156</v>
      </c>
      <c r="D299" t="b">
        <f>IFERROR(VLOOKUP(B299,PatData!$A$2:$A$2030,1,),"")&lt;&gt;""</f>
        <v>1</v>
      </c>
      <c r="E299" t="b">
        <v>1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7157</v>
      </c>
      <c r="B300" t="s">
        <v>7158</v>
      </c>
      <c r="D300" t="b">
        <f>IFERROR(VLOOKUP(B300,PatData!$A$2:$A$2030,1,),"")&lt;&gt;""</f>
        <v>1</v>
      </c>
      <c r="E300" t="b">
        <v>1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7159</v>
      </c>
      <c r="B301" t="s">
        <v>7160</v>
      </c>
      <c r="D301" t="b">
        <f>IFERROR(VLOOKUP(B301,PatData!$A$2:$A$2030,1,),"")&lt;&gt;""</f>
        <v>1</v>
      </c>
      <c r="E301" t="b">
        <v>1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7161</v>
      </c>
      <c r="B302" t="s">
        <v>7162</v>
      </c>
      <c r="D302" t="b">
        <f>IFERROR(VLOOKUP(B302,PatData!$A$2:$A$2030,1,),"")&lt;&gt;""</f>
        <v>1</v>
      </c>
      <c r="E302" t="b">
        <v>1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7163</v>
      </c>
      <c r="B303" t="s">
        <v>7164</v>
      </c>
      <c r="D303" t="b">
        <f>IFERROR(VLOOKUP(B303,PatData!$A$2:$A$2030,1,),"")&lt;&gt;""</f>
        <v>1</v>
      </c>
      <c r="E303" t="b">
        <v>1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7165</v>
      </c>
      <c r="B304" t="s">
        <v>7166</v>
      </c>
      <c r="D304" t="b">
        <f>IFERROR(VLOOKUP(B304,PatData!$A$2:$A$2030,1,),"")&lt;&gt;""</f>
        <v>1</v>
      </c>
      <c r="E304" t="b">
        <v>1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7167</v>
      </c>
      <c r="B305" t="s">
        <v>7168</v>
      </c>
      <c r="D305" t="b">
        <f>IFERROR(VLOOKUP(B305,PatData!$A$2:$A$2030,1,),"")&lt;&gt;""</f>
        <v>1</v>
      </c>
      <c r="E305" t="b">
        <v>1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7169</v>
      </c>
      <c r="B306" t="s">
        <v>7170</v>
      </c>
      <c r="D306" t="b">
        <f>IFERROR(VLOOKUP(B306,PatData!$A$2:$A$2030,1,),"")&lt;&gt;""</f>
        <v>1</v>
      </c>
      <c r="E306" t="b">
        <v>1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7171</v>
      </c>
      <c r="B307" t="s">
        <v>7172</v>
      </c>
      <c r="D307" t="b">
        <f>IFERROR(VLOOKUP(B307,PatData!$A$2:$A$2030,1,),"")&lt;&gt;""</f>
        <v>1</v>
      </c>
      <c r="E307" t="b">
        <v>1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7173</v>
      </c>
      <c r="B308" t="s">
        <v>7174</v>
      </c>
      <c r="D308" t="b">
        <f>IFERROR(VLOOKUP(B308,PatData!$A$2:$A$2030,1,),"")&lt;&gt;""</f>
        <v>1</v>
      </c>
      <c r="E308" t="b">
        <v>1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7175</v>
      </c>
      <c r="B309" t="s">
        <v>7176</v>
      </c>
      <c r="D309" t="b">
        <f>IFERROR(VLOOKUP(B309,PatData!$A$2:$A$2030,1,),"")&lt;&gt;""</f>
        <v>1</v>
      </c>
      <c r="E309" t="b">
        <v>1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7177</v>
      </c>
      <c r="B310" t="s">
        <v>7178</v>
      </c>
      <c r="D310" t="b">
        <f>IFERROR(VLOOKUP(B310,PatData!$A$2:$A$2030,1,),"")&lt;&gt;""</f>
        <v>1</v>
      </c>
      <c r="E310" t="b">
        <v>1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7179</v>
      </c>
      <c r="B311" t="s">
        <v>7180</v>
      </c>
      <c r="D311" t="b">
        <f>IFERROR(VLOOKUP(B311,PatData!$A$2:$A$2030,1,),"")&lt;&gt;""</f>
        <v>1</v>
      </c>
      <c r="E311" t="b">
        <v>1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7181</v>
      </c>
      <c r="B312" t="s">
        <v>7182</v>
      </c>
      <c r="D312" t="b">
        <f>IFERROR(VLOOKUP(B312,PatData!$A$2:$A$2030,1,),"")&lt;&gt;""</f>
        <v>1</v>
      </c>
      <c r="E312" t="b">
        <v>1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7183</v>
      </c>
      <c r="B313" t="s">
        <v>7184</v>
      </c>
      <c r="D313" t="b">
        <f>IFERROR(VLOOKUP(B313,PatData!$A$2:$A$2030,1,),"")&lt;&gt;""</f>
        <v>1</v>
      </c>
      <c r="E313" t="b">
        <v>1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7185</v>
      </c>
      <c r="B314" t="s">
        <v>7186</v>
      </c>
      <c r="D314" t="b">
        <f>IFERROR(VLOOKUP(B314,PatData!$A$2:$A$2030,1,),"")&lt;&gt;""</f>
        <v>1</v>
      </c>
      <c r="E314" t="b">
        <v>1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7187</v>
      </c>
      <c r="B315" t="s">
        <v>7188</v>
      </c>
      <c r="D315" t="b">
        <f>IFERROR(VLOOKUP(B315,PatData!$A$2:$A$2030,1,),"")&lt;&gt;""</f>
        <v>1</v>
      </c>
      <c r="E315" t="b">
        <v>1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7189</v>
      </c>
      <c r="B316" t="s">
        <v>7190</v>
      </c>
      <c r="D316" t="b">
        <f>IFERROR(VLOOKUP(B316,PatData!$A$2:$A$2030,1,),"")&lt;&gt;""</f>
        <v>1</v>
      </c>
      <c r="E316" t="b">
        <v>1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7191</v>
      </c>
      <c r="B317" t="s">
        <v>7192</v>
      </c>
      <c r="D317" t="b">
        <f>IFERROR(VLOOKUP(B317,PatData!$A$2:$A$2030,1,),"")&lt;&gt;""</f>
        <v>1</v>
      </c>
      <c r="E317" t="b">
        <v>1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7193</v>
      </c>
      <c r="B318" t="s">
        <v>7194</v>
      </c>
      <c r="D318" t="b">
        <f>IFERROR(VLOOKUP(B318,PatData!$A$2:$A$2030,1,),"")&lt;&gt;""</f>
        <v>1</v>
      </c>
      <c r="E318" t="b">
        <v>1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7195</v>
      </c>
      <c r="B319" t="s">
        <v>7196</v>
      </c>
      <c r="D319" t="b">
        <f>IFERROR(VLOOKUP(B319,PatData!$A$2:$A$2030,1,),"")&lt;&gt;""</f>
        <v>1</v>
      </c>
      <c r="E319" t="b">
        <v>1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7197</v>
      </c>
      <c r="B320" t="s">
        <v>7198</v>
      </c>
      <c r="D320" t="b">
        <f>IFERROR(VLOOKUP(B320,PatData!$A$2:$A$2030,1,),"")&lt;&gt;""</f>
        <v>1</v>
      </c>
      <c r="E320" t="b">
        <v>1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7199</v>
      </c>
      <c r="B321" t="s">
        <v>7200</v>
      </c>
      <c r="D321" t="b">
        <f>IFERROR(VLOOKUP(B321,PatData!$A$2:$A$2030,1,),"")&lt;&gt;""</f>
        <v>1</v>
      </c>
      <c r="E321" t="b">
        <v>1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7201</v>
      </c>
      <c r="B322" t="s">
        <v>7202</v>
      </c>
      <c r="D322" t="b">
        <f>IFERROR(VLOOKUP(B322,PatData!$A$2:$A$2030,1,),"")&lt;&gt;""</f>
        <v>1</v>
      </c>
      <c r="E322" t="b">
        <v>1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7203</v>
      </c>
      <c r="B323" t="s">
        <v>7204</v>
      </c>
      <c r="D323" t="b">
        <f>IFERROR(VLOOKUP(B323,PatData!$A$2:$A$2030,1,),"")&lt;&gt;""</f>
        <v>1</v>
      </c>
      <c r="E323" t="b">
        <v>1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2933</v>
      </c>
      <c r="B324" t="s">
        <v>1908</v>
      </c>
      <c r="D324" t="b">
        <f>IFERROR(VLOOKUP(B324,PatData!$A$2:$A$2030,1,),"")&lt;&gt;""</f>
        <v>1</v>
      </c>
      <c r="E324" t="s">
        <v>7508</v>
      </c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2934</v>
      </c>
      <c r="B325" t="s">
        <v>1909</v>
      </c>
      <c r="D325" t="b">
        <f>IFERROR(VLOOKUP(B325,PatData!$A$2:$A$2030,1,),"")&lt;&gt;""</f>
        <v>1</v>
      </c>
      <c r="E325" t="s">
        <v>7670</v>
      </c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2935</v>
      </c>
      <c r="B326" t="s">
        <v>1910</v>
      </c>
      <c r="D326" t="b">
        <f>IFERROR(VLOOKUP(B326,PatData!$A$2:$A$2030,1,),"")&lt;&gt;""</f>
        <v>1</v>
      </c>
      <c r="E326" t="s">
        <v>7671</v>
      </c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2936</v>
      </c>
      <c r="B327" t="s">
        <v>1911</v>
      </c>
      <c r="D327" t="b">
        <f>IFERROR(VLOOKUP(B327,PatData!$A$2:$A$2030,1,),"")&lt;&gt;""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2937</v>
      </c>
      <c r="B328" t="s">
        <v>1912</v>
      </c>
      <c r="D328" t="b">
        <f>IFERROR(VLOOKUP(B328,PatData!$A$2:$A$2030,1,),"")&lt;&gt;""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2938</v>
      </c>
      <c r="B329" t="s">
        <v>1913</v>
      </c>
      <c r="D329" t="b">
        <f>IFERROR(VLOOKUP(B329,PatData!$A$2:$A$2030,1,),"")&lt;&gt;""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2939</v>
      </c>
      <c r="B330" t="s">
        <v>1914</v>
      </c>
      <c r="D330" t="b">
        <f>IFERROR(VLOOKUP(B330,PatData!$A$2:$A$2030,1,),"")&lt;&gt;""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2940</v>
      </c>
      <c r="B331" t="s">
        <v>1915</v>
      </c>
      <c r="D331" t="b">
        <f>IFERROR(VLOOKUP(B331,PatData!$A$2:$A$2030,1,),"")&lt;&gt;""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2941</v>
      </c>
      <c r="B332" t="s">
        <v>1916</v>
      </c>
      <c r="D332" t="b">
        <f>IFERROR(VLOOKUP(B332,PatData!$A$2:$A$2030,1,),"")&lt;&gt;""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2942</v>
      </c>
      <c r="B333" t="s">
        <v>1917</v>
      </c>
      <c r="D333" t="b">
        <f>IFERROR(VLOOKUP(B333,PatData!$A$2:$A$2030,1,),"")&lt;&gt;""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2943</v>
      </c>
      <c r="B334" t="s">
        <v>1918</v>
      </c>
      <c r="D334" t="b">
        <f>IFERROR(VLOOKUP(B334,PatData!$A$2:$A$2030,1,),"")&lt;&gt;""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2944</v>
      </c>
      <c r="B335" t="s">
        <v>1919</v>
      </c>
      <c r="D335" t="b">
        <f>IFERROR(VLOOKUP(B335,PatData!$A$2:$A$2030,1,),"")&lt;&gt;""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2945</v>
      </c>
      <c r="B336" t="s">
        <v>1920</v>
      </c>
      <c r="D336" t="b">
        <f>IFERROR(VLOOKUP(B336,PatData!$A$2:$A$2030,1,),"")&lt;&gt;""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2946</v>
      </c>
      <c r="B337" t="s">
        <v>1921</v>
      </c>
      <c r="D337" t="b">
        <f>IFERROR(VLOOKUP(B337,PatData!$A$2:$A$2030,1,),"")&lt;&gt;""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2947</v>
      </c>
      <c r="B338" t="s">
        <v>1922</v>
      </c>
      <c r="D338" t="b">
        <f>IFERROR(VLOOKUP(B338,PatData!$A$2:$A$2030,1,),"")&lt;&gt;""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2948</v>
      </c>
      <c r="B339" t="s">
        <v>1923</v>
      </c>
      <c r="D339" t="b">
        <f>IFERROR(VLOOKUP(B339,PatData!$A$2:$A$2030,1,),"")&lt;&gt;""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2949</v>
      </c>
      <c r="B340" t="s">
        <v>1924</v>
      </c>
      <c r="D340" t="b">
        <f>IFERROR(VLOOKUP(B340,PatData!$A$2:$A$2030,1,),"")&lt;&gt;""</f>
        <v>1</v>
      </c>
      <c r="E340"/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2950</v>
      </c>
      <c r="B341" t="s">
        <v>1925</v>
      </c>
      <c r="D341" t="b">
        <f>IFERROR(VLOOKUP(B341,PatData!$A$2:$A$2030,1,),"")&lt;&gt;""</f>
        <v>1</v>
      </c>
      <c r="E341"/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2951</v>
      </c>
      <c r="B342" t="s">
        <v>1926</v>
      </c>
      <c r="D342" t="b">
        <f>IFERROR(VLOOKUP(B342,PatData!$A$2:$A$2030,1,),"")&lt;&gt;""</f>
        <v>1</v>
      </c>
      <c r="E342"/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2952</v>
      </c>
      <c r="B343" t="s">
        <v>1927</v>
      </c>
      <c r="D343" t="b">
        <f>IFERROR(VLOOKUP(B343,PatData!$A$2:$A$2030,1,),"")&lt;&gt;""</f>
        <v>1</v>
      </c>
      <c r="E343"/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2953</v>
      </c>
      <c r="B344" t="s">
        <v>1928</v>
      </c>
      <c r="D344" t="b">
        <f>IFERROR(VLOOKUP(B344,PatData!$A$2:$A$2030,1,),"")&lt;&gt;""</f>
        <v>1</v>
      </c>
      <c r="E344"/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2954</v>
      </c>
      <c r="B345" t="s">
        <v>1929</v>
      </c>
      <c r="D345" t="b">
        <f>IFERROR(VLOOKUP(B345,PatData!$A$2:$A$2030,1,),"")&lt;&gt;""</f>
        <v>1</v>
      </c>
      <c r="E345"/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2955</v>
      </c>
      <c r="B346" t="s">
        <v>1930</v>
      </c>
      <c r="D346" t="b">
        <f>IFERROR(VLOOKUP(B346,PatData!$A$2:$A$2030,1,),"")&lt;&gt;""</f>
        <v>1</v>
      </c>
      <c r="E346"/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2956</v>
      </c>
      <c r="B347" t="s">
        <v>1931</v>
      </c>
      <c r="D347" t="b">
        <f>IFERROR(VLOOKUP(B347,PatData!$A$2:$A$2030,1,),"")&lt;&gt;""</f>
        <v>1</v>
      </c>
      <c r="E347"/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2957</v>
      </c>
      <c r="B348" t="s">
        <v>1932</v>
      </c>
      <c r="D348" t="b">
        <f>IFERROR(VLOOKUP(B348,PatData!$A$2:$A$2030,1,),"")&lt;&gt;""</f>
        <v>1</v>
      </c>
      <c r="E348"/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2958</v>
      </c>
      <c r="B349" t="s">
        <v>1933</v>
      </c>
      <c r="D349" t="b">
        <f>IFERROR(VLOOKUP(B349,PatData!$A$2:$A$2030,1,),"")&lt;&gt;""</f>
        <v>1</v>
      </c>
      <c r="E349"/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2959</v>
      </c>
      <c r="B350" t="s">
        <v>1934</v>
      </c>
      <c r="D350" t="b">
        <f>IFERROR(VLOOKUP(B350,PatData!$A$2:$A$2030,1,),"")&lt;&gt;""</f>
        <v>1</v>
      </c>
      <c r="E350"/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2960</v>
      </c>
      <c r="B351" t="s">
        <v>1935</v>
      </c>
      <c r="D351" t="b">
        <f>IFERROR(VLOOKUP(B351,PatData!$A$2:$A$2030,1,),"")&lt;&gt;""</f>
        <v>1</v>
      </c>
      <c r="E351"/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2961</v>
      </c>
      <c r="B352" t="s">
        <v>1936</v>
      </c>
      <c r="D352" t="b">
        <f>IFERROR(VLOOKUP(B352,PatData!$A$2:$A$2030,1,),"")&lt;&gt;""</f>
        <v>1</v>
      </c>
      <c r="E352"/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2962</v>
      </c>
      <c r="B353" t="s">
        <v>1937</v>
      </c>
      <c r="D353" t="b">
        <f>IFERROR(VLOOKUP(B353,PatData!$A$2:$A$2030,1,),"")&lt;&gt;""</f>
        <v>1</v>
      </c>
      <c r="E353"/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4591</v>
      </c>
      <c r="B354" t="s">
        <v>1938</v>
      </c>
      <c r="D354" t="b">
        <f>IFERROR(VLOOKUP(B354,PatData!$A$2:$A$2030,1,),"")&lt;&gt;""</f>
        <v>1</v>
      </c>
      <c r="E354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4592</v>
      </c>
      <c r="B355" t="s">
        <v>1939</v>
      </c>
      <c r="D355" t="b">
        <f>IFERROR(VLOOKUP(B355,PatData!$A$2:$A$2030,1,),"")&lt;&gt;""</f>
        <v>1</v>
      </c>
      <c r="E355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4593</v>
      </c>
      <c r="B356" t="s">
        <v>1940</v>
      </c>
      <c r="D356" t="b">
        <f>IFERROR(VLOOKUP(B356,PatData!$A$2:$A$2030,1,),"")&lt;&gt;""</f>
        <v>1</v>
      </c>
      <c r="E356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4594</v>
      </c>
      <c r="B357" t="s">
        <v>1941</v>
      </c>
      <c r="D357" t="b">
        <f>IFERROR(VLOOKUP(B357,PatData!$A$2:$A$2030,1,),"")&lt;&gt;""</f>
        <v>1</v>
      </c>
      <c r="E357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4595</v>
      </c>
      <c r="B358" t="s">
        <v>1942</v>
      </c>
      <c r="D358" t="b">
        <f>IFERROR(VLOOKUP(B358,PatData!$A$2:$A$2030,1,),"")&lt;&gt;""</f>
        <v>1</v>
      </c>
      <c r="E358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4596</v>
      </c>
      <c r="B359" t="s">
        <v>1943</v>
      </c>
      <c r="D359" t="b">
        <f>IFERROR(VLOOKUP(B359,PatData!$A$2:$A$2030,1,),"")&lt;&gt;""</f>
        <v>1</v>
      </c>
      <c r="E359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4597</v>
      </c>
      <c r="B360" t="s">
        <v>1944</v>
      </c>
      <c r="D360" t="b">
        <f>IFERROR(VLOOKUP(B360,PatData!$A$2:$A$2030,1,),"")&lt;&gt;""</f>
        <v>1</v>
      </c>
      <c r="E360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4598</v>
      </c>
      <c r="B361" t="s">
        <v>1945</v>
      </c>
      <c r="D361" t="b">
        <f>IFERROR(VLOOKUP(B361,PatData!$A$2:$A$2030,1,),"")&lt;&gt;""</f>
        <v>1</v>
      </c>
      <c r="E361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4599</v>
      </c>
      <c r="B362" t="s">
        <v>1946</v>
      </c>
      <c r="D362" t="b">
        <f>IFERROR(VLOOKUP(B362,PatData!$A$2:$A$2030,1,),"")&lt;&gt;""</f>
        <v>1</v>
      </c>
      <c r="E362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4600</v>
      </c>
      <c r="B363" t="s">
        <v>1947</v>
      </c>
      <c r="D363" t="b">
        <f>IFERROR(VLOOKUP(B363,PatData!$A$2:$A$2030,1,),"")&lt;&gt;""</f>
        <v>1</v>
      </c>
      <c r="E363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4601</v>
      </c>
      <c r="B364" t="s">
        <v>1948</v>
      </c>
      <c r="D364" t="b">
        <f>IFERROR(VLOOKUP(B364,PatData!$A$2:$A$2030,1,),"")&lt;&gt;""</f>
        <v>1</v>
      </c>
      <c r="E364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4602</v>
      </c>
      <c r="B365" t="s">
        <v>1949</v>
      </c>
      <c r="D365" t="b">
        <f>IFERROR(VLOOKUP(B365,PatData!$A$2:$A$2030,1,),"")&lt;&gt;""</f>
        <v>1</v>
      </c>
      <c r="E365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4603</v>
      </c>
      <c r="B366" t="s">
        <v>1950</v>
      </c>
      <c r="D366" t="b">
        <f>IFERROR(VLOOKUP(B366,PatData!$A$2:$A$2030,1,),"")&lt;&gt;""</f>
        <v>1</v>
      </c>
      <c r="E366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4604</v>
      </c>
      <c r="B367" t="s">
        <v>1951</v>
      </c>
      <c r="D367" t="b">
        <f>IFERROR(VLOOKUP(B367,PatData!$A$2:$A$2030,1,),"")&lt;&gt;""</f>
        <v>1</v>
      </c>
      <c r="E367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4605</v>
      </c>
      <c r="B368" t="s">
        <v>1952</v>
      </c>
      <c r="D368" t="b">
        <f>IFERROR(VLOOKUP(B368,PatData!$A$2:$A$2030,1,),"")&lt;&gt;""</f>
        <v>1</v>
      </c>
      <c r="E368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4606</v>
      </c>
      <c r="B369" t="s">
        <v>1953</v>
      </c>
      <c r="D369" t="b">
        <f>IFERROR(VLOOKUP(B369,PatData!$A$2:$A$2030,1,),"")&lt;&gt;""</f>
        <v>1</v>
      </c>
      <c r="E369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4607</v>
      </c>
      <c r="B370" t="s">
        <v>1954</v>
      </c>
      <c r="D370" t="b">
        <f>IFERROR(VLOOKUP(B370,PatData!$A$2:$A$2030,1,),"")&lt;&gt;""</f>
        <v>1</v>
      </c>
      <c r="E370">
        <v>0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4608</v>
      </c>
      <c r="B371" t="s">
        <v>1955</v>
      </c>
      <c r="D371" t="b">
        <f>IFERROR(VLOOKUP(B371,PatData!$A$2:$A$2030,1,),"")&lt;&gt;""</f>
        <v>1</v>
      </c>
      <c r="E371">
        <v>0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4609</v>
      </c>
      <c r="B372" t="s">
        <v>1956</v>
      </c>
      <c r="D372" t="b">
        <f>IFERROR(VLOOKUP(B372,PatData!$A$2:$A$2030,1,),"")&lt;&gt;""</f>
        <v>1</v>
      </c>
      <c r="E372">
        <v>0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4610</v>
      </c>
      <c r="B373" t="s">
        <v>1957</v>
      </c>
      <c r="D373" t="b">
        <f>IFERROR(VLOOKUP(B373,PatData!$A$2:$A$2030,1,),"")&lt;&gt;""</f>
        <v>1</v>
      </c>
      <c r="E373">
        <v>0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4611</v>
      </c>
      <c r="B374" t="s">
        <v>1958</v>
      </c>
      <c r="D374" t="b">
        <f>IFERROR(VLOOKUP(B374,PatData!$A$2:$A$2030,1,),"")&lt;&gt;""</f>
        <v>1</v>
      </c>
      <c r="E374">
        <v>0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4612</v>
      </c>
      <c r="B375" t="s">
        <v>1959</v>
      </c>
      <c r="D375" t="b">
        <f>IFERROR(VLOOKUP(B375,PatData!$A$2:$A$2030,1,),"")&lt;&gt;""</f>
        <v>1</v>
      </c>
      <c r="E375">
        <v>0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4613</v>
      </c>
      <c r="B376" t="s">
        <v>1960</v>
      </c>
      <c r="D376" t="b">
        <f>IFERROR(VLOOKUP(B376,PatData!$A$2:$A$2030,1,),"")&lt;&gt;""</f>
        <v>1</v>
      </c>
      <c r="E376">
        <v>0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4614</v>
      </c>
      <c r="B377" t="s">
        <v>1961</v>
      </c>
      <c r="D377" t="b">
        <f>IFERROR(VLOOKUP(B377,PatData!$A$2:$A$2030,1,),"")&lt;&gt;""</f>
        <v>1</v>
      </c>
      <c r="E377">
        <v>0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4615</v>
      </c>
      <c r="B378" t="s">
        <v>1962</v>
      </c>
      <c r="D378" t="b">
        <f>IFERROR(VLOOKUP(B378,PatData!$A$2:$A$2030,1,),"")&lt;&gt;""</f>
        <v>1</v>
      </c>
      <c r="E378">
        <v>0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4616</v>
      </c>
      <c r="B379" t="s">
        <v>1963</v>
      </c>
      <c r="D379" t="b">
        <f>IFERROR(VLOOKUP(B379,PatData!$A$2:$A$2030,1,),"")&lt;&gt;""</f>
        <v>1</v>
      </c>
      <c r="E379">
        <v>0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4617</v>
      </c>
      <c r="B380" t="s">
        <v>1964</v>
      </c>
      <c r="D380" t="b">
        <f>IFERROR(VLOOKUP(B380,PatData!$A$2:$A$2030,1,),"")&lt;&gt;""</f>
        <v>1</v>
      </c>
      <c r="E380">
        <v>0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4618</v>
      </c>
      <c r="B381" t="s">
        <v>1965</v>
      </c>
      <c r="D381" t="b">
        <f>IFERROR(VLOOKUP(B381,PatData!$A$2:$A$2030,1,),"")&lt;&gt;""</f>
        <v>1</v>
      </c>
      <c r="E381">
        <v>0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4619</v>
      </c>
      <c r="B382" t="s">
        <v>1966</v>
      </c>
      <c r="D382" t="b">
        <f>IFERROR(VLOOKUP(B382,PatData!$A$2:$A$2030,1,),"")&lt;&gt;""</f>
        <v>1</v>
      </c>
      <c r="E382">
        <v>0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4620</v>
      </c>
      <c r="B383" t="s">
        <v>1967</v>
      </c>
      <c r="D383" t="b">
        <f>IFERROR(VLOOKUP(B383,PatData!$A$2:$A$2030,1,),"")&lt;&gt;""</f>
        <v>1</v>
      </c>
      <c r="E383">
        <v>0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5384</v>
      </c>
      <c r="B384" t="s">
        <v>5385</v>
      </c>
      <c r="D384" t="b">
        <f>IFERROR(VLOOKUP(B384,PatData!$A$2:$A$2030,1,),"")&lt;&gt;""</f>
        <v>1</v>
      </c>
      <c r="E384">
        <v>0</v>
      </c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5386</v>
      </c>
      <c r="B385" t="s">
        <v>5387</v>
      </c>
      <c r="D385" t="b">
        <f>IFERROR(VLOOKUP(B385,PatData!$A$2:$A$2030,1,),"")&lt;&gt;""</f>
        <v>1</v>
      </c>
      <c r="E385">
        <v>0</v>
      </c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5388</v>
      </c>
      <c r="B386" t="s">
        <v>5389</v>
      </c>
      <c r="D386" t="b">
        <f>IFERROR(VLOOKUP(B386,PatData!$A$2:$A$2030,1,),"")&lt;&gt;""</f>
        <v>1</v>
      </c>
      <c r="E386">
        <v>0</v>
      </c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5390</v>
      </c>
      <c r="B387" t="s">
        <v>5391</v>
      </c>
      <c r="D387" t="b">
        <f>IFERROR(VLOOKUP(B387,PatData!$A$2:$A$2030,1,),"")&lt;&gt;""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5392</v>
      </c>
      <c r="B388" t="s">
        <v>5393</v>
      </c>
      <c r="D388" t="b">
        <f>IFERROR(VLOOKUP(B388,PatData!$A$2:$A$2030,1,),"")&lt;&gt;""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5394</v>
      </c>
      <c r="B389" t="s">
        <v>5395</v>
      </c>
      <c r="D389" t="b">
        <f>IFERROR(VLOOKUP(B389,PatData!$A$2:$A$2030,1,),"")&lt;&gt;""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5396</v>
      </c>
      <c r="B390" t="s">
        <v>5397</v>
      </c>
      <c r="D390" t="b">
        <f>IFERROR(VLOOKUP(B390,PatData!$A$2:$A$2030,1,),"")&lt;&gt;""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5398</v>
      </c>
      <c r="B391" t="s">
        <v>5399</v>
      </c>
      <c r="D391" t="b">
        <f>IFERROR(VLOOKUP(B391,PatData!$A$2:$A$2030,1,),"")&lt;&gt;""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5400</v>
      </c>
      <c r="B392" t="s">
        <v>5401</v>
      </c>
      <c r="D392" t="b">
        <f>IFERROR(VLOOKUP(B392,PatData!$A$2:$A$2030,1,),"")&lt;&gt;""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5402</v>
      </c>
      <c r="B393" t="s">
        <v>5403</v>
      </c>
      <c r="D393" t="b">
        <f>IFERROR(VLOOKUP(B393,PatData!$A$2:$A$2030,1,),"")&lt;&gt;""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5404</v>
      </c>
      <c r="B394" t="s">
        <v>5405</v>
      </c>
      <c r="D394" t="b">
        <f>IFERROR(VLOOKUP(B394,PatData!$A$2:$A$2030,1,),"")&lt;&gt;""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5406</v>
      </c>
      <c r="B395" t="s">
        <v>5407</v>
      </c>
      <c r="D395" t="b">
        <f>IFERROR(VLOOKUP(B395,PatData!$A$2:$A$2030,1,),"")&lt;&gt;""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5408</v>
      </c>
      <c r="B396" t="s">
        <v>5409</v>
      </c>
      <c r="D396" t="b">
        <f>IFERROR(VLOOKUP(B396,PatData!$A$2:$A$2030,1,),"")&lt;&gt;""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5410</v>
      </c>
      <c r="B397" t="s">
        <v>5411</v>
      </c>
      <c r="D397" t="b">
        <f>IFERROR(VLOOKUP(B397,PatData!$A$2:$A$2030,1,),"")&lt;&gt;""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5412</v>
      </c>
      <c r="B398" t="s">
        <v>5413</v>
      </c>
      <c r="D398" t="b">
        <f>IFERROR(VLOOKUP(B398,PatData!$A$2:$A$2030,1,),"")&lt;&gt;""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5414</v>
      </c>
      <c r="B399" t="s">
        <v>5415</v>
      </c>
      <c r="D399" t="b">
        <f>IFERROR(VLOOKUP(B399,PatData!$A$2:$A$2030,1,),"")&lt;&gt;""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5416</v>
      </c>
      <c r="B400" t="s">
        <v>5417</v>
      </c>
      <c r="D400" t="b">
        <f>IFERROR(VLOOKUP(B400,PatData!$A$2:$A$2030,1,),"")&lt;&gt;""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5418</v>
      </c>
      <c r="B401" t="s">
        <v>5419</v>
      </c>
      <c r="D401" t="b">
        <f>IFERROR(VLOOKUP(B401,PatData!$A$2:$A$2030,1,),"")&lt;&gt;""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5420</v>
      </c>
      <c r="B402" t="s">
        <v>5421</v>
      </c>
      <c r="D402" t="b">
        <f>IFERROR(VLOOKUP(B402,PatData!$A$2:$A$2030,1,),"")&lt;&gt;""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5422</v>
      </c>
      <c r="B403" t="s">
        <v>5423</v>
      </c>
      <c r="D403" t="b">
        <f>IFERROR(VLOOKUP(B403,PatData!$A$2:$A$2030,1,),"")&lt;&gt;""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5424</v>
      </c>
      <c r="B404" t="s">
        <v>5425</v>
      </c>
      <c r="D404" t="b">
        <f>IFERROR(VLOOKUP(B404,PatData!$A$2:$A$2030,1,),"")&lt;&gt;""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5426</v>
      </c>
      <c r="B405" t="s">
        <v>5427</v>
      </c>
      <c r="D405" t="b">
        <f>IFERROR(VLOOKUP(B405,PatData!$A$2:$A$2030,1,),"")&lt;&gt;""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5428</v>
      </c>
      <c r="B406" t="s">
        <v>5429</v>
      </c>
      <c r="D406" t="b">
        <f>IFERROR(VLOOKUP(B406,PatData!$A$2:$A$2030,1,),"")&lt;&gt;""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5430</v>
      </c>
      <c r="B407" t="s">
        <v>5431</v>
      </c>
      <c r="D407" t="b">
        <f>IFERROR(VLOOKUP(B407,PatData!$A$2:$A$2030,1,),"")&lt;&gt;""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5432</v>
      </c>
      <c r="B408" t="s">
        <v>5433</v>
      </c>
      <c r="D408" t="b">
        <f>IFERROR(VLOOKUP(B408,PatData!$A$2:$A$2030,1,),"")&lt;&gt;""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5434</v>
      </c>
      <c r="B409" t="s">
        <v>5435</v>
      </c>
      <c r="D409" t="b">
        <f>IFERROR(VLOOKUP(B409,PatData!$A$2:$A$2030,1,),"")&lt;&gt;""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5436</v>
      </c>
      <c r="B410" t="s">
        <v>5437</v>
      </c>
      <c r="D410" t="b">
        <f>IFERROR(VLOOKUP(B410,PatData!$A$2:$A$2030,1,),"")&lt;&gt;""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5438</v>
      </c>
      <c r="B411" t="s">
        <v>5439</v>
      </c>
      <c r="D411" t="b">
        <f>IFERROR(VLOOKUP(B411,PatData!$A$2:$A$2030,1,),"")&lt;&gt;""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5440</v>
      </c>
      <c r="B412" t="s">
        <v>5441</v>
      </c>
      <c r="D412" t="b">
        <f>IFERROR(VLOOKUP(B412,PatData!$A$2:$A$2030,1,),"")&lt;&gt;""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5442</v>
      </c>
      <c r="B413" t="s">
        <v>5443</v>
      </c>
      <c r="D413" t="b">
        <f>IFERROR(VLOOKUP(B413,PatData!$A$2:$A$2030,1,),"")&lt;&gt;""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5730</v>
      </c>
      <c r="B414" t="s">
        <v>5731</v>
      </c>
      <c r="D414" t="b">
        <f>IFERROR(VLOOKUP(B414,PatData!$A$2:$A$2030,1,),"")&lt;&gt;""</f>
        <v>1</v>
      </c>
      <c r="E414">
        <v>0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5732</v>
      </c>
      <c r="B415" t="s">
        <v>5733</v>
      </c>
      <c r="D415" t="b">
        <f>IFERROR(VLOOKUP(B415,PatData!$A$2:$A$2030,1,),"")&lt;&gt;""</f>
        <v>1</v>
      </c>
      <c r="E415">
        <v>0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5734</v>
      </c>
      <c r="B416" t="s">
        <v>5735</v>
      </c>
      <c r="D416" t="b">
        <f>IFERROR(VLOOKUP(B416,PatData!$A$2:$A$2030,1,),"")&lt;&gt;""</f>
        <v>1</v>
      </c>
      <c r="E416">
        <v>0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5736</v>
      </c>
      <c r="B417" t="s">
        <v>5737</v>
      </c>
      <c r="D417" t="b">
        <f>IFERROR(VLOOKUP(B417,PatData!$A$2:$A$2030,1,),"")&lt;&gt;""</f>
        <v>1</v>
      </c>
      <c r="E417"/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5738</v>
      </c>
      <c r="B418" t="s">
        <v>5739</v>
      </c>
      <c r="D418" t="b">
        <f>IFERROR(VLOOKUP(B418,PatData!$A$2:$A$2030,1,),"")&lt;&gt;""</f>
        <v>1</v>
      </c>
      <c r="E418"/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5740</v>
      </c>
      <c r="B419" t="s">
        <v>5741</v>
      </c>
      <c r="D419" t="b">
        <f>IFERROR(VLOOKUP(B419,PatData!$A$2:$A$2030,1,),"")&lt;&gt;""</f>
        <v>1</v>
      </c>
      <c r="E419"/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5742</v>
      </c>
      <c r="B420" t="s">
        <v>5743</v>
      </c>
      <c r="D420" t="b">
        <f>IFERROR(VLOOKUP(B420,PatData!$A$2:$A$2030,1,),"")&lt;&gt;""</f>
        <v>1</v>
      </c>
      <c r="E420"/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5744</v>
      </c>
      <c r="B421" t="s">
        <v>5745</v>
      </c>
      <c r="D421" t="b">
        <f>IFERROR(VLOOKUP(B421,PatData!$A$2:$A$2030,1,),"")&lt;&gt;""</f>
        <v>1</v>
      </c>
      <c r="E421"/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5746</v>
      </c>
      <c r="B422" t="s">
        <v>5747</v>
      </c>
      <c r="D422" t="b">
        <f>IFERROR(VLOOKUP(B422,PatData!$A$2:$A$2030,1,),"")&lt;&gt;""</f>
        <v>1</v>
      </c>
      <c r="E422"/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5748</v>
      </c>
      <c r="B423" t="s">
        <v>5749</v>
      </c>
      <c r="D423" t="b">
        <f>IFERROR(VLOOKUP(B423,PatData!$A$2:$A$2030,1,),"")&lt;&gt;""</f>
        <v>1</v>
      </c>
      <c r="E423"/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5750</v>
      </c>
      <c r="B424" t="s">
        <v>5751</v>
      </c>
      <c r="D424" t="b">
        <f>IFERROR(VLOOKUP(B424,PatData!$A$2:$A$2030,1,),"")&lt;&gt;""</f>
        <v>1</v>
      </c>
      <c r="E424"/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5752</v>
      </c>
      <c r="B425" t="s">
        <v>5753</v>
      </c>
      <c r="D425" t="b">
        <f>IFERROR(VLOOKUP(B425,PatData!$A$2:$A$2030,1,),"")&lt;&gt;""</f>
        <v>1</v>
      </c>
      <c r="E425"/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5754</v>
      </c>
      <c r="B426" t="s">
        <v>5755</v>
      </c>
      <c r="D426" t="b">
        <f>IFERROR(VLOOKUP(B426,PatData!$A$2:$A$2030,1,),"")&lt;&gt;""</f>
        <v>1</v>
      </c>
      <c r="E426"/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5756</v>
      </c>
      <c r="B427" t="s">
        <v>5757</v>
      </c>
      <c r="D427" t="b">
        <f>IFERROR(VLOOKUP(B427,PatData!$A$2:$A$2030,1,),"")&lt;&gt;""</f>
        <v>1</v>
      </c>
      <c r="E427"/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5758</v>
      </c>
      <c r="B428" t="s">
        <v>5759</v>
      </c>
      <c r="D428" t="b">
        <f>IFERROR(VLOOKUP(B428,PatData!$A$2:$A$2030,1,),"")&lt;&gt;""</f>
        <v>1</v>
      </c>
      <c r="E428"/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5760</v>
      </c>
      <c r="B429" t="s">
        <v>5761</v>
      </c>
      <c r="D429" t="b">
        <f>IFERROR(VLOOKUP(B429,PatData!$A$2:$A$2030,1,),"")&lt;&gt;""</f>
        <v>1</v>
      </c>
      <c r="E429"/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5762</v>
      </c>
      <c r="B430" t="s">
        <v>5763</v>
      </c>
      <c r="D430" t="b">
        <f>IFERROR(VLOOKUP(B430,PatData!$A$2:$A$2030,1,),"")&lt;&gt;""</f>
        <v>1</v>
      </c>
      <c r="E430"/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5764</v>
      </c>
      <c r="B431" t="s">
        <v>5765</v>
      </c>
      <c r="D431" t="b">
        <f>IFERROR(VLOOKUP(B431,PatData!$A$2:$A$2030,1,),"")&lt;&gt;""</f>
        <v>1</v>
      </c>
      <c r="E431"/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5766</v>
      </c>
      <c r="B432" t="s">
        <v>5767</v>
      </c>
      <c r="D432" t="b">
        <f>IFERROR(VLOOKUP(B432,PatData!$A$2:$A$2030,1,),"")&lt;&gt;""</f>
        <v>1</v>
      </c>
      <c r="E432"/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5768</v>
      </c>
      <c r="B433" t="s">
        <v>5769</v>
      </c>
      <c r="D433" t="b">
        <f>IFERROR(VLOOKUP(B433,PatData!$A$2:$A$2030,1,),"")&lt;&gt;""</f>
        <v>1</v>
      </c>
      <c r="E433"/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5770</v>
      </c>
      <c r="B434" t="s">
        <v>5771</v>
      </c>
      <c r="D434" t="b">
        <f>IFERROR(VLOOKUP(B434,PatData!$A$2:$A$2030,1,),"")&lt;&gt;""</f>
        <v>1</v>
      </c>
      <c r="E434"/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5772</v>
      </c>
      <c r="B435" t="s">
        <v>5773</v>
      </c>
      <c r="D435" t="b">
        <f>IFERROR(VLOOKUP(B435,PatData!$A$2:$A$2030,1,),"")&lt;&gt;""</f>
        <v>1</v>
      </c>
      <c r="E435"/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5774</v>
      </c>
      <c r="B436" t="s">
        <v>5775</v>
      </c>
      <c r="D436" t="b">
        <f>IFERROR(VLOOKUP(B436,PatData!$A$2:$A$2030,1,),"")&lt;&gt;""</f>
        <v>1</v>
      </c>
      <c r="E436"/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5776</v>
      </c>
      <c r="B437" t="s">
        <v>5777</v>
      </c>
      <c r="D437" t="b">
        <f>IFERROR(VLOOKUP(B437,PatData!$A$2:$A$2030,1,),"")&lt;&gt;""</f>
        <v>1</v>
      </c>
      <c r="E437"/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5778</v>
      </c>
      <c r="B438" t="s">
        <v>5779</v>
      </c>
      <c r="D438" t="b">
        <f>IFERROR(VLOOKUP(B438,PatData!$A$2:$A$2030,1,),"")&lt;&gt;""</f>
        <v>1</v>
      </c>
      <c r="E438"/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5780</v>
      </c>
      <c r="B439" t="s">
        <v>5781</v>
      </c>
      <c r="D439" t="b">
        <f>IFERROR(VLOOKUP(B439,PatData!$A$2:$A$2030,1,),"")&lt;&gt;""</f>
        <v>1</v>
      </c>
      <c r="E439"/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5782</v>
      </c>
      <c r="B440" t="s">
        <v>5783</v>
      </c>
      <c r="D440" t="b">
        <f>IFERROR(VLOOKUP(B440,PatData!$A$2:$A$2030,1,),"")&lt;&gt;""</f>
        <v>1</v>
      </c>
      <c r="E440"/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5784</v>
      </c>
      <c r="B441" t="s">
        <v>5785</v>
      </c>
      <c r="D441" t="b">
        <f>IFERROR(VLOOKUP(B441,PatData!$A$2:$A$2030,1,),"")&lt;&gt;""</f>
        <v>1</v>
      </c>
      <c r="E441"/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5786</v>
      </c>
      <c r="B442" t="s">
        <v>5787</v>
      </c>
      <c r="D442" t="b">
        <f>IFERROR(VLOOKUP(B442,PatData!$A$2:$A$2030,1,),"")&lt;&gt;""</f>
        <v>1</v>
      </c>
      <c r="E442"/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5788</v>
      </c>
      <c r="B443" t="s">
        <v>5789</v>
      </c>
      <c r="D443" t="b">
        <f>IFERROR(VLOOKUP(B443,PatData!$A$2:$A$2030,1,),"")&lt;&gt;""</f>
        <v>1</v>
      </c>
      <c r="E443"/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7813</v>
      </c>
      <c r="B444" t="s">
        <v>7814</v>
      </c>
      <c r="D444" t="b">
        <f>IFERROR(VLOOKUP(B444,PatData!$A$2:$A$2030,1,),"")&lt;&gt;""</f>
        <v>1</v>
      </c>
      <c r="E444"/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7815</v>
      </c>
      <c r="B445" t="s">
        <v>7816</v>
      </c>
      <c r="D445" t="b">
        <f>IFERROR(VLOOKUP(B445,PatData!$A$2:$A$2030,1,),"")&lt;&gt;""</f>
        <v>1</v>
      </c>
      <c r="E445"/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7817</v>
      </c>
      <c r="B446" t="s">
        <v>7818</v>
      </c>
      <c r="D446" t="b">
        <f>IFERROR(VLOOKUP(B446,PatData!$A$2:$A$2030,1,),"")&lt;&gt;""</f>
        <v>1</v>
      </c>
      <c r="E446"/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7819</v>
      </c>
      <c r="B447" t="s">
        <v>7820</v>
      </c>
      <c r="D447" t="b">
        <f>IFERROR(VLOOKUP(B447,PatData!$A$2:$A$2030,1,),"")&lt;&gt;""</f>
        <v>1</v>
      </c>
      <c r="E447"/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7821</v>
      </c>
      <c r="B448" t="s">
        <v>7822</v>
      </c>
      <c r="D448" t="b">
        <f>IFERROR(VLOOKUP(B448,PatData!$A$2:$A$2030,1,),"")&lt;&gt;""</f>
        <v>1</v>
      </c>
      <c r="E448"/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7823</v>
      </c>
      <c r="B449" t="s">
        <v>7824</v>
      </c>
      <c r="D449" t="b">
        <f>IFERROR(VLOOKUP(B449,PatData!$A$2:$A$2030,1,),"")&lt;&gt;""</f>
        <v>1</v>
      </c>
      <c r="E449"/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7825</v>
      </c>
      <c r="B450" t="s">
        <v>7826</v>
      </c>
      <c r="D450" t="b">
        <f>IFERROR(VLOOKUP(B450,PatData!$A$2:$A$2030,1,),"")&lt;&gt;""</f>
        <v>1</v>
      </c>
      <c r="E450"/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7827</v>
      </c>
      <c r="B451" t="s">
        <v>7828</v>
      </c>
      <c r="D451" t="b">
        <f>IFERROR(VLOOKUP(B451,PatData!$A$2:$A$2030,1,),"")&lt;&gt;""</f>
        <v>1</v>
      </c>
      <c r="E451"/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7829</v>
      </c>
      <c r="B452" t="s">
        <v>7830</v>
      </c>
      <c r="D452" t="b">
        <f>IFERROR(VLOOKUP(B452,PatData!$A$2:$A$2030,1,),"")&lt;&gt;""</f>
        <v>1</v>
      </c>
      <c r="E452"/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7831</v>
      </c>
      <c r="B453" t="s">
        <v>7832</v>
      </c>
      <c r="D453" t="b">
        <f>IFERROR(VLOOKUP(B453,PatData!$A$2:$A$2030,1,),"")&lt;&gt;""</f>
        <v>1</v>
      </c>
      <c r="E453"/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7833</v>
      </c>
      <c r="B454" t="s">
        <v>7834</v>
      </c>
      <c r="D454" t="b">
        <f>IFERROR(VLOOKUP(B454,PatData!$A$2:$A$2030,1,),"")&lt;&gt;""</f>
        <v>1</v>
      </c>
      <c r="E454"/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7835</v>
      </c>
      <c r="B455" t="s">
        <v>7836</v>
      </c>
      <c r="D455" t="b">
        <f>IFERROR(VLOOKUP(B455,PatData!$A$2:$A$2030,1,),"")&lt;&gt;""</f>
        <v>1</v>
      </c>
      <c r="E455"/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7837</v>
      </c>
      <c r="B456" t="s">
        <v>7838</v>
      </c>
      <c r="D456" t="b">
        <f>IFERROR(VLOOKUP(B456,PatData!$A$2:$A$2030,1,),"")&lt;&gt;""</f>
        <v>1</v>
      </c>
      <c r="E456"/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7839</v>
      </c>
      <c r="B457" t="s">
        <v>7840</v>
      </c>
      <c r="D457" t="b">
        <f>IFERROR(VLOOKUP(B457,PatData!$A$2:$A$2030,1,),"")&lt;&gt;""</f>
        <v>1</v>
      </c>
      <c r="E457"/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7841</v>
      </c>
      <c r="B458" t="s">
        <v>7842</v>
      </c>
      <c r="D458" t="b">
        <f>IFERROR(VLOOKUP(B458,PatData!$A$2:$A$2030,1,),"")&lt;&gt;""</f>
        <v>1</v>
      </c>
      <c r="E458"/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7843</v>
      </c>
      <c r="B459" t="s">
        <v>7844</v>
      </c>
      <c r="D459" t="b">
        <f>IFERROR(VLOOKUP(B459,PatData!$A$2:$A$2030,1,),"")&lt;&gt;""</f>
        <v>1</v>
      </c>
      <c r="E459"/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7845</v>
      </c>
      <c r="B460" t="s">
        <v>7846</v>
      </c>
      <c r="D460" t="b">
        <f>IFERROR(VLOOKUP(B460,PatData!$A$2:$A$2030,1,),"")&lt;&gt;""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7847</v>
      </c>
      <c r="B461" t="s">
        <v>7848</v>
      </c>
      <c r="D461" t="b">
        <f>IFERROR(VLOOKUP(B461,PatData!$A$2:$A$2030,1,),"")&lt;&gt;""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7849</v>
      </c>
      <c r="B462" t="s">
        <v>7850</v>
      </c>
      <c r="D462" t="b">
        <f>IFERROR(VLOOKUP(B462,PatData!$A$2:$A$2030,1,),"")&lt;&gt;""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7851</v>
      </c>
      <c r="B463" t="s">
        <v>7852</v>
      </c>
      <c r="D463" t="b">
        <f>IFERROR(VLOOKUP(B463,PatData!$A$2:$A$2030,1,),"")&lt;&gt;""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7853</v>
      </c>
      <c r="B464" t="s">
        <v>7854</v>
      </c>
      <c r="D464" t="b">
        <f>IFERROR(VLOOKUP(B464,PatData!$A$2:$A$2030,1,),"")&lt;&gt;""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7855</v>
      </c>
      <c r="B465" t="s">
        <v>7856</v>
      </c>
      <c r="D465" t="b">
        <f>IFERROR(VLOOKUP(B465,PatData!$A$2:$A$2030,1,),"")&lt;&gt;""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7857</v>
      </c>
      <c r="B466" t="s">
        <v>7858</v>
      </c>
      <c r="D466" t="b">
        <f>IFERROR(VLOOKUP(B466,PatData!$A$2:$A$2030,1,),"")&lt;&gt;""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7859</v>
      </c>
      <c r="B467" t="s">
        <v>7860</v>
      </c>
      <c r="D467" t="b">
        <f>IFERROR(VLOOKUP(B467,PatData!$A$2:$A$2030,1,),"")&lt;&gt;""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7861</v>
      </c>
      <c r="B468" t="s">
        <v>7862</v>
      </c>
      <c r="D468" t="b">
        <f>IFERROR(VLOOKUP(B468,PatData!$A$2:$A$2030,1,),"")&lt;&gt;""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7863</v>
      </c>
      <c r="B469" t="s">
        <v>7864</v>
      </c>
      <c r="D469" t="b">
        <f>IFERROR(VLOOKUP(B469,PatData!$A$2:$A$2030,1,),"")&lt;&gt;""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7865</v>
      </c>
      <c r="B470" t="s">
        <v>7866</v>
      </c>
      <c r="D470" t="b">
        <f>IFERROR(VLOOKUP(B470,PatData!$A$2:$A$2030,1,),"")&lt;&gt;""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7867</v>
      </c>
      <c r="B471" t="s">
        <v>7868</v>
      </c>
      <c r="D471" t="b">
        <f>IFERROR(VLOOKUP(B471,PatData!$A$2:$A$2030,1,),"")&lt;&gt;""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7869</v>
      </c>
      <c r="B472" t="s">
        <v>7870</v>
      </c>
      <c r="D472" t="b">
        <f>IFERROR(VLOOKUP(B472,PatData!$A$2:$A$2030,1,),"")&lt;&gt;""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7871</v>
      </c>
      <c r="B473" t="s">
        <v>7872</v>
      </c>
      <c r="D473" t="b">
        <f>IFERROR(VLOOKUP(B473,PatData!$A$2:$A$2030,1,),"")&lt;&gt;""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5444</v>
      </c>
      <c r="B474" t="s">
        <v>5445</v>
      </c>
      <c r="D474" t="b">
        <f>IFERROR(VLOOKUP(B474,PatData!$A$2:$A$2030,1,),"")&lt;&gt;""</f>
        <v>1</v>
      </c>
      <c r="E474">
        <v>0</v>
      </c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5446</v>
      </c>
      <c r="B475" t="s">
        <v>5447</v>
      </c>
      <c r="D475" t="b">
        <f>IFERROR(VLOOKUP(B475,PatData!$A$2:$A$2030,1,),"")&lt;&gt;""</f>
        <v>1</v>
      </c>
      <c r="E475">
        <v>0</v>
      </c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5448</v>
      </c>
      <c r="B476" t="s">
        <v>5449</v>
      </c>
      <c r="D476" t="b">
        <f>IFERROR(VLOOKUP(B476,PatData!$A$2:$A$2030,1,),"")&lt;&gt;""</f>
        <v>1</v>
      </c>
      <c r="E476">
        <v>0</v>
      </c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5450</v>
      </c>
      <c r="B477" t="s">
        <v>5451</v>
      </c>
      <c r="D477" t="b">
        <f>IFERROR(VLOOKUP(B477,PatData!$A$2:$A$2030,1,),"")&lt;&gt;""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5452</v>
      </c>
      <c r="B478" t="s">
        <v>5453</v>
      </c>
      <c r="D478" t="b">
        <f>IFERROR(VLOOKUP(B478,PatData!$A$2:$A$2030,1,),"")&lt;&gt;""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5454</v>
      </c>
      <c r="B479" t="s">
        <v>5455</v>
      </c>
      <c r="D479" t="b">
        <f>IFERROR(VLOOKUP(B479,PatData!$A$2:$A$2030,1,),"")&lt;&gt;""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5456</v>
      </c>
      <c r="B480" t="s">
        <v>5457</v>
      </c>
      <c r="D480" t="b">
        <f>IFERROR(VLOOKUP(B480,PatData!$A$2:$A$2030,1,),"")&lt;&gt;""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5458</v>
      </c>
      <c r="B481" t="s">
        <v>5459</v>
      </c>
      <c r="D481" t="b">
        <f>IFERROR(VLOOKUP(B481,PatData!$A$2:$A$2030,1,),"")&lt;&gt;""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5460</v>
      </c>
      <c r="B482" t="s">
        <v>5461</v>
      </c>
      <c r="D482" t="b">
        <f>IFERROR(VLOOKUP(B482,PatData!$A$2:$A$2030,1,),"")&lt;&gt;""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5462</v>
      </c>
      <c r="B483" t="s">
        <v>5463</v>
      </c>
      <c r="D483" t="b">
        <f>IFERROR(VLOOKUP(B483,PatData!$A$2:$A$2030,1,),"")&lt;&gt;""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5464</v>
      </c>
      <c r="B484" t="s">
        <v>5465</v>
      </c>
      <c r="D484" t="b">
        <f>IFERROR(VLOOKUP(B484,PatData!$A$2:$A$2030,1,),"")&lt;&gt;""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5466</v>
      </c>
      <c r="B485" t="s">
        <v>5467</v>
      </c>
      <c r="D485" t="b">
        <f>IFERROR(VLOOKUP(B485,PatData!$A$2:$A$2030,1,),"")&lt;&gt;""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5468</v>
      </c>
      <c r="B486" t="s">
        <v>5469</v>
      </c>
      <c r="D486" t="b">
        <f>IFERROR(VLOOKUP(B486,PatData!$A$2:$A$2030,1,),"")&lt;&gt;""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5470</v>
      </c>
      <c r="B487" t="s">
        <v>5471</v>
      </c>
      <c r="D487" t="b">
        <f>IFERROR(VLOOKUP(B487,PatData!$A$2:$A$2030,1,),"")&lt;&gt;""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5472</v>
      </c>
      <c r="B488" t="s">
        <v>5473</v>
      </c>
      <c r="D488" t="b">
        <f>IFERROR(VLOOKUP(B488,PatData!$A$2:$A$2030,1,),"")&lt;&gt;""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5474</v>
      </c>
      <c r="B489" t="s">
        <v>5475</v>
      </c>
      <c r="D489" t="b">
        <f>IFERROR(VLOOKUP(B489,PatData!$A$2:$A$2030,1,),"")&lt;&gt;""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5476</v>
      </c>
      <c r="B490" t="s">
        <v>5477</v>
      </c>
      <c r="D490" t="b">
        <f>IFERROR(VLOOKUP(B490,PatData!$A$2:$A$2030,1,),"")&lt;&gt;""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5478</v>
      </c>
      <c r="B491" t="s">
        <v>5479</v>
      </c>
      <c r="D491" t="b">
        <f>IFERROR(VLOOKUP(B491,PatData!$A$2:$A$2030,1,),"")&lt;&gt;""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5480</v>
      </c>
      <c r="B492" t="s">
        <v>5481</v>
      </c>
      <c r="D492" t="b">
        <f>IFERROR(VLOOKUP(B492,PatData!$A$2:$A$2030,1,),"")&lt;&gt;""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5482</v>
      </c>
      <c r="B493" t="s">
        <v>5483</v>
      </c>
      <c r="D493" t="b">
        <f>IFERROR(VLOOKUP(B493,PatData!$A$2:$A$2030,1,),"")&lt;&gt;""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5484</v>
      </c>
      <c r="B494" t="s">
        <v>5485</v>
      </c>
      <c r="D494" t="b">
        <f>IFERROR(VLOOKUP(B494,PatData!$A$2:$A$2030,1,),"")&lt;&gt;""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5486</v>
      </c>
      <c r="B495" t="s">
        <v>5487</v>
      </c>
      <c r="D495" t="b">
        <f>IFERROR(VLOOKUP(B495,PatData!$A$2:$A$2030,1,),"")&lt;&gt;""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5488</v>
      </c>
      <c r="B496" t="s">
        <v>5489</v>
      </c>
      <c r="D496" t="b">
        <f>IFERROR(VLOOKUP(B496,PatData!$A$2:$A$2030,1,),"")&lt;&gt;""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5490</v>
      </c>
      <c r="B497" t="s">
        <v>5491</v>
      </c>
      <c r="D497" t="b">
        <f>IFERROR(VLOOKUP(B497,PatData!$A$2:$A$2030,1,),"")&lt;&gt;""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5492</v>
      </c>
      <c r="B498" t="s">
        <v>5493</v>
      </c>
      <c r="D498" t="b">
        <f>IFERROR(VLOOKUP(B498,PatData!$A$2:$A$2030,1,),"")&lt;&gt;""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5494</v>
      </c>
      <c r="B499" t="s">
        <v>5495</v>
      </c>
      <c r="D499" t="b">
        <f>IFERROR(VLOOKUP(B499,PatData!$A$2:$A$2030,1,),"")&lt;&gt;""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5496</v>
      </c>
      <c r="B500" t="s">
        <v>5497</v>
      </c>
      <c r="D500" t="b">
        <f>IFERROR(VLOOKUP(B500,PatData!$A$2:$A$2030,1,),"")&lt;&gt;""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5498</v>
      </c>
      <c r="B501" t="s">
        <v>5499</v>
      </c>
      <c r="D501" t="b">
        <f>IFERROR(VLOOKUP(B501,PatData!$A$2:$A$2030,1,),"")&lt;&gt;""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5500</v>
      </c>
      <c r="B502" t="s">
        <v>5501</v>
      </c>
      <c r="D502" t="b">
        <f>IFERROR(VLOOKUP(B502,PatData!$A$2:$A$2030,1,),"")&lt;&gt;""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5502</v>
      </c>
      <c r="B503" t="s">
        <v>5503</v>
      </c>
      <c r="D503" t="b">
        <f>IFERROR(VLOOKUP(B503,PatData!$A$2:$A$2030,1,),"")&lt;&gt;""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5790</v>
      </c>
      <c r="B504" t="s">
        <v>5791</v>
      </c>
      <c r="D504" t="b">
        <f>IFERROR(VLOOKUP(B504,PatData!$A$2:$A$2030,1,),"")&lt;&gt;""</f>
        <v>1</v>
      </c>
      <c r="E504">
        <v>100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5792</v>
      </c>
      <c r="B505" t="s">
        <v>5793</v>
      </c>
      <c r="D505" t="b">
        <f>IFERROR(VLOOKUP(B505,PatData!$A$2:$A$2030,1,),"")&lt;&gt;""</f>
        <v>1</v>
      </c>
      <c r="E505">
        <v>3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5794</v>
      </c>
      <c r="B506" t="s">
        <v>5795</v>
      </c>
      <c r="D506" t="b">
        <f>IFERROR(VLOOKUP(B506,PatData!$A$2:$A$2030,1,),"")&lt;&gt;""</f>
        <v>1</v>
      </c>
      <c r="E506">
        <v>0.6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5796</v>
      </c>
      <c r="B507" t="s">
        <v>5797</v>
      </c>
      <c r="D507" t="b">
        <f>IFERROR(VLOOKUP(B507,PatData!$A$2:$A$2030,1,),"")&lt;&gt;""</f>
        <v>1</v>
      </c>
      <c r="E507"/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5798</v>
      </c>
      <c r="B508" t="s">
        <v>5799</v>
      </c>
      <c r="D508" t="b">
        <f>IFERROR(VLOOKUP(B508,PatData!$A$2:$A$2030,1,),"")&lt;&gt;""</f>
        <v>1</v>
      </c>
      <c r="E508"/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5800</v>
      </c>
      <c r="B509" t="s">
        <v>5801</v>
      </c>
      <c r="D509" t="b">
        <f>IFERROR(VLOOKUP(B509,PatData!$A$2:$A$2030,1,),"")&lt;&gt;""</f>
        <v>1</v>
      </c>
      <c r="E509"/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5802</v>
      </c>
      <c r="B510" t="s">
        <v>5803</v>
      </c>
      <c r="D510" t="b">
        <f>IFERROR(VLOOKUP(B510,PatData!$A$2:$A$2030,1,),"")&lt;&gt;""</f>
        <v>1</v>
      </c>
      <c r="E510"/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5804</v>
      </c>
      <c r="B511" t="s">
        <v>5805</v>
      </c>
      <c r="D511" t="b">
        <f>IFERROR(VLOOKUP(B511,PatData!$A$2:$A$2030,1,),"")&lt;&gt;""</f>
        <v>1</v>
      </c>
      <c r="E511"/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5806</v>
      </c>
      <c r="B512" t="s">
        <v>5807</v>
      </c>
      <c r="D512" t="b">
        <f>IFERROR(VLOOKUP(B512,PatData!$A$2:$A$2030,1,),"")&lt;&gt;""</f>
        <v>1</v>
      </c>
      <c r="E512"/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5808</v>
      </c>
      <c r="B513" t="s">
        <v>5809</v>
      </c>
      <c r="D513" t="b">
        <f>IFERROR(VLOOKUP(B513,PatData!$A$2:$A$2030,1,),"")&lt;&gt;""</f>
        <v>1</v>
      </c>
      <c r="E513"/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5810</v>
      </c>
      <c r="B514" t="s">
        <v>5811</v>
      </c>
      <c r="D514" t="b">
        <f>IFERROR(VLOOKUP(B514,PatData!$A$2:$A$2030,1,),"")&lt;&gt;""</f>
        <v>1</v>
      </c>
      <c r="E514"/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5812</v>
      </c>
      <c r="B515" t="s">
        <v>5813</v>
      </c>
      <c r="D515" t="b">
        <f>IFERROR(VLOOKUP(B515,PatData!$A$2:$A$2030,1,),"")&lt;&gt;""</f>
        <v>1</v>
      </c>
      <c r="E515"/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5814</v>
      </c>
      <c r="B516" t="s">
        <v>5815</v>
      </c>
      <c r="D516" t="b">
        <f>IFERROR(VLOOKUP(B516,PatData!$A$2:$A$2030,1,),"")&lt;&gt;""</f>
        <v>1</v>
      </c>
      <c r="E516"/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5816</v>
      </c>
      <c r="B517" t="s">
        <v>5817</v>
      </c>
      <c r="D517" t="b">
        <f>IFERROR(VLOOKUP(B517,PatData!$A$2:$A$2030,1,),"")&lt;&gt;""</f>
        <v>1</v>
      </c>
      <c r="E517"/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5818</v>
      </c>
      <c r="B518" t="s">
        <v>5819</v>
      </c>
      <c r="D518" t="b">
        <f>IFERROR(VLOOKUP(B518,PatData!$A$2:$A$2030,1,),"")&lt;&gt;""</f>
        <v>1</v>
      </c>
      <c r="E518"/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5820</v>
      </c>
      <c r="B519" t="s">
        <v>5821</v>
      </c>
      <c r="D519" t="b">
        <f>IFERROR(VLOOKUP(B519,PatData!$A$2:$A$2030,1,),"")&lt;&gt;""</f>
        <v>1</v>
      </c>
      <c r="E519"/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5822</v>
      </c>
      <c r="B520" t="s">
        <v>5823</v>
      </c>
      <c r="D520" t="b">
        <f>IFERROR(VLOOKUP(B520,PatData!$A$2:$A$2030,1,),"")&lt;&gt;""</f>
        <v>1</v>
      </c>
      <c r="E520"/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5824</v>
      </c>
      <c r="B521" t="s">
        <v>5825</v>
      </c>
      <c r="D521" t="b">
        <f>IFERROR(VLOOKUP(B521,PatData!$A$2:$A$2030,1,),"")&lt;&gt;""</f>
        <v>1</v>
      </c>
      <c r="E521"/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5826</v>
      </c>
      <c r="B522" t="s">
        <v>5827</v>
      </c>
      <c r="D522" t="b">
        <f>IFERROR(VLOOKUP(B522,PatData!$A$2:$A$2030,1,),"")&lt;&gt;""</f>
        <v>1</v>
      </c>
      <c r="E522"/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5828</v>
      </c>
      <c r="B523" t="s">
        <v>5829</v>
      </c>
      <c r="D523" t="b">
        <f>IFERROR(VLOOKUP(B523,PatData!$A$2:$A$2030,1,),"")&lt;&gt;""</f>
        <v>1</v>
      </c>
      <c r="E523"/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5830</v>
      </c>
      <c r="B524" t="s">
        <v>5831</v>
      </c>
      <c r="D524" t="b">
        <f>IFERROR(VLOOKUP(B524,PatData!$A$2:$A$2030,1,),"")&lt;&gt;""</f>
        <v>1</v>
      </c>
      <c r="E524"/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5832</v>
      </c>
      <c r="B525" t="s">
        <v>5833</v>
      </c>
      <c r="D525" t="b">
        <f>IFERROR(VLOOKUP(B525,PatData!$A$2:$A$2030,1,),"")&lt;&gt;""</f>
        <v>1</v>
      </c>
      <c r="E525"/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5834</v>
      </c>
      <c r="B526" t="s">
        <v>5835</v>
      </c>
      <c r="D526" t="b">
        <f>IFERROR(VLOOKUP(B526,PatData!$A$2:$A$2030,1,),"")&lt;&gt;""</f>
        <v>1</v>
      </c>
      <c r="E526"/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5836</v>
      </c>
      <c r="B527" t="s">
        <v>5837</v>
      </c>
      <c r="D527" t="b">
        <f>IFERROR(VLOOKUP(B527,PatData!$A$2:$A$2030,1,),"")&lt;&gt;""</f>
        <v>1</v>
      </c>
      <c r="E527"/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5838</v>
      </c>
      <c r="B528" t="s">
        <v>5839</v>
      </c>
      <c r="D528" t="b">
        <f>IFERROR(VLOOKUP(B528,PatData!$A$2:$A$2030,1,),"")&lt;&gt;""</f>
        <v>1</v>
      </c>
      <c r="E528"/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5840</v>
      </c>
      <c r="B529" t="s">
        <v>5841</v>
      </c>
      <c r="D529" t="b">
        <f>IFERROR(VLOOKUP(B529,PatData!$A$2:$A$2030,1,),"")&lt;&gt;""</f>
        <v>1</v>
      </c>
      <c r="E529"/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5842</v>
      </c>
      <c r="B530" t="s">
        <v>5843</v>
      </c>
      <c r="D530" t="b">
        <f>IFERROR(VLOOKUP(B530,PatData!$A$2:$A$2030,1,),"")&lt;&gt;""</f>
        <v>1</v>
      </c>
      <c r="E530"/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5844</v>
      </c>
      <c r="B531" t="s">
        <v>5845</v>
      </c>
      <c r="D531" t="b">
        <f>IFERROR(VLOOKUP(B531,PatData!$A$2:$A$2030,1,),"")&lt;&gt;""</f>
        <v>1</v>
      </c>
      <c r="E531"/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5846</v>
      </c>
      <c r="B532" t="s">
        <v>5847</v>
      </c>
      <c r="D532" t="b">
        <f>IFERROR(VLOOKUP(B532,PatData!$A$2:$A$2030,1,),"")&lt;&gt;""</f>
        <v>1</v>
      </c>
      <c r="E532"/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5848</v>
      </c>
      <c r="B533" t="s">
        <v>5849</v>
      </c>
      <c r="D533" t="b">
        <f>IFERROR(VLOOKUP(B533,PatData!$A$2:$A$2030,1,),"")&lt;&gt;""</f>
        <v>1</v>
      </c>
      <c r="E533"/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5504</v>
      </c>
      <c r="B534" t="s">
        <v>5505</v>
      </c>
      <c r="D534" t="b">
        <f>IFERROR(VLOOKUP(B534,PatData!$A$2:$A$2030,1,),"")&lt;&gt;""</f>
        <v>1</v>
      </c>
      <c r="E534">
        <v>0</v>
      </c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5506</v>
      </c>
      <c r="B535" t="s">
        <v>5507</v>
      </c>
      <c r="D535" t="b">
        <f>IFERROR(VLOOKUP(B535,PatData!$A$2:$A$2030,1,),"")&lt;&gt;""</f>
        <v>1</v>
      </c>
      <c r="E535">
        <v>0</v>
      </c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5508</v>
      </c>
      <c r="B536" t="s">
        <v>5509</v>
      </c>
      <c r="D536" t="b">
        <f>IFERROR(VLOOKUP(B536,PatData!$A$2:$A$2030,1,),"")&lt;&gt;""</f>
        <v>1</v>
      </c>
      <c r="E536">
        <v>0</v>
      </c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5510</v>
      </c>
      <c r="B537" t="s">
        <v>5511</v>
      </c>
      <c r="D537" t="b">
        <f>IFERROR(VLOOKUP(B537,PatData!$A$2:$A$2030,1,),"")&lt;&gt;""</f>
        <v>1</v>
      </c>
      <c r="E537"/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5512</v>
      </c>
      <c r="B538" t="s">
        <v>5513</v>
      </c>
      <c r="D538" t="b">
        <f>IFERROR(VLOOKUP(B538,PatData!$A$2:$A$2030,1,),"")&lt;&gt;""</f>
        <v>1</v>
      </c>
      <c r="E538"/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5514</v>
      </c>
      <c r="B539" t="s">
        <v>5515</v>
      </c>
      <c r="D539" t="b">
        <f>IFERROR(VLOOKUP(B539,PatData!$A$2:$A$2030,1,),"")&lt;&gt;""</f>
        <v>1</v>
      </c>
      <c r="E539"/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5516</v>
      </c>
      <c r="B540" t="s">
        <v>5517</v>
      </c>
      <c r="D540" t="b">
        <f>IFERROR(VLOOKUP(B540,PatData!$A$2:$A$2030,1,),"")&lt;&gt;""</f>
        <v>1</v>
      </c>
      <c r="E540"/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5518</v>
      </c>
      <c r="B541" t="s">
        <v>5519</v>
      </c>
      <c r="D541" t="b">
        <f>IFERROR(VLOOKUP(B541,PatData!$A$2:$A$2030,1,),"")&lt;&gt;""</f>
        <v>1</v>
      </c>
      <c r="E541"/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5520</v>
      </c>
      <c r="B542" t="s">
        <v>5521</v>
      </c>
      <c r="D542" t="b">
        <f>IFERROR(VLOOKUP(B542,PatData!$A$2:$A$2030,1,),"")&lt;&gt;""</f>
        <v>1</v>
      </c>
      <c r="E542"/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5522</v>
      </c>
      <c r="B543" t="s">
        <v>5523</v>
      </c>
      <c r="D543" t="b">
        <f>IFERROR(VLOOKUP(B543,PatData!$A$2:$A$2030,1,),"")&lt;&gt;""</f>
        <v>1</v>
      </c>
      <c r="E543"/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5524</v>
      </c>
      <c r="B544" t="s">
        <v>5525</v>
      </c>
      <c r="D544" t="b">
        <f>IFERROR(VLOOKUP(B544,PatData!$A$2:$A$2030,1,),"")&lt;&gt;""</f>
        <v>1</v>
      </c>
      <c r="E544"/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5526</v>
      </c>
      <c r="B545" t="s">
        <v>5527</v>
      </c>
      <c r="D545" t="b">
        <f>IFERROR(VLOOKUP(B545,PatData!$A$2:$A$2030,1,),"")&lt;&gt;""</f>
        <v>1</v>
      </c>
      <c r="E545"/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5528</v>
      </c>
      <c r="B546" t="s">
        <v>5529</v>
      </c>
      <c r="D546" t="b">
        <f>IFERROR(VLOOKUP(B546,PatData!$A$2:$A$2030,1,),"")&lt;&gt;""</f>
        <v>1</v>
      </c>
      <c r="E546"/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5530</v>
      </c>
      <c r="B547" t="s">
        <v>5531</v>
      </c>
      <c r="D547" t="b">
        <f>IFERROR(VLOOKUP(B547,PatData!$A$2:$A$2030,1,),"")&lt;&gt;""</f>
        <v>1</v>
      </c>
      <c r="E547"/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5532</v>
      </c>
      <c r="B548" t="s">
        <v>5533</v>
      </c>
      <c r="D548" t="b">
        <f>IFERROR(VLOOKUP(B548,PatData!$A$2:$A$2030,1,),"")&lt;&gt;""</f>
        <v>1</v>
      </c>
      <c r="E548"/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5534</v>
      </c>
      <c r="B549" t="s">
        <v>5535</v>
      </c>
      <c r="D549" t="b">
        <f>IFERROR(VLOOKUP(B549,PatData!$A$2:$A$2030,1,),"")&lt;&gt;""</f>
        <v>1</v>
      </c>
      <c r="E549"/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5536</v>
      </c>
      <c r="B550" t="s">
        <v>5537</v>
      </c>
      <c r="D550" t="b">
        <f>IFERROR(VLOOKUP(B550,PatData!$A$2:$A$2030,1,),"")&lt;&gt;""</f>
        <v>1</v>
      </c>
      <c r="E550"/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5538</v>
      </c>
      <c r="B551" t="s">
        <v>5539</v>
      </c>
      <c r="D551" t="b">
        <f>IFERROR(VLOOKUP(B551,PatData!$A$2:$A$2030,1,),"")&lt;&gt;""</f>
        <v>1</v>
      </c>
      <c r="E551"/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5540</v>
      </c>
      <c r="B552" t="s">
        <v>5541</v>
      </c>
      <c r="D552" t="b">
        <f>IFERROR(VLOOKUP(B552,PatData!$A$2:$A$2030,1,),"")&lt;&gt;""</f>
        <v>1</v>
      </c>
      <c r="E552"/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5542</v>
      </c>
      <c r="B553" t="s">
        <v>5543</v>
      </c>
      <c r="D553" t="b">
        <f>IFERROR(VLOOKUP(B553,PatData!$A$2:$A$2030,1,),"")&lt;&gt;""</f>
        <v>1</v>
      </c>
      <c r="E553"/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5544</v>
      </c>
      <c r="B554" t="s">
        <v>5545</v>
      </c>
      <c r="D554" t="b">
        <f>IFERROR(VLOOKUP(B554,PatData!$A$2:$A$2030,1,),"")&lt;&gt;""</f>
        <v>1</v>
      </c>
      <c r="E554"/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5546</v>
      </c>
      <c r="B555" t="s">
        <v>5547</v>
      </c>
      <c r="D555" t="b">
        <f>IFERROR(VLOOKUP(B555,PatData!$A$2:$A$2030,1,),"")&lt;&gt;""</f>
        <v>1</v>
      </c>
      <c r="E555"/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5548</v>
      </c>
      <c r="B556" t="s">
        <v>5549</v>
      </c>
      <c r="D556" t="b">
        <f>IFERROR(VLOOKUP(B556,PatData!$A$2:$A$2030,1,),"")&lt;&gt;""</f>
        <v>1</v>
      </c>
      <c r="E556"/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5550</v>
      </c>
      <c r="B557" t="s">
        <v>5551</v>
      </c>
      <c r="D557" t="b">
        <f>IFERROR(VLOOKUP(B557,PatData!$A$2:$A$2030,1,),"")&lt;&gt;""</f>
        <v>1</v>
      </c>
      <c r="E557"/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5552</v>
      </c>
      <c r="B558" t="s">
        <v>5553</v>
      </c>
      <c r="D558" t="b">
        <f>IFERROR(VLOOKUP(B558,PatData!$A$2:$A$2030,1,),"")&lt;&gt;""</f>
        <v>1</v>
      </c>
      <c r="E558"/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5554</v>
      </c>
      <c r="B559" t="s">
        <v>5555</v>
      </c>
      <c r="D559" t="b">
        <f>IFERROR(VLOOKUP(B559,PatData!$A$2:$A$2030,1,),"")&lt;&gt;""</f>
        <v>1</v>
      </c>
      <c r="E559"/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5556</v>
      </c>
      <c r="B560" t="s">
        <v>5557</v>
      </c>
      <c r="D560" t="b">
        <f>IFERROR(VLOOKUP(B560,PatData!$A$2:$A$2030,1,),"")&lt;&gt;""</f>
        <v>1</v>
      </c>
      <c r="E560"/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5558</v>
      </c>
      <c r="B561" t="s">
        <v>5559</v>
      </c>
      <c r="D561" t="b">
        <f>IFERROR(VLOOKUP(B561,PatData!$A$2:$A$2030,1,),"")&lt;&gt;""</f>
        <v>1</v>
      </c>
      <c r="E561"/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5560</v>
      </c>
      <c r="B562" t="s">
        <v>5561</v>
      </c>
      <c r="D562" t="b">
        <f>IFERROR(VLOOKUP(B562,PatData!$A$2:$A$2030,1,),"")&lt;&gt;""</f>
        <v>1</v>
      </c>
      <c r="E562"/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5562</v>
      </c>
      <c r="B563" t="s">
        <v>5563</v>
      </c>
      <c r="D563" t="b">
        <f>IFERROR(VLOOKUP(B563,PatData!$A$2:$A$2030,1,),"")&lt;&gt;""</f>
        <v>1</v>
      </c>
      <c r="E563"/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4621</v>
      </c>
      <c r="B564" t="s">
        <v>1968</v>
      </c>
      <c r="D564" t="b">
        <f>IFERROR(VLOOKUP(B564,PatData!$A$2:$A$2030,1,),"")&lt;&gt;""</f>
        <v>1</v>
      </c>
      <c r="E564">
        <v>1</v>
      </c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4622</v>
      </c>
      <c r="B565" t="s">
        <v>1969</v>
      </c>
      <c r="D565" t="b">
        <f>IFERROR(VLOOKUP(B565,PatData!$A$2:$A$2030,1,),"")&lt;&gt;""</f>
        <v>1</v>
      </c>
      <c r="E565">
        <v>1</v>
      </c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4623</v>
      </c>
      <c r="B566" t="s">
        <v>1970</v>
      </c>
      <c r="D566" t="b">
        <f>IFERROR(VLOOKUP(B566,PatData!$A$2:$A$2030,1,),"")&lt;&gt;""</f>
        <v>1</v>
      </c>
      <c r="E566">
        <v>1</v>
      </c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4624</v>
      </c>
      <c r="B567" t="s">
        <v>1971</v>
      </c>
      <c r="D567" t="b">
        <f>IFERROR(VLOOKUP(B567,PatData!$A$2:$A$2030,1,),"")&lt;&gt;""</f>
        <v>1</v>
      </c>
      <c r="E567">
        <v>1</v>
      </c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4625</v>
      </c>
      <c r="B568" t="s">
        <v>1972</v>
      </c>
      <c r="D568" t="b">
        <f>IFERROR(VLOOKUP(B568,PatData!$A$2:$A$2030,1,),"")&lt;&gt;""</f>
        <v>1</v>
      </c>
      <c r="E568">
        <v>1</v>
      </c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4626</v>
      </c>
      <c r="B569" t="s">
        <v>1973</v>
      </c>
      <c r="D569" t="b">
        <f>IFERROR(VLOOKUP(B569,PatData!$A$2:$A$2030,1,),"")&lt;&gt;""</f>
        <v>1</v>
      </c>
      <c r="E569">
        <v>1</v>
      </c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4627</v>
      </c>
      <c r="B570" t="s">
        <v>1974</v>
      </c>
      <c r="D570" t="b">
        <f>IFERROR(VLOOKUP(B570,PatData!$A$2:$A$2030,1,),"")&lt;&gt;""</f>
        <v>1</v>
      </c>
      <c r="E570">
        <v>1</v>
      </c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4628</v>
      </c>
      <c r="B571" t="s">
        <v>1975</v>
      </c>
      <c r="D571" t="b">
        <f>IFERROR(VLOOKUP(B571,PatData!$A$2:$A$2030,1,),"")&lt;&gt;""</f>
        <v>1</v>
      </c>
      <c r="E571">
        <v>1</v>
      </c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4629</v>
      </c>
      <c r="B572" t="s">
        <v>1976</v>
      </c>
      <c r="D572" t="b">
        <f>IFERROR(VLOOKUP(B572,PatData!$A$2:$A$2030,1,),"")&lt;&gt;""</f>
        <v>1</v>
      </c>
      <c r="E572">
        <v>1</v>
      </c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4630</v>
      </c>
      <c r="B573" t="s">
        <v>1977</v>
      </c>
      <c r="D573" t="b">
        <f>IFERROR(VLOOKUP(B573,PatData!$A$2:$A$2030,1,),"")&lt;&gt;""</f>
        <v>1</v>
      </c>
      <c r="E573">
        <v>1</v>
      </c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4631</v>
      </c>
      <c r="B574" t="s">
        <v>1978</v>
      </c>
      <c r="D574" t="b">
        <f>IFERROR(VLOOKUP(B574,PatData!$A$2:$A$2030,1,),"")&lt;&gt;""</f>
        <v>1</v>
      </c>
      <c r="E574">
        <v>1</v>
      </c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4632</v>
      </c>
      <c r="B575" t="s">
        <v>1979</v>
      </c>
      <c r="D575" t="b">
        <f>IFERROR(VLOOKUP(B575,PatData!$A$2:$A$2030,1,),"")&lt;&gt;""</f>
        <v>1</v>
      </c>
      <c r="E575">
        <v>1</v>
      </c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4633</v>
      </c>
      <c r="B576" t="s">
        <v>1980</v>
      </c>
      <c r="D576" t="b">
        <f>IFERROR(VLOOKUP(B576,PatData!$A$2:$A$2030,1,),"")&lt;&gt;""</f>
        <v>1</v>
      </c>
      <c r="E576">
        <v>1</v>
      </c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4634</v>
      </c>
      <c r="B577" t="s">
        <v>1981</v>
      </c>
      <c r="D577" t="b">
        <f>IFERROR(VLOOKUP(B577,PatData!$A$2:$A$2030,1,),"")&lt;&gt;""</f>
        <v>1</v>
      </c>
      <c r="E577">
        <v>1</v>
      </c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4635</v>
      </c>
      <c r="B578" t="s">
        <v>1982</v>
      </c>
      <c r="D578" t="b">
        <f>IFERROR(VLOOKUP(B578,PatData!$A$2:$A$2030,1,),"")&lt;&gt;""</f>
        <v>1</v>
      </c>
      <c r="E578">
        <v>1</v>
      </c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4636</v>
      </c>
      <c r="B579" t="s">
        <v>1983</v>
      </c>
      <c r="D579" t="b">
        <f>IFERROR(VLOOKUP(B579,PatData!$A$2:$A$2030,1,),"")&lt;&gt;""</f>
        <v>1</v>
      </c>
      <c r="E579">
        <v>1</v>
      </c>
      <c r="F579" t="b">
        <v>0</v>
      </c>
      <c r="G579" t="b">
        <v>1</v>
      </c>
      <c r="H579" t="b">
        <v>0</v>
      </c>
      <c r="I579" t="b">
        <v>0</v>
      </c>
    </row>
    <row r="580" spans="1:9" s="151" customFormat="1" x14ac:dyDescent="0.2">
      <c r="A580" t="s">
        <v>4637</v>
      </c>
      <c r="B580" t="s">
        <v>1984</v>
      </c>
      <c r="C580"/>
      <c r="D580" t="b">
        <f>IFERROR(VLOOKUP(B580,PatData!$A$2:$A$2030,1,),"")&lt;&gt;""</f>
        <v>1</v>
      </c>
      <c r="E580">
        <v>1</v>
      </c>
      <c r="F580" t="b">
        <v>0</v>
      </c>
      <c r="G580" t="b">
        <v>1</v>
      </c>
      <c r="H580" t="b">
        <v>0</v>
      </c>
      <c r="I580" t="b">
        <v>0</v>
      </c>
    </row>
    <row r="581" spans="1:9" s="151" customFormat="1" x14ac:dyDescent="0.2">
      <c r="A581" t="s">
        <v>4638</v>
      </c>
      <c r="B581" t="s">
        <v>1985</v>
      </c>
      <c r="C581"/>
      <c r="D581" t="b">
        <f>IFERROR(VLOOKUP(B581,PatData!$A$2:$A$2030,1,),"")&lt;&gt;""</f>
        <v>1</v>
      </c>
      <c r="E581">
        <v>1</v>
      </c>
      <c r="F581" t="b">
        <v>0</v>
      </c>
      <c r="G581" t="b">
        <v>1</v>
      </c>
      <c r="H581" t="b">
        <v>0</v>
      </c>
      <c r="I581" t="b">
        <v>0</v>
      </c>
    </row>
    <row r="582" spans="1:9" s="151" customFormat="1" x14ac:dyDescent="0.2">
      <c r="A582" t="s">
        <v>4639</v>
      </c>
      <c r="B582" t="s">
        <v>1986</v>
      </c>
      <c r="C582"/>
      <c r="D582" t="b">
        <f>IFERROR(VLOOKUP(B582,PatData!$A$2:$A$2030,1,),"")&lt;&gt;""</f>
        <v>1</v>
      </c>
      <c r="E582">
        <v>1</v>
      </c>
      <c r="F582" t="b">
        <v>0</v>
      </c>
      <c r="G582" t="b">
        <v>1</v>
      </c>
      <c r="H582" t="b">
        <v>0</v>
      </c>
      <c r="I582" t="b">
        <v>0</v>
      </c>
    </row>
    <row r="583" spans="1:9" s="151" customFormat="1" x14ac:dyDescent="0.2">
      <c r="A583" t="s">
        <v>4640</v>
      </c>
      <c r="B583" t="s">
        <v>1987</v>
      </c>
      <c r="C583"/>
      <c r="D583" t="b">
        <f>IFERROR(VLOOKUP(B583,PatData!$A$2:$A$2030,1,),"")&lt;&gt;""</f>
        <v>1</v>
      </c>
      <c r="E583">
        <v>1</v>
      </c>
      <c r="F583" t="b">
        <v>0</v>
      </c>
      <c r="G583" t="b">
        <v>1</v>
      </c>
      <c r="H583" t="b">
        <v>0</v>
      </c>
      <c r="I583" t="b">
        <v>0</v>
      </c>
    </row>
    <row r="584" spans="1:9" s="151" customFormat="1" x14ac:dyDescent="0.2">
      <c r="A584" t="s">
        <v>4641</v>
      </c>
      <c r="B584" t="s">
        <v>1988</v>
      </c>
      <c r="C584"/>
      <c r="D584" t="b">
        <f>IFERROR(VLOOKUP(B584,PatData!$A$2:$A$2030,1,),"")&lt;&gt;""</f>
        <v>1</v>
      </c>
      <c r="E584">
        <v>1</v>
      </c>
      <c r="F584" t="b">
        <v>0</v>
      </c>
      <c r="G584" t="b">
        <v>1</v>
      </c>
      <c r="H584" t="b">
        <v>0</v>
      </c>
      <c r="I584" t="b">
        <v>0</v>
      </c>
    </row>
    <row r="585" spans="1:9" s="151" customFormat="1" x14ac:dyDescent="0.2">
      <c r="A585" t="s">
        <v>4642</v>
      </c>
      <c r="B585" t="s">
        <v>1989</v>
      </c>
      <c r="C585"/>
      <c r="D585" t="b">
        <f>IFERROR(VLOOKUP(B585,PatData!$A$2:$A$2030,1,),"")&lt;&gt;""</f>
        <v>1</v>
      </c>
      <c r="E585">
        <v>1</v>
      </c>
      <c r="F585" t="b">
        <v>0</v>
      </c>
      <c r="G585" t="b">
        <v>1</v>
      </c>
      <c r="H585" t="b">
        <v>0</v>
      </c>
      <c r="I585" t="b">
        <v>0</v>
      </c>
    </row>
    <row r="586" spans="1:9" s="151" customFormat="1" x14ac:dyDescent="0.2">
      <c r="A586" t="s">
        <v>4643</v>
      </c>
      <c r="B586" t="s">
        <v>1990</v>
      </c>
      <c r="C586"/>
      <c r="D586" t="b">
        <f>IFERROR(VLOOKUP(B586,PatData!$A$2:$A$2030,1,),"")&lt;&gt;""</f>
        <v>1</v>
      </c>
      <c r="E586">
        <v>1</v>
      </c>
      <c r="F586" t="b">
        <v>0</v>
      </c>
      <c r="G586" t="b">
        <v>1</v>
      </c>
      <c r="H586" t="b">
        <v>0</v>
      </c>
      <c r="I586" t="b">
        <v>0</v>
      </c>
    </row>
    <row r="587" spans="1:9" s="151" customFormat="1" x14ac:dyDescent="0.2">
      <c r="A587" t="s">
        <v>4644</v>
      </c>
      <c r="B587" t="s">
        <v>1991</v>
      </c>
      <c r="C587"/>
      <c r="D587" t="b">
        <f>IFERROR(VLOOKUP(B587,PatData!$A$2:$A$2030,1,),"")&lt;&gt;""</f>
        <v>1</v>
      </c>
      <c r="E587">
        <v>1</v>
      </c>
      <c r="F587" t="b">
        <v>0</v>
      </c>
      <c r="G587" t="b">
        <v>1</v>
      </c>
      <c r="H587" t="b">
        <v>0</v>
      </c>
      <c r="I587" t="b">
        <v>0</v>
      </c>
    </row>
    <row r="588" spans="1:9" s="151" customFormat="1" x14ac:dyDescent="0.2">
      <c r="A588" t="s">
        <v>4645</v>
      </c>
      <c r="B588" t="s">
        <v>1992</v>
      </c>
      <c r="C588"/>
      <c r="D588" t="b">
        <f>IFERROR(VLOOKUP(B588,PatData!$A$2:$A$2030,1,),"")&lt;&gt;""</f>
        <v>1</v>
      </c>
      <c r="E588">
        <v>1</v>
      </c>
      <c r="F588" t="b">
        <v>0</v>
      </c>
      <c r="G588" t="b">
        <v>1</v>
      </c>
      <c r="H588" t="b">
        <v>0</v>
      </c>
      <c r="I588" t="b">
        <v>0</v>
      </c>
    </row>
    <row r="589" spans="1:9" s="151" customFormat="1" x14ac:dyDescent="0.2">
      <c r="A589" t="s">
        <v>4646</v>
      </c>
      <c r="B589" t="s">
        <v>1993</v>
      </c>
      <c r="C589"/>
      <c r="D589" t="b">
        <f>IFERROR(VLOOKUP(B589,PatData!$A$2:$A$2030,1,),"")&lt;&gt;""</f>
        <v>1</v>
      </c>
      <c r="E589">
        <v>1</v>
      </c>
      <c r="F589" t="b">
        <v>0</v>
      </c>
      <c r="G589" t="b">
        <v>1</v>
      </c>
      <c r="H589" t="b">
        <v>0</v>
      </c>
      <c r="I589" t="b">
        <v>0</v>
      </c>
    </row>
    <row r="590" spans="1:9" s="151" customFormat="1" x14ac:dyDescent="0.2">
      <c r="A590" t="s">
        <v>4647</v>
      </c>
      <c r="B590" t="s">
        <v>1994</v>
      </c>
      <c r="C590"/>
      <c r="D590" t="b">
        <f>IFERROR(VLOOKUP(B590,PatData!$A$2:$A$2030,1,),"")&lt;&gt;""</f>
        <v>1</v>
      </c>
      <c r="E590">
        <v>1</v>
      </c>
      <c r="F590" t="b">
        <v>0</v>
      </c>
      <c r="G590" t="b">
        <v>1</v>
      </c>
      <c r="H590" t="b">
        <v>0</v>
      </c>
      <c r="I590" t="b">
        <v>0</v>
      </c>
    </row>
    <row r="591" spans="1:9" s="151" customFormat="1" x14ac:dyDescent="0.2">
      <c r="A591" t="s">
        <v>4648</v>
      </c>
      <c r="B591" t="s">
        <v>1995</v>
      </c>
      <c r="C591"/>
      <c r="D591" t="b">
        <f>IFERROR(VLOOKUP(B591,PatData!$A$2:$A$2030,1,),"")&lt;&gt;""</f>
        <v>1</v>
      </c>
      <c r="E591">
        <v>1</v>
      </c>
      <c r="F591" t="b">
        <v>0</v>
      </c>
      <c r="G591" t="b">
        <v>1</v>
      </c>
      <c r="H591" t="b">
        <v>0</v>
      </c>
      <c r="I591" t="b">
        <v>0</v>
      </c>
    </row>
    <row r="592" spans="1:9" s="151" customFormat="1" x14ac:dyDescent="0.2">
      <c r="A592" t="s">
        <v>4649</v>
      </c>
      <c r="B592" t="s">
        <v>1996</v>
      </c>
      <c r="C592"/>
      <c r="D592" t="b">
        <f>IFERROR(VLOOKUP(B592,PatData!$A$2:$A$2030,1,),"")&lt;&gt;""</f>
        <v>1</v>
      </c>
      <c r="E592">
        <v>1</v>
      </c>
      <c r="F592" t="b">
        <v>0</v>
      </c>
      <c r="G592" t="b">
        <v>1</v>
      </c>
      <c r="H592" t="b">
        <v>0</v>
      </c>
      <c r="I592" t="b">
        <v>0</v>
      </c>
    </row>
    <row r="593" spans="1:9" s="151" customFormat="1" x14ac:dyDescent="0.2">
      <c r="A593" t="s">
        <v>4650</v>
      </c>
      <c r="B593" t="s">
        <v>1997</v>
      </c>
      <c r="C593"/>
      <c r="D593" t="b">
        <f>IFERROR(VLOOKUP(B593,PatData!$A$2:$A$2030,1,),"")&lt;&gt;""</f>
        <v>1</v>
      </c>
      <c r="E593">
        <v>1</v>
      </c>
      <c r="F593" t="b">
        <v>0</v>
      </c>
      <c r="G593" t="b">
        <v>1</v>
      </c>
      <c r="H593" t="b">
        <v>0</v>
      </c>
      <c r="I593" t="b">
        <v>0</v>
      </c>
    </row>
    <row r="594" spans="1:9" s="151" customFormat="1" x14ac:dyDescent="0.2">
      <c r="A594" t="s">
        <v>5564</v>
      </c>
      <c r="B594" t="s">
        <v>5565</v>
      </c>
      <c r="C594"/>
      <c r="D594" t="b">
        <f>IFERROR(VLOOKUP(B594,PatData!$A$2:$A$2030,1,),"")&lt;&gt;""</f>
        <v>1</v>
      </c>
      <c r="E594"/>
      <c r="F594" t="b">
        <v>0</v>
      </c>
      <c r="G594" t="b">
        <v>1</v>
      </c>
      <c r="H594" t="b">
        <v>0</v>
      </c>
      <c r="I594" t="b">
        <v>0</v>
      </c>
    </row>
    <row r="595" spans="1:9" s="151" customFormat="1" x14ac:dyDescent="0.2">
      <c r="A595" t="s">
        <v>5566</v>
      </c>
      <c r="B595" t="s">
        <v>5567</v>
      </c>
      <c r="C595"/>
      <c r="D595" t="b">
        <f>IFERROR(VLOOKUP(B595,PatData!$A$2:$A$2030,1,),"")&lt;&gt;""</f>
        <v>1</v>
      </c>
      <c r="E595"/>
      <c r="F595" t="b">
        <v>0</v>
      </c>
      <c r="G595" t="b">
        <v>1</v>
      </c>
      <c r="H595" t="b">
        <v>0</v>
      </c>
      <c r="I595" t="b">
        <v>0</v>
      </c>
    </row>
    <row r="596" spans="1:9" s="151" customFormat="1" x14ac:dyDescent="0.2">
      <c r="A596" t="s">
        <v>5568</v>
      </c>
      <c r="B596" t="s">
        <v>5569</v>
      </c>
      <c r="C596"/>
      <c r="D596" t="b">
        <f>IFERROR(VLOOKUP(B596,PatData!$A$2:$A$2030,1,),"")&lt;&gt;""</f>
        <v>1</v>
      </c>
      <c r="E596"/>
      <c r="F596" t="b">
        <v>0</v>
      </c>
      <c r="G596" t="b">
        <v>1</v>
      </c>
      <c r="H596" t="b">
        <v>0</v>
      </c>
      <c r="I596" t="b">
        <v>0</v>
      </c>
    </row>
    <row r="597" spans="1:9" s="151" customFormat="1" x14ac:dyDescent="0.2">
      <c r="A597" t="s">
        <v>5570</v>
      </c>
      <c r="B597" t="s">
        <v>5571</v>
      </c>
      <c r="C597"/>
      <c r="D597" t="b">
        <f>IFERROR(VLOOKUP(B597,PatData!$A$2:$A$2030,1,),"")&lt;&gt;""</f>
        <v>1</v>
      </c>
      <c r="E597"/>
      <c r="F597" t="b">
        <v>0</v>
      </c>
      <c r="G597" t="b">
        <v>1</v>
      </c>
      <c r="H597" t="b">
        <v>0</v>
      </c>
      <c r="I597" t="b">
        <v>0</v>
      </c>
    </row>
    <row r="598" spans="1:9" s="151" customFormat="1" x14ac:dyDescent="0.2">
      <c r="A598" t="s">
        <v>5572</v>
      </c>
      <c r="B598" t="s">
        <v>5573</v>
      </c>
      <c r="C598"/>
      <c r="D598" t="b">
        <f>IFERROR(VLOOKUP(B598,PatData!$A$2:$A$2030,1,),"")&lt;&gt;""</f>
        <v>1</v>
      </c>
      <c r="E598"/>
      <c r="F598" t="b">
        <v>0</v>
      </c>
      <c r="G598" t="b">
        <v>1</v>
      </c>
      <c r="H598" t="b">
        <v>0</v>
      </c>
      <c r="I598" t="b">
        <v>0</v>
      </c>
    </row>
    <row r="599" spans="1:9" s="151" customFormat="1" x14ac:dyDescent="0.2">
      <c r="A599" t="s">
        <v>5574</v>
      </c>
      <c r="B599" t="s">
        <v>5575</v>
      </c>
      <c r="C599"/>
      <c r="D599" t="b">
        <f>IFERROR(VLOOKUP(B599,PatData!$A$2:$A$2030,1,),"")&lt;&gt;""</f>
        <v>1</v>
      </c>
      <c r="E599"/>
      <c r="F599" t="b">
        <v>0</v>
      </c>
      <c r="G599" t="b">
        <v>1</v>
      </c>
      <c r="H599" t="b">
        <v>0</v>
      </c>
      <c r="I599" t="b">
        <v>0</v>
      </c>
    </row>
    <row r="600" spans="1:9" s="151" customFormat="1" x14ac:dyDescent="0.2">
      <c r="A600" t="s">
        <v>5576</v>
      </c>
      <c r="B600" t="s">
        <v>5577</v>
      </c>
      <c r="C600"/>
      <c r="D600" t="b">
        <f>IFERROR(VLOOKUP(B600,PatData!$A$2:$A$2030,1,),"")&lt;&gt;""</f>
        <v>1</v>
      </c>
      <c r="E600"/>
      <c r="F600" t="b">
        <v>0</v>
      </c>
      <c r="G600" t="b">
        <v>1</v>
      </c>
      <c r="H600" t="b">
        <v>0</v>
      </c>
      <c r="I600" t="b">
        <v>0</v>
      </c>
    </row>
    <row r="601" spans="1:9" s="151" customFormat="1" x14ac:dyDescent="0.2">
      <c r="A601" t="s">
        <v>5578</v>
      </c>
      <c r="B601" t="s">
        <v>5579</v>
      </c>
      <c r="C601"/>
      <c r="D601" t="b">
        <f>IFERROR(VLOOKUP(B601,PatData!$A$2:$A$2030,1,),"")&lt;&gt;""</f>
        <v>1</v>
      </c>
      <c r="E601"/>
      <c r="F601" t="b">
        <v>0</v>
      </c>
      <c r="G601" t="b">
        <v>1</v>
      </c>
      <c r="H601" t="b">
        <v>0</v>
      </c>
      <c r="I601" t="b">
        <v>0</v>
      </c>
    </row>
    <row r="602" spans="1:9" s="151" customFormat="1" x14ac:dyDescent="0.2">
      <c r="A602" t="s">
        <v>5580</v>
      </c>
      <c r="B602" t="s">
        <v>5581</v>
      </c>
      <c r="C602"/>
      <c r="D602" t="b">
        <f>IFERROR(VLOOKUP(B602,PatData!$A$2:$A$2030,1,),"")&lt;&gt;""</f>
        <v>1</v>
      </c>
      <c r="E602"/>
      <c r="F602" t="b">
        <v>0</v>
      </c>
      <c r="G602" t="b">
        <v>1</v>
      </c>
      <c r="H602" t="b">
        <v>0</v>
      </c>
      <c r="I602" t="b">
        <v>0</v>
      </c>
    </row>
    <row r="603" spans="1:9" s="151" customFormat="1" x14ac:dyDescent="0.2">
      <c r="A603" t="s">
        <v>5582</v>
      </c>
      <c r="B603" t="s">
        <v>5583</v>
      </c>
      <c r="C603"/>
      <c r="D603" t="b">
        <f>IFERROR(VLOOKUP(B603,PatData!$A$2:$A$2030,1,),"")&lt;&gt;""</f>
        <v>1</v>
      </c>
      <c r="E603"/>
      <c r="F603" t="b">
        <v>0</v>
      </c>
      <c r="G603" t="b">
        <v>1</v>
      </c>
      <c r="H603" t="b">
        <v>0</v>
      </c>
      <c r="I603" t="b">
        <v>0</v>
      </c>
    </row>
    <row r="604" spans="1:9" s="151" customFormat="1" x14ac:dyDescent="0.2">
      <c r="A604" t="s">
        <v>5584</v>
      </c>
      <c r="B604" t="s">
        <v>5585</v>
      </c>
      <c r="C604"/>
      <c r="D604" t="b">
        <f>IFERROR(VLOOKUP(B604,PatData!$A$2:$A$2030,1,),"")&lt;&gt;""</f>
        <v>1</v>
      </c>
      <c r="E604"/>
      <c r="F604" t="b">
        <v>0</v>
      </c>
      <c r="G604" t="b">
        <v>1</v>
      </c>
      <c r="H604" t="b">
        <v>0</v>
      </c>
      <c r="I604" t="b">
        <v>0</v>
      </c>
    </row>
    <row r="605" spans="1:9" s="151" customFormat="1" x14ac:dyDescent="0.2">
      <c r="A605" t="s">
        <v>5586</v>
      </c>
      <c r="B605" t="s">
        <v>5587</v>
      </c>
      <c r="C605"/>
      <c r="D605" t="b">
        <f>IFERROR(VLOOKUP(B605,PatData!$A$2:$A$2030,1,),"")&lt;&gt;""</f>
        <v>1</v>
      </c>
      <c r="E605"/>
      <c r="F605" t="b">
        <v>0</v>
      </c>
      <c r="G605" t="b">
        <v>1</v>
      </c>
      <c r="H605" t="b">
        <v>0</v>
      </c>
      <c r="I605" t="b">
        <v>0</v>
      </c>
    </row>
    <row r="606" spans="1:9" s="151" customFormat="1" x14ac:dyDescent="0.2">
      <c r="A606" t="s">
        <v>5588</v>
      </c>
      <c r="B606" t="s">
        <v>5589</v>
      </c>
      <c r="C606"/>
      <c r="D606" t="b">
        <f>IFERROR(VLOOKUP(B606,PatData!$A$2:$A$2030,1,),"")&lt;&gt;""</f>
        <v>1</v>
      </c>
      <c r="E606"/>
      <c r="F606" t="b">
        <v>0</v>
      </c>
      <c r="G606" t="b">
        <v>1</v>
      </c>
      <c r="H606" t="b">
        <v>0</v>
      </c>
      <c r="I606" t="b">
        <v>0</v>
      </c>
    </row>
    <row r="607" spans="1:9" s="151" customFormat="1" x14ac:dyDescent="0.2">
      <c r="A607" t="s">
        <v>5590</v>
      </c>
      <c r="B607" t="s">
        <v>5591</v>
      </c>
      <c r="C607"/>
      <c r="D607" t="b">
        <f>IFERROR(VLOOKUP(B607,PatData!$A$2:$A$2030,1,),"")&lt;&gt;""</f>
        <v>1</v>
      </c>
      <c r="E607"/>
      <c r="F607" t="b">
        <v>0</v>
      </c>
      <c r="G607" t="b">
        <v>1</v>
      </c>
      <c r="H607" t="b">
        <v>0</v>
      </c>
      <c r="I607" t="b">
        <v>0</v>
      </c>
    </row>
    <row r="608" spans="1:9" s="151" customFormat="1" x14ac:dyDescent="0.2">
      <c r="A608" t="s">
        <v>5592</v>
      </c>
      <c r="B608" t="s">
        <v>5593</v>
      </c>
      <c r="C608"/>
      <c r="D608" t="b">
        <f>IFERROR(VLOOKUP(B608,PatData!$A$2:$A$2030,1,),"")&lt;&gt;""</f>
        <v>1</v>
      </c>
      <c r="E608"/>
      <c r="F608" t="b">
        <v>0</v>
      </c>
      <c r="G608" t="b">
        <v>1</v>
      </c>
      <c r="H608" t="b">
        <v>0</v>
      </c>
      <c r="I608" t="b">
        <v>0</v>
      </c>
    </row>
    <row r="609" spans="1:9" s="151" customFormat="1" x14ac:dyDescent="0.2">
      <c r="A609" t="s">
        <v>5594</v>
      </c>
      <c r="B609" t="s">
        <v>5595</v>
      </c>
      <c r="C609"/>
      <c r="D609" t="b">
        <f>IFERROR(VLOOKUP(B609,PatData!$A$2:$A$2030,1,),"")&lt;&gt;""</f>
        <v>1</v>
      </c>
      <c r="E609"/>
      <c r="F609" t="b">
        <v>0</v>
      </c>
      <c r="G609" t="b">
        <v>1</v>
      </c>
      <c r="H609" t="b">
        <v>0</v>
      </c>
      <c r="I609" t="b">
        <v>0</v>
      </c>
    </row>
    <row r="610" spans="1:9" s="151" customFormat="1" x14ac:dyDescent="0.2">
      <c r="A610" t="s">
        <v>5596</v>
      </c>
      <c r="B610" t="s">
        <v>5597</v>
      </c>
      <c r="C610"/>
      <c r="D610" t="b">
        <f>IFERROR(VLOOKUP(B610,PatData!$A$2:$A$2030,1,),"")&lt;&gt;""</f>
        <v>1</v>
      </c>
      <c r="E610"/>
      <c r="F610" t="b">
        <v>0</v>
      </c>
      <c r="G610" t="b">
        <v>1</v>
      </c>
      <c r="H610" t="b">
        <v>0</v>
      </c>
      <c r="I610" t="b">
        <v>0</v>
      </c>
    </row>
    <row r="611" spans="1:9" s="151" customFormat="1" x14ac:dyDescent="0.2">
      <c r="A611" t="s">
        <v>5598</v>
      </c>
      <c r="B611" t="s">
        <v>5599</v>
      </c>
      <c r="C611"/>
      <c r="D611" t="b">
        <f>IFERROR(VLOOKUP(B611,PatData!$A$2:$A$2030,1,),"")&lt;&gt;""</f>
        <v>1</v>
      </c>
      <c r="E611"/>
      <c r="F611" t="b">
        <v>0</v>
      </c>
      <c r="G611" t="b">
        <v>1</v>
      </c>
      <c r="H611" t="b">
        <v>0</v>
      </c>
      <c r="I611" t="b">
        <v>0</v>
      </c>
    </row>
    <row r="612" spans="1:9" s="151" customFormat="1" x14ac:dyDescent="0.2">
      <c r="A612" t="s">
        <v>5600</v>
      </c>
      <c r="B612" t="s">
        <v>5601</v>
      </c>
      <c r="C612"/>
      <c r="D612" t="b">
        <f>IFERROR(VLOOKUP(B612,PatData!$A$2:$A$2030,1,),"")&lt;&gt;""</f>
        <v>1</v>
      </c>
      <c r="E612"/>
      <c r="F612" t="b">
        <v>0</v>
      </c>
      <c r="G612" t="b">
        <v>1</v>
      </c>
      <c r="H612" t="b">
        <v>0</v>
      </c>
      <c r="I612" t="b">
        <v>0</v>
      </c>
    </row>
    <row r="613" spans="1:9" s="151" customFormat="1" x14ac:dyDescent="0.2">
      <c r="A613" t="s">
        <v>5602</v>
      </c>
      <c r="B613" t="s">
        <v>5603</v>
      </c>
      <c r="C613"/>
      <c r="D613" t="b">
        <f>IFERROR(VLOOKUP(B613,PatData!$A$2:$A$2030,1,),"")&lt;&gt;""</f>
        <v>1</v>
      </c>
      <c r="E613"/>
      <c r="F613" t="b">
        <v>0</v>
      </c>
      <c r="G613" t="b">
        <v>1</v>
      </c>
      <c r="H613" t="b">
        <v>0</v>
      </c>
      <c r="I613" t="b">
        <v>0</v>
      </c>
    </row>
    <row r="614" spans="1:9" s="151" customFormat="1" x14ac:dyDescent="0.2">
      <c r="A614" t="s">
        <v>5604</v>
      </c>
      <c r="B614" t="s">
        <v>5605</v>
      </c>
      <c r="C614"/>
      <c r="D614" t="b">
        <f>IFERROR(VLOOKUP(B614,PatData!$A$2:$A$2030,1,),"")&lt;&gt;""</f>
        <v>1</v>
      </c>
      <c r="E614"/>
      <c r="F614" t="b">
        <v>0</v>
      </c>
      <c r="G614" t="b">
        <v>1</v>
      </c>
      <c r="H614" t="b">
        <v>0</v>
      </c>
      <c r="I614" t="b">
        <v>0</v>
      </c>
    </row>
    <row r="615" spans="1:9" s="151" customFormat="1" x14ac:dyDescent="0.2">
      <c r="A615" t="s">
        <v>5606</v>
      </c>
      <c r="B615" t="s">
        <v>5607</v>
      </c>
      <c r="C615"/>
      <c r="D615" t="b">
        <f>IFERROR(VLOOKUP(B615,PatData!$A$2:$A$2030,1,),"")&lt;&gt;""</f>
        <v>1</v>
      </c>
      <c r="E615"/>
      <c r="F615" t="b">
        <v>0</v>
      </c>
      <c r="G615" t="b">
        <v>1</v>
      </c>
      <c r="H615" t="b">
        <v>0</v>
      </c>
      <c r="I615" t="b">
        <v>0</v>
      </c>
    </row>
    <row r="616" spans="1:9" s="151" customFormat="1" x14ac:dyDescent="0.2">
      <c r="A616" t="s">
        <v>5608</v>
      </c>
      <c r="B616" t="s">
        <v>5609</v>
      </c>
      <c r="C616"/>
      <c r="D616" t="b">
        <f>IFERROR(VLOOKUP(B616,PatData!$A$2:$A$2030,1,),"")&lt;&gt;""</f>
        <v>1</v>
      </c>
      <c r="E616"/>
      <c r="F616" t="b">
        <v>0</v>
      </c>
      <c r="G616" t="b">
        <v>1</v>
      </c>
      <c r="H616" t="b">
        <v>0</v>
      </c>
      <c r="I616" t="b">
        <v>0</v>
      </c>
    </row>
    <row r="617" spans="1:9" s="151" customFormat="1" x14ac:dyDescent="0.2">
      <c r="A617" t="s">
        <v>5610</v>
      </c>
      <c r="B617" t="s">
        <v>5611</v>
      </c>
      <c r="C617"/>
      <c r="D617" t="b">
        <f>IFERROR(VLOOKUP(B617,PatData!$A$2:$A$2030,1,),"")&lt;&gt;""</f>
        <v>1</v>
      </c>
      <c r="E617"/>
      <c r="F617" t="b">
        <v>0</v>
      </c>
      <c r="G617" t="b">
        <v>1</v>
      </c>
      <c r="H617" t="b">
        <v>0</v>
      </c>
      <c r="I617" t="b">
        <v>0</v>
      </c>
    </row>
    <row r="618" spans="1:9" s="151" customFormat="1" x14ac:dyDescent="0.2">
      <c r="A618" t="s">
        <v>5612</v>
      </c>
      <c r="B618" t="s">
        <v>5613</v>
      </c>
      <c r="C618"/>
      <c r="D618" t="b">
        <f>IFERROR(VLOOKUP(B618,PatData!$A$2:$A$2030,1,),"")&lt;&gt;""</f>
        <v>1</v>
      </c>
      <c r="E618"/>
      <c r="F618" t="b">
        <v>0</v>
      </c>
      <c r="G618" t="b">
        <v>1</v>
      </c>
      <c r="H618" t="b">
        <v>0</v>
      </c>
      <c r="I618" t="b">
        <v>0</v>
      </c>
    </row>
    <row r="619" spans="1:9" s="151" customFormat="1" x14ac:dyDescent="0.2">
      <c r="A619" t="s">
        <v>5614</v>
      </c>
      <c r="B619" t="s">
        <v>5615</v>
      </c>
      <c r="C619"/>
      <c r="D619" t="b">
        <f>IFERROR(VLOOKUP(B619,PatData!$A$2:$A$2030,1,),"")&lt;&gt;""</f>
        <v>1</v>
      </c>
      <c r="E619"/>
      <c r="F619" t="b">
        <v>0</v>
      </c>
      <c r="G619" t="b">
        <v>1</v>
      </c>
      <c r="H619" t="b">
        <v>0</v>
      </c>
      <c r="I619" t="b">
        <v>0</v>
      </c>
    </row>
    <row r="620" spans="1:9" s="151" customFormat="1" x14ac:dyDescent="0.2">
      <c r="A620" t="s">
        <v>5616</v>
      </c>
      <c r="B620" t="s">
        <v>5617</v>
      </c>
      <c r="C620"/>
      <c r="D620" t="b">
        <f>IFERROR(VLOOKUP(B620,PatData!$A$2:$A$2030,1,),"")&lt;&gt;""</f>
        <v>1</v>
      </c>
      <c r="E620"/>
      <c r="F620" t="b">
        <v>0</v>
      </c>
      <c r="G620" t="b">
        <v>1</v>
      </c>
      <c r="H620" t="b">
        <v>0</v>
      </c>
      <c r="I620" t="b">
        <v>0</v>
      </c>
    </row>
    <row r="621" spans="1:9" s="151" customFormat="1" x14ac:dyDescent="0.2">
      <c r="A621" t="s">
        <v>5618</v>
      </c>
      <c r="B621" t="s">
        <v>5619</v>
      </c>
      <c r="C621"/>
      <c r="D621" t="b">
        <f>IFERROR(VLOOKUP(B621,PatData!$A$2:$A$2030,1,),"")&lt;&gt;""</f>
        <v>1</v>
      </c>
      <c r="E621"/>
      <c r="F621" t="b">
        <v>0</v>
      </c>
      <c r="G621" t="b">
        <v>1</v>
      </c>
      <c r="H621" t="b">
        <v>0</v>
      </c>
      <c r="I621" t="b">
        <v>0</v>
      </c>
    </row>
    <row r="622" spans="1:9" s="151" customFormat="1" x14ac:dyDescent="0.2">
      <c r="A622" t="s">
        <v>5620</v>
      </c>
      <c r="B622" t="s">
        <v>5621</v>
      </c>
      <c r="C622"/>
      <c r="D622" t="b">
        <f>IFERROR(VLOOKUP(B622,PatData!$A$2:$A$2030,1,),"")&lt;&gt;""</f>
        <v>1</v>
      </c>
      <c r="E622"/>
      <c r="F622" t="b">
        <v>0</v>
      </c>
      <c r="G622" t="b">
        <v>1</v>
      </c>
      <c r="H622" t="b">
        <v>0</v>
      </c>
      <c r="I622" t="b">
        <v>0</v>
      </c>
    </row>
    <row r="623" spans="1:9" s="151" customFormat="1" x14ac:dyDescent="0.2">
      <c r="A623" t="s">
        <v>5622</v>
      </c>
      <c r="B623" t="s">
        <v>5623</v>
      </c>
      <c r="C623"/>
      <c r="D623" t="b">
        <f>IFERROR(VLOOKUP(B623,PatData!$A$2:$A$2030,1,),"")&lt;&gt;""</f>
        <v>1</v>
      </c>
      <c r="E623"/>
      <c r="F623" t="b">
        <v>0</v>
      </c>
      <c r="G623" t="b">
        <v>1</v>
      </c>
      <c r="H623" t="b">
        <v>0</v>
      </c>
      <c r="I623" t="b">
        <v>0</v>
      </c>
    </row>
    <row r="624" spans="1:9" s="151" customFormat="1" x14ac:dyDescent="0.2">
      <c r="A624" t="s">
        <v>2993</v>
      </c>
      <c r="B624" t="s">
        <v>1998</v>
      </c>
      <c r="C624"/>
      <c r="D624" t="b">
        <f>IFERROR(VLOOKUP(B624,PatData!$A$2:$A$2030,1,),"")&lt;&gt;""</f>
        <v>1</v>
      </c>
      <c r="E624">
        <v>0</v>
      </c>
      <c r="F624" t="b">
        <v>0</v>
      </c>
      <c r="G624" t="b">
        <v>1</v>
      </c>
      <c r="H624" t="b">
        <v>0</v>
      </c>
      <c r="I624" t="b">
        <v>0</v>
      </c>
    </row>
    <row r="625" spans="1:9" s="151" customFormat="1" x14ac:dyDescent="0.2">
      <c r="A625" t="s">
        <v>2994</v>
      </c>
      <c r="B625" t="s">
        <v>1999</v>
      </c>
      <c r="C625"/>
      <c r="D625" t="b">
        <f>IFERROR(VLOOKUP(B625,PatData!$A$2:$A$2030,1,),"")&lt;&gt;""</f>
        <v>1</v>
      </c>
      <c r="E625">
        <v>0</v>
      </c>
      <c r="F625" t="b">
        <v>0</v>
      </c>
      <c r="G625" t="b">
        <v>1</v>
      </c>
      <c r="H625" t="b">
        <v>0</v>
      </c>
      <c r="I625" t="b">
        <v>0</v>
      </c>
    </row>
    <row r="626" spans="1:9" s="151" customFormat="1" x14ac:dyDescent="0.2">
      <c r="A626" t="s">
        <v>2995</v>
      </c>
      <c r="B626" t="s">
        <v>2000</v>
      </c>
      <c r="C626"/>
      <c r="D626" t="b">
        <f>IFERROR(VLOOKUP(B626,PatData!$A$2:$A$2030,1,),"")&lt;&gt;""</f>
        <v>1</v>
      </c>
      <c r="E626">
        <v>0</v>
      </c>
      <c r="F626" t="b">
        <v>0</v>
      </c>
      <c r="G626" t="b">
        <v>1</v>
      </c>
      <c r="H626" t="b">
        <v>0</v>
      </c>
      <c r="I626" t="b">
        <v>0</v>
      </c>
    </row>
    <row r="627" spans="1:9" s="151" customFormat="1" x14ac:dyDescent="0.2">
      <c r="A627" t="s">
        <v>2996</v>
      </c>
      <c r="B627" t="s">
        <v>2001</v>
      </c>
      <c r="C627"/>
      <c r="D627" t="b">
        <f>IFERROR(VLOOKUP(B627,PatData!$A$2:$A$2030,1,),"")&lt;&gt;""</f>
        <v>1</v>
      </c>
      <c r="E627">
        <v>0</v>
      </c>
      <c r="F627" t="b">
        <v>0</v>
      </c>
      <c r="G627" t="b">
        <v>1</v>
      </c>
      <c r="H627" t="b">
        <v>0</v>
      </c>
      <c r="I627" t="b">
        <v>0</v>
      </c>
    </row>
    <row r="628" spans="1:9" s="151" customFormat="1" x14ac:dyDescent="0.2">
      <c r="A628" t="s">
        <v>2997</v>
      </c>
      <c r="B628" t="s">
        <v>2002</v>
      </c>
      <c r="C628"/>
      <c r="D628" t="b">
        <f>IFERROR(VLOOKUP(B628,PatData!$A$2:$A$2030,1,),"")&lt;&gt;""</f>
        <v>1</v>
      </c>
      <c r="E628">
        <v>0</v>
      </c>
      <c r="F628" t="b">
        <v>0</v>
      </c>
      <c r="G628" t="b">
        <v>1</v>
      </c>
      <c r="H628" t="b">
        <v>0</v>
      </c>
      <c r="I628" t="b">
        <v>0</v>
      </c>
    </row>
    <row r="629" spans="1:9" s="151" customFormat="1" x14ac:dyDescent="0.2">
      <c r="A629" t="s">
        <v>2998</v>
      </c>
      <c r="B629" t="s">
        <v>2003</v>
      </c>
      <c r="C629"/>
      <c r="D629" t="b">
        <f>IFERROR(VLOOKUP(B629,PatData!$A$2:$A$2030,1,),"")&lt;&gt;""</f>
        <v>1</v>
      </c>
      <c r="E629">
        <v>0</v>
      </c>
      <c r="F629" t="b">
        <v>0</v>
      </c>
      <c r="G629" t="b">
        <v>1</v>
      </c>
      <c r="H629" t="b">
        <v>0</v>
      </c>
      <c r="I629" t="b">
        <v>0</v>
      </c>
    </row>
    <row r="630" spans="1:9" s="151" customFormat="1" x14ac:dyDescent="0.2">
      <c r="A630" t="s">
        <v>2999</v>
      </c>
      <c r="B630" t="s">
        <v>2004</v>
      </c>
      <c r="C630"/>
      <c r="D630" t="b">
        <f>IFERROR(VLOOKUP(B630,PatData!$A$2:$A$2030,1,),"")&lt;&gt;""</f>
        <v>1</v>
      </c>
      <c r="E630">
        <v>0</v>
      </c>
      <c r="F630" t="b">
        <v>0</v>
      </c>
      <c r="G630" t="b">
        <v>1</v>
      </c>
      <c r="H630" t="b">
        <v>0</v>
      </c>
      <c r="I630" t="b">
        <v>0</v>
      </c>
    </row>
    <row r="631" spans="1:9" s="151" customFormat="1" x14ac:dyDescent="0.2">
      <c r="A631" t="s">
        <v>3000</v>
      </c>
      <c r="B631" t="s">
        <v>2005</v>
      </c>
      <c r="C631"/>
      <c r="D631" t="b">
        <f>IFERROR(VLOOKUP(B631,PatData!$A$2:$A$2030,1,),"")&lt;&gt;""</f>
        <v>1</v>
      </c>
      <c r="E631">
        <v>0</v>
      </c>
      <c r="F631" t="b">
        <v>0</v>
      </c>
      <c r="G631" t="b">
        <v>1</v>
      </c>
      <c r="H631" t="b">
        <v>0</v>
      </c>
      <c r="I631" t="b">
        <v>0</v>
      </c>
    </row>
    <row r="632" spans="1:9" s="151" customFormat="1" x14ac:dyDescent="0.2">
      <c r="A632" t="s">
        <v>3001</v>
      </c>
      <c r="B632" t="s">
        <v>2006</v>
      </c>
      <c r="C632"/>
      <c r="D632" t="b">
        <f>IFERROR(VLOOKUP(B632,PatData!$A$2:$A$2030,1,),"")&lt;&gt;""</f>
        <v>1</v>
      </c>
      <c r="E632">
        <v>0</v>
      </c>
      <c r="F632" t="b">
        <v>0</v>
      </c>
      <c r="G632" t="b">
        <v>1</v>
      </c>
      <c r="H632" t="b">
        <v>0</v>
      </c>
      <c r="I632" t="b">
        <v>0</v>
      </c>
    </row>
    <row r="633" spans="1:9" s="151" customFormat="1" x14ac:dyDescent="0.2">
      <c r="A633" t="s">
        <v>3002</v>
      </c>
      <c r="B633" t="s">
        <v>2007</v>
      </c>
      <c r="C633"/>
      <c r="D633" t="b">
        <f>IFERROR(VLOOKUP(B633,PatData!$A$2:$A$2030,1,),"")&lt;&gt;""</f>
        <v>1</v>
      </c>
      <c r="E633">
        <v>0</v>
      </c>
      <c r="F633" t="b">
        <v>0</v>
      </c>
      <c r="G633" t="b">
        <v>1</v>
      </c>
      <c r="H633" t="b">
        <v>0</v>
      </c>
      <c r="I633" t="b">
        <v>0</v>
      </c>
    </row>
    <row r="634" spans="1:9" s="151" customFormat="1" x14ac:dyDescent="0.2">
      <c r="A634" t="s">
        <v>3003</v>
      </c>
      <c r="B634" t="s">
        <v>2008</v>
      </c>
      <c r="C634"/>
      <c r="D634" t="b">
        <f>IFERROR(VLOOKUP(B634,PatData!$A$2:$A$2030,1,),"")&lt;&gt;""</f>
        <v>1</v>
      </c>
      <c r="E634">
        <v>0</v>
      </c>
      <c r="F634" t="b">
        <v>0</v>
      </c>
      <c r="G634" t="b">
        <v>1</v>
      </c>
      <c r="H634" t="b">
        <v>0</v>
      </c>
      <c r="I634" t="b">
        <v>0</v>
      </c>
    </row>
    <row r="635" spans="1:9" s="151" customFormat="1" x14ac:dyDescent="0.2">
      <c r="A635" t="s">
        <v>3004</v>
      </c>
      <c r="B635" t="s">
        <v>2009</v>
      </c>
      <c r="C635"/>
      <c r="D635" t="b">
        <f>IFERROR(VLOOKUP(B635,PatData!$A$2:$A$2030,1,),"")&lt;&gt;""</f>
        <v>1</v>
      </c>
      <c r="E635">
        <v>0</v>
      </c>
      <c r="F635" t="b">
        <v>0</v>
      </c>
      <c r="G635" t="b">
        <v>1</v>
      </c>
      <c r="H635" t="b">
        <v>0</v>
      </c>
      <c r="I635" t="b">
        <v>0</v>
      </c>
    </row>
    <row r="636" spans="1:9" s="151" customFormat="1" x14ac:dyDescent="0.2">
      <c r="A636" t="s">
        <v>3005</v>
      </c>
      <c r="B636" t="s">
        <v>2010</v>
      </c>
      <c r="C636"/>
      <c r="D636" t="b">
        <f>IFERROR(VLOOKUP(B636,PatData!$A$2:$A$2030,1,),"")&lt;&gt;""</f>
        <v>1</v>
      </c>
      <c r="E636">
        <v>0</v>
      </c>
      <c r="F636" t="b">
        <v>0</v>
      </c>
      <c r="G636" t="b">
        <v>1</v>
      </c>
      <c r="H636" t="b">
        <v>0</v>
      </c>
      <c r="I636" t="b">
        <v>0</v>
      </c>
    </row>
    <row r="637" spans="1:9" s="151" customFormat="1" x14ac:dyDescent="0.2">
      <c r="A637" t="s">
        <v>3006</v>
      </c>
      <c r="B637" t="s">
        <v>2011</v>
      </c>
      <c r="C637"/>
      <c r="D637" t="b">
        <f>IFERROR(VLOOKUP(B637,PatData!$A$2:$A$2030,1,),"")&lt;&gt;""</f>
        <v>1</v>
      </c>
      <c r="E637">
        <v>0</v>
      </c>
      <c r="F637" t="b">
        <v>0</v>
      </c>
      <c r="G637" t="b">
        <v>1</v>
      </c>
      <c r="H637" t="b">
        <v>0</v>
      </c>
      <c r="I637" t="b">
        <v>0</v>
      </c>
    </row>
    <row r="638" spans="1:9" s="151" customFormat="1" x14ac:dyDescent="0.2">
      <c r="A638" t="s">
        <v>3007</v>
      </c>
      <c r="B638" t="s">
        <v>2012</v>
      </c>
      <c r="C638"/>
      <c r="D638" t="b">
        <f>IFERROR(VLOOKUP(B638,PatData!$A$2:$A$2030,1,),"")&lt;&gt;""</f>
        <v>1</v>
      </c>
      <c r="E638">
        <v>0</v>
      </c>
      <c r="F638" t="b">
        <v>0</v>
      </c>
      <c r="G638" t="b">
        <v>1</v>
      </c>
      <c r="H638" t="b">
        <v>0</v>
      </c>
      <c r="I638" t="b">
        <v>0</v>
      </c>
    </row>
    <row r="639" spans="1:9" s="151" customFormat="1" x14ac:dyDescent="0.2">
      <c r="A639" t="s">
        <v>3008</v>
      </c>
      <c r="B639" t="s">
        <v>2013</v>
      </c>
      <c r="C639"/>
      <c r="D639" t="b">
        <f>IFERROR(VLOOKUP(B639,PatData!$A$2:$A$2030,1,),"")&lt;&gt;""</f>
        <v>1</v>
      </c>
      <c r="E639">
        <v>0</v>
      </c>
      <c r="F639" t="b">
        <v>0</v>
      </c>
      <c r="G639" t="b">
        <v>1</v>
      </c>
      <c r="H639" t="b">
        <v>0</v>
      </c>
      <c r="I639" t="b">
        <v>0</v>
      </c>
    </row>
    <row r="640" spans="1:9" s="151" customFormat="1" x14ac:dyDescent="0.2">
      <c r="A640" t="s">
        <v>3009</v>
      </c>
      <c r="B640" t="s">
        <v>2014</v>
      </c>
      <c r="C640"/>
      <c r="D640" t="b">
        <f>IFERROR(VLOOKUP(B640,PatData!$A$2:$A$2030,1,),"")&lt;&gt;""</f>
        <v>1</v>
      </c>
      <c r="E640">
        <v>0</v>
      </c>
      <c r="F640" t="b">
        <v>0</v>
      </c>
      <c r="G640" t="b">
        <v>1</v>
      </c>
      <c r="H640" t="b">
        <v>0</v>
      </c>
      <c r="I640" t="b">
        <v>0</v>
      </c>
    </row>
    <row r="641" spans="1:9" s="151" customFormat="1" x14ac:dyDescent="0.2">
      <c r="A641" t="s">
        <v>3010</v>
      </c>
      <c r="B641" t="s">
        <v>2015</v>
      </c>
      <c r="C641"/>
      <c r="D641" t="b">
        <f>IFERROR(VLOOKUP(B641,PatData!$A$2:$A$2030,1,),"")&lt;&gt;""</f>
        <v>1</v>
      </c>
      <c r="E641">
        <v>0</v>
      </c>
      <c r="F641" t="b">
        <v>0</v>
      </c>
      <c r="G641" t="b">
        <v>1</v>
      </c>
      <c r="H641" t="b">
        <v>0</v>
      </c>
      <c r="I641" t="b">
        <v>0</v>
      </c>
    </row>
    <row r="642" spans="1:9" s="151" customFormat="1" x14ac:dyDescent="0.2">
      <c r="A642" t="s">
        <v>3011</v>
      </c>
      <c r="B642" t="s">
        <v>2016</v>
      </c>
      <c r="C642"/>
      <c r="D642" t="b">
        <f>IFERROR(VLOOKUP(B642,PatData!$A$2:$A$2030,1,),"")&lt;&gt;""</f>
        <v>1</v>
      </c>
      <c r="E642">
        <v>0</v>
      </c>
      <c r="F642" t="b">
        <v>0</v>
      </c>
      <c r="G642" t="b">
        <v>1</v>
      </c>
      <c r="H642" t="b">
        <v>0</v>
      </c>
      <c r="I642" t="b">
        <v>0</v>
      </c>
    </row>
    <row r="643" spans="1:9" s="151" customFormat="1" x14ac:dyDescent="0.2">
      <c r="A643" t="s">
        <v>3012</v>
      </c>
      <c r="B643" t="s">
        <v>2017</v>
      </c>
      <c r="C643"/>
      <c r="D643" t="b">
        <f>IFERROR(VLOOKUP(B643,PatData!$A$2:$A$2030,1,),"")&lt;&gt;""</f>
        <v>1</v>
      </c>
      <c r="E643">
        <v>0</v>
      </c>
      <c r="F643" t="b">
        <v>0</v>
      </c>
      <c r="G643" t="b">
        <v>1</v>
      </c>
      <c r="H643" t="b">
        <v>0</v>
      </c>
      <c r="I643" t="b">
        <v>0</v>
      </c>
    </row>
    <row r="644" spans="1:9" s="151" customFormat="1" x14ac:dyDescent="0.2">
      <c r="A644" t="s">
        <v>3013</v>
      </c>
      <c r="B644" t="s">
        <v>2018</v>
      </c>
      <c r="C644"/>
      <c r="D644" t="b">
        <f>IFERROR(VLOOKUP(B644,PatData!$A$2:$A$2030,1,),"")&lt;&gt;""</f>
        <v>1</v>
      </c>
      <c r="E644">
        <v>0</v>
      </c>
      <c r="F644" t="b">
        <v>0</v>
      </c>
      <c r="G644" t="b">
        <v>1</v>
      </c>
      <c r="H644" t="b">
        <v>0</v>
      </c>
      <c r="I644" t="b">
        <v>0</v>
      </c>
    </row>
    <row r="645" spans="1:9" s="151" customFormat="1" x14ac:dyDescent="0.2">
      <c r="A645" t="s">
        <v>3014</v>
      </c>
      <c r="B645" t="s">
        <v>2019</v>
      </c>
      <c r="C645"/>
      <c r="D645" t="b">
        <f>IFERROR(VLOOKUP(B645,PatData!$A$2:$A$2030,1,),"")&lt;&gt;""</f>
        <v>1</v>
      </c>
      <c r="E645">
        <v>0</v>
      </c>
      <c r="F645" t="b">
        <v>0</v>
      </c>
      <c r="G645" t="b">
        <v>1</v>
      </c>
      <c r="H645" t="b">
        <v>0</v>
      </c>
      <c r="I645" t="b">
        <v>0</v>
      </c>
    </row>
    <row r="646" spans="1:9" s="151" customFormat="1" x14ac:dyDescent="0.2">
      <c r="A646" t="s">
        <v>3015</v>
      </c>
      <c r="B646" t="s">
        <v>2020</v>
      </c>
      <c r="C646"/>
      <c r="D646" t="b">
        <f>IFERROR(VLOOKUP(B646,PatData!$A$2:$A$2030,1,),"")&lt;&gt;""</f>
        <v>1</v>
      </c>
      <c r="E646">
        <v>0</v>
      </c>
      <c r="F646" t="b">
        <v>0</v>
      </c>
      <c r="G646" t="b">
        <v>1</v>
      </c>
      <c r="H646" t="b">
        <v>0</v>
      </c>
      <c r="I646" t="b">
        <v>0</v>
      </c>
    </row>
    <row r="647" spans="1:9" s="151" customFormat="1" x14ac:dyDescent="0.2">
      <c r="A647" t="s">
        <v>3016</v>
      </c>
      <c r="B647" t="s">
        <v>2021</v>
      </c>
      <c r="C647"/>
      <c r="D647" t="b">
        <f>IFERROR(VLOOKUP(B647,PatData!$A$2:$A$2030,1,),"")&lt;&gt;""</f>
        <v>1</v>
      </c>
      <c r="E647">
        <v>0</v>
      </c>
      <c r="F647" t="b">
        <v>0</v>
      </c>
      <c r="G647" t="b">
        <v>1</v>
      </c>
      <c r="H647" t="b">
        <v>0</v>
      </c>
      <c r="I647" t="b">
        <v>0</v>
      </c>
    </row>
    <row r="648" spans="1:9" s="151" customFormat="1" x14ac:dyDescent="0.2">
      <c r="A648" t="s">
        <v>3017</v>
      </c>
      <c r="B648" t="s">
        <v>2022</v>
      </c>
      <c r="C648"/>
      <c r="D648" t="b">
        <f>IFERROR(VLOOKUP(B648,PatData!$A$2:$A$2030,1,),"")&lt;&gt;""</f>
        <v>1</v>
      </c>
      <c r="E648">
        <v>0</v>
      </c>
      <c r="F648" t="b">
        <v>0</v>
      </c>
      <c r="G648" t="b">
        <v>1</v>
      </c>
      <c r="H648" t="b">
        <v>0</v>
      </c>
      <c r="I648" t="b">
        <v>0</v>
      </c>
    </row>
    <row r="649" spans="1:9" s="151" customFormat="1" x14ac:dyDescent="0.2">
      <c r="A649" t="s">
        <v>3018</v>
      </c>
      <c r="B649" t="s">
        <v>2023</v>
      </c>
      <c r="C649"/>
      <c r="D649" t="b">
        <f>IFERROR(VLOOKUP(B649,PatData!$A$2:$A$2030,1,),"")&lt;&gt;""</f>
        <v>1</v>
      </c>
      <c r="E649">
        <v>0</v>
      </c>
      <c r="F649" t="b">
        <v>0</v>
      </c>
      <c r="G649" t="b">
        <v>1</v>
      </c>
      <c r="H649" t="b">
        <v>0</v>
      </c>
      <c r="I649" t="b">
        <v>0</v>
      </c>
    </row>
    <row r="650" spans="1:9" s="151" customFormat="1" x14ac:dyDescent="0.2">
      <c r="A650" t="s">
        <v>3019</v>
      </c>
      <c r="B650" t="s">
        <v>2024</v>
      </c>
      <c r="C650"/>
      <c r="D650" t="b">
        <f>IFERROR(VLOOKUP(B650,PatData!$A$2:$A$2030,1,),"")&lt;&gt;""</f>
        <v>1</v>
      </c>
      <c r="E650">
        <v>0</v>
      </c>
      <c r="F650" t="b">
        <v>0</v>
      </c>
      <c r="G650" t="b">
        <v>1</v>
      </c>
      <c r="H650" t="b">
        <v>0</v>
      </c>
      <c r="I650" t="b">
        <v>0</v>
      </c>
    </row>
    <row r="651" spans="1:9" s="151" customFormat="1" x14ac:dyDescent="0.2">
      <c r="A651" t="s">
        <v>3020</v>
      </c>
      <c r="B651" t="s">
        <v>2025</v>
      </c>
      <c r="C651"/>
      <c r="D651" t="b">
        <f>IFERROR(VLOOKUP(B651,PatData!$A$2:$A$2030,1,),"")&lt;&gt;""</f>
        <v>1</v>
      </c>
      <c r="E651">
        <v>0</v>
      </c>
      <c r="F651" t="b">
        <v>0</v>
      </c>
      <c r="G651" t="b">
        <v>1</v>
      </c>
      <c r="H651" t="b">
        <v>0</v>
      </c>
      <c r="I651" t="b">
        <v>0</v>
      </c>
    </row>
    <row r="652" spans="1:9" s="151" customFormat="1" x14ac:dyDescent="0.2">
      <c r="A652" t="s">
        <v>3021</v>
      </c>
      <c r="B652" t="s">
        <v>2026</v>
      </c>
      <c r="C652"/>
      <c r="D652" t="b">
        <f>IFERROR(VLOOKUP(B652,PatData!$A$2:$A$2030,1,),"")&lt;&gt;""</f>
        <v>1</v>
      </c>
      <c r="E652">
        <v>0</v>
      </c>
      <c r="F652" t="b">
        <v>0</v>
      </c>
      <c r="G652" t="b">
        <v>1</v>
      </c>
      <c r="H652" t="b">
        <v>0</v>
      </c>
      <c r="I652" t="b">
        <v>0</v>
      </c>
    </row>
    <row r="653" spans="1:9" s="151" customFormat="1" x14ac:dyDescent="0.2">
      <c r="A653" t="s">
        <v>3022</v>
      </c>
      <c r="B653" t="s">
        <v>2027</v>
      </c>
      <c r="C653"/>
      <c r="D653" t="b">
        <f>IFERROR(VLOOKUP(B653,PatData!$A$2:$A$2030,1,),"")&lt;&gt;""</f>
        <v>1</v>
      </c>
      <c r="E653">
        <v>0</v>
      </c>
      <c r="F653" t="b">
        <v>0</v>
      </c>
      <c r="G653" t="b">
        <v>1</v>
      </c>
      <c r="H653" t="b">
        <v>0</v>
      </c>
      <c r="I653" t="b">
        <v>0</v>
      </c>
    </row>
    <row r="654" spans="1:9" s="151" customFormat="1" x14ac:dyDescent="0.2">
      <c r="A654" t="s">
        <v>5624</v>
      </c>
      <c r="B654" t="s">
        <v>2028</v>
      </c>
      <c r="C654"/>
      <c r="D654" t="b">
        <f>IFERROR(VLOOKUP(B654,PatData!$A$2:$A$2030,1,),"")&lt;&gt;""</f>
        <v>1</v>
      </c>
      <c r="E654"/>
      <c r="F654" t="b">
        <v>0</v>
      </c>
      <c r="G654" t="b">
        <v>1</v>
      </c>
      <c r="H654" t="b">
        <v>0</v>
      </c>
      <c r="I654" t="b">
        <v>0</v>
      </c>
    </row>
    <row r="655" spans="1:9" s="151" customFormat="1" x14ac:dyDescent="0.2">
      <c r="A655" t="s">
        <v>5625</v>
      </c>
      <c r="B655" t="s">
        <v>2029</v>
      </c>
      <c r="C655"/>
      <c r="D655" t="b">
        <f>IFERROR(VLOOKUP(B655,PatData!$A$2:$A$2030,1,),"")&lt;&gt;""</f>
        <v>1</v>
      </c>
      <c r="E655"/>
      <c r="F655" t="b">
        <v>0</v>
      </c>
      <c r="G655" t="b">
        <v>1</v>
      </c>
      <c r="H655" t="b">
        <v>0</v>
      </c>
      <c r="I655" t="b">
        <v>0</v>
      </c>
    </row>
    <row r="656" spans="1:9" s="151" customFormat="1" x14ac:dyDescent="0.2">
      <c r="A656" t="s">
        <v>5626</v>
      </c>
      <c r="B656" t="s">
        <v>2030</v>
      </c>
      <c r="C656"/>
      <c r="D656" t="b">
        <f>IFERROR(VLOOKUP(B656,PatData!$A$2:$A$2030,1,),"")&lt;&gt;""</f>
        <v>1</v>
      </c>
      <c r="E656"/>
      <c r="F656" t="b">
        <v>0</v>
      </c>
      <c r="G656" t="b">
        <v>1</v>
      </c>
      <c r="H656" t="b">
        <v>0</v>
      </c>
      <c r="I656" t="b">
        <v>0</v>
      </c>
    </row>
    <row r="657" spans="1:9" s="151" customFormat="1" x14ac:dyDescent="0.2">
      <c r="A657" t="s">
        <v>5627</v>
      </c>
      <c r="B657" t="s">
        <v>2031</v>
      </c>
      <c r="C657"/>
      <c r="D657" t="b">
        <f>IFERROR(VLOOKUP(B657,PatData!$A$2:$A$2030,1,),"")&lt;&gt;""</f>
        <v>1</v>
      </c>
      <c r="E657"/>
      <c r="F657" t="b">
        <v>0</v>
      </c>
      <c r="G657" t="b">
        <v>1</v>
      </c>
      <c r="H657" t="b">
        <v>0</v>
      </c>
      <c r="I657" t="b">
        <v>0</v>
      </c>
    </row>
    <row r="658" spans="1:9" s="151" customFormat="1" x14ac:dyDescent="0.2">
      <c r="A658" t="s">
        <v>5628</v>
      </c>
      <c r="B658" t="s">
        <v>2032</v>
      </c>
      <c r="C658"/>
      <c r="D658" t="b">
        <f>IFERROR(VLOOKUP(B658,PatData!$A$2:$A$2030,1,),"")&lt;&gt;""</f>
        <v>1</v>
      </c>
      <c r="E658"/>
      <c r="F658" t="b">
        <v>0</v>
      </c>
      <c r="G658" t="b">
        <v>1</v>
      </c>
      <c r="H658" t="b">
        <v>0</v>
      </c>
      <c r="I658" t="b">
        <v>0</v>
      </c>
    </row>
    <row r="659" spans="1:9" s="151" customFormat="1" x14ac:dyDescent="0.2">
      <c r="A659" t="s">
        <v>5629</v>
      </c>
      <c r="B659" t="s">
        <v>2033</v>
      </c>
      <c r="C659"/>
      <c r="D659" t="b">
        <f>IFERROR(VLOOKUP(B659,PatData!$A$2:$A$2030,1,),"")&lt;&gt;""</f>
        <v>1</v>
      </c>
      <c r="E659"/>
      <c r="F659" t="b">
        <v>0</v>
      </c>
      <c r="G659" t="b">
        <v>1</v>
      </c>
      <c r="H659" t="b">
        <v>0</v>
      </c>
      <c r="I659" t="b">
        <v>0</v>
      </c>
    </row>
    <row r="660" spans="1:9" s="151" customFormat="1" x14ac:dyDescent="0.2">
      <c r="A660" t="s">
        <v>5630</v>
      </c>
      <c r="B660" t="s">
        <v>2034</v>
      </c>
      <c r="C660"/>
      <c r="D660" t="b">
        <f>IFERROR(VLOOKUP(B660,PatData!$A$2:$A$2030,1,),"")&lt;&gt;""</f>
        <v>1</v>
      </c>
      <c r="E660"/>
      <c r="F660" t="b">
        <v>0</v>
      </c>
      <c r="G660" t="b">
        <v>1</v>
      </c>
      <c r="H660" t="b">
        <v>0</v>
      </c>
      <c r="I660" t="b">
        <v>0</v>
      </c>
    </row>
    <row r="661" spans="1:9" s="151" customFormat="1" x14ac:dyDescent="0.2">
      <c r="A661" t="s">
        <v>5631</v>
      </c>
      <c r="B661" t="s">
        <v>2035</v>
      </c>
      <c r="C661"/>
      <c r="D661" t="b">
        <f>IFERROR(VLOOKUP(B661,PatData!$A$2:$A$2030,1,),"")&lt;&gt;""</f>
        <v>1</v>
      </c>
      <c r="E661"/>
      <c r="F661" t="b">
        <v>0</v>
      </c>
      <c r="G661" t="b">
        <v>1</v>
      </c>
      <c r="H661" t="b">
        <v>0</v>
      </c>
      <c r="I661" t="b">
        <v>0</v>
      </c>
    </row>
    <row r="662" spans="1:9" s="151" customFormat="1" x14ac:dyDescent="0.2">
      <c r="A662" t="s">
        <v>5632</v>
      </c>
      <c r="B662" t="s">
        <v>2036</v>
      </c>
      <c r="C662"/>
      <c r="D662" t="b">
        <f>IFERROR(VLOOKUP(B662,PatData!$A$2:$A$2030,1,),"")&lt;&gt;""</f>
        <v>1</v>
      </c>
      <c r="E662"/>
      <c r="F662" t="b">
        <v>0</v>
      </c>
      <c r="G662" t="b">
        <v>1</v>
      </c>
      <c r="H662" t="b">
        <v>0</v>
      </c>
      <c r="I662" t="b">
        <v>0</v>
      </c>
    </row>
    <row r="663" spans="1:9" s="151" customFormat="1" x14ac:dyDescent="0.2">
      <c r="A663" t="s">
        <v>5633</v>
      </c>
      <c r="B663" t="s">
        <v>2037</v>
      </c>
      <c r="C663"/>
      <c r="D663" t="b">
        <f>IFERROR(VLOOKUP(B663,PatData!$A$2:$A$2030,1,),"")&lt;&gt;""</f>
        <v>1</v>
      </c>
      <c r="E663"/>
      <c r="F663" t="b">
        <v>0</v>
      </c>
      <c r="G663" t="b">
        <v>1</v>
      </c>
      <c r="H663" t="b">
        <v>0</v>
      </c>
      <c r="I663" t="b">
        <v>0</v>
      </c>
    </row>
    <row r="664" spans="1:9" s="151" customFormat="1" x14ac:dyDescent="0.2">
      <c r="A664" t="s">
        <v>5634</v>
      </c>
      <c r="B664" t="s">
        <v>2038</v>
      </c>
      <c r="C664"/>
      <c r="D664" t="b">
        <f>IFERROR(VLOOKUP(B664,PatData!$A$2:$A$2030,1,),"")&lt;&gt;""</f>
        <v>1</v>
      </c>
      <c r="E664"/>
      <c r="F664" t="b">
        <v>0</v>
      </c>
      <c r="G664" t="b">
        <v>1</v>
      </c>
      <c r="H664" t="b">
        <v>0</v>
      </c>
      <c r="I664" t="b">
        <v>0</v>
      </c>
    </row>
    <row r="665" spans="1:9" s="151" customFormat="1" x14ac:dyDescent="0.2">
      <c r="A665" t="s">
        <v>5635</v>
      </c>
      <c r="B665" t="s">
        <v>2039</v>
      </c>
      <c r="C665"/>
      <c r="D665" t="b">
        <f>IFERROR(VLOOKUP(B665,PatData!$A$2:$A$2030,1,),"")&lt;&gt;""</f>
        <v>1</v>
      </c>
      <c r="E665"/>
      <c r="F665" t="b">
        <v>0</v>
      </c>
      <c r="G665" t="b">
        <v>1</v>
      </c>
      <c r="H665" t="b">
        <v>0</v>
      </c>
      <c r="I665" t="b">
        <v>0</v>
      </c>
    </row>
    <row r="666" spans="1:9" s="151" customFormat="1" x14ac:dyDescent="0.2">
      <c r="A666" t="s">
        <v>5636</v>
      </c>
      <c r="B666" t="s">
        <v>2040</v>
      </c>
      <c r="C666"/>
      <c r="D666" t="b">
        <f>IFERROR(VLOOKUP(B666,PatData!$A$2:$A$2030,1,),"")&lt;&gt;""</f>
        <v>1</v>
      </c>
      <c r="E666"/>
      <c r="F666" t="b">
        <v>0</v>
      </c>
      <c r="G666" t="b">
        <v>1</v>
      </c>
      <c r="H666" t="b">
        <v>0</v>
      </c>
      <c r="I666" t="b">
        <v>0</v>
      </c>
    </row>
    <row r="667" spans="1:9" s="151" customFormat="1" x14ac:dyDescent="0.2">
      <c r="A667" t="s">
        <v>5637</v>
      </c>
      <c r="B667" t="s">
        <v>2041</v>
      </c>
      <c r="C667"/>
      <c r="D667" t="b">
        <f>IFERROR(VLOOKUP(B667,PatData!$A$2:$A$2030,1,),"")&lt;&gt;""</f>
        <v>1</v>
      </c>
      <c r="E667"/>
      <c r="F667" t="b">
        <v>0</v>
      </c>
      <c r="G667" t="b">
        <v>1</v>
      </c>
      <c r="H667" t="b">
        <v>0</v>
      </c>
      <c r="I667" t="b">
        <v>0</v>
      </c>
    </row>
    <row r="668" spans="1:9" s="151" customFormat="1" x14ac:dyDescent="0.2">
      <c r="A668" t="s">
        <v>5638</v>
      </c>
      <c r="B668" t="s">
        <v>2042</v>
      </c>
      <c r="C668"/>
      <c r="D668" t="b">
        <f>IFERROR(VLOOKUP(B668,PatData!$A$2:$A$2030,1,),"")&lt;&gt;""</f>
        <v>1</v>
      </c>
      <c r="E668"/>
      <c r="F668" t="b">
        <v>0</v>
      </c>
      <c r="G668" t="b">
        <v>1</v>
      </c>
      <c r="H668" t="b">
        <v>0</v>
      </c>
      <c r="I668" t="b">
        <v>0</v>
      </c>
    </row>
    <row r="669" spans="1:9" s="151" customFormat="1" x14ac:dyDescent="0.2">
      <c r="A669" t="s">
        <v>5639</v>
      </c>
      <c r="B669" t="s">
        <v>2043</v>
      </c>
      <c r="C669"/>
      <c r="D669" t="b">
        <f>IFERROR(VLOOKUP(B669,PatData!$A$2:$A$2030,1,),"")&lt;&gt;""</f>
        <v>1</v>
      </c>
      <c r="E669"/>
      <c r="F669" t="b">
        <v>0</v>
      </c>
      <c r="G669" t="b">
        <v>1</v>
      </c>
      <c r="H669" t="b">
        <v>0</v>
      </c>
      <c r="I669" t="b">
        <v>0</v>
      </c>
    </row>
    <row r="670" spans="1:9" s="151" customFormat="1" x14ac:dyDescent="0.2">
      <c r="A670" t="s">
        <v>5640</v>
      </c>
      <c r="B670" t="s">
        <v>2044</v>
      </c>
      <c r="C670"/>
      <c r="D670" t="b">
        <f>IFERROR(VLOOKUP(B670,PatData!$A$2:$A$2030,1,),"")&lt;&gt;""</f>
        <v>1</v>
      </c>
      <c r="E670"/>
      <c r="F670" t="b">
        <v>0</v>
      </c>
      <c r="G670" t="b">
        <v>1</v>
      </c>
      <c r="H670" t="b">
        <v>0</v>
      </c>
      <c r="I670" t="b">
        <v>0</v>
      </c>
    </row>
    <row r="671" spans="1:9" s="151" customFormat="1" x14ac:dyDescent="0.2">
      <c r="A671" t="s">
        <v>5641</v>
      </c>
      <c r="B671" t="s">
        <v>2045</v>
      </c>
      <c r="C671"/>
      <c r="D671" t="b">
        <f>IFERROR(VLOOKUP(B671,PatData!$A$2:$A$2030,1,),"")&lt;&gt;""</f>
        <v>1</v>
      </c>
      <c r="E671"/>
      <c r="F671" t="b">
        <v>0</v>
      </c>
      <c r="G671" t="b">
        <v>1</v>
      </c>
      <c r="H671" t="b">
        <v>0</v>
      </c>
      <c r="I671" t="b">
        <v>0</v>
      </c>
    </row>
    <row r="672" spans="1:9" s="151" customFormat="1" x14ac:dyDescent="0.2">
      <c r="A672" t="s">
        <v>5642</v>
      </c>
      <c r="B672" t="s">
        <v>2046</v>
      </c>
      <c r="C672"/>
      <c r="D672" t="b">
        <f>IFERROR(VLOOKUP(B672,PatData!$A$2:$A$2030,1,),"")&lt;&gt;""</f>
        <v>1</v>
      </c>
      <c r="E672"/>
      <c r="F672" t="b">
        <v>0</v>
      </c>
      <c r="G672" t="b">
        <v>1</v>
      </c>
      <c r="H672" t="b">
        <v>0</v>
      </c>
      <c r="I672" t="b">
        <v>0</v>
      </c>
    </row>
    <row r="673" spans="1:9" s="151" customFormat="1" x14ac:dyDescent="0.2">
      <c r="A673" t="s">
        <v>5643</v>
      </c>
      <c r="B673" t="s">
        <v>2047</v>
      </c>
      <c r="C673"/>
      <c r="D673" t="b">
        <f>IFERROR(VLOOKUP(B673,PatData!$A$2:$A$2030,1,),"")&lt;&gt;""</f>
        <v>1</v>
      </c>
      <c r="E673"/>
      <c r="F673" t="b">
        <v>0</v>
      </c>
      <c r="G673" t="b">
        <v>1</v>
      </c>
      <c r="H673" t="b">
        <v>0</v>
      </c>
      <c r="I673" t="b">
        <v>0</v>
      </c>
    </row>
    <row r="674" spans="1:9" s="151" customFormat="1" x14ac:dyDescent="0.2">
      <c r="A674" t="s">
        <v>5644</v>
      </c>
      <c r="B674" t="s">
        <v>2048</v>
      </c>
      <c r="C674"/>
      <c r="D674" t="b">
        <f>IFERROR(VLOOKUP(B674,PatData!$A$2:$A$2030,1,),"")&lt;&gt;""</f>
        <v>1</v>
      </c>
      <c r="E674"/>
      <c r="F674" t="b">
        <v>0</v>
      </c>
      <c r="G674" t="b">
        <v>1</v>
      </c>
      <c r="H674" t="b">
        <v>0</v>
      </c>
      <c r="I674" t="b">
        <v>0</v>
      </c>
    </row>
    <row r="675" spans="1:9" s="151" customFormat="1" x14ac:dyDescent="0.2">
      <c r="A675" t="s">
        <v>5645</v>
      </c>
      <c r="B675" t="s">
        <v>2049</v>
      </c>
      <c r="C675"/>
      <c r="D675" t="b">
        <f>IFERROR(VLOOKUP(B675,PatData!$A$2:$A$2030,1,),"")&lt;&gt;""</f>
        <v>1</v>
      </c>
      <c r="E675"/>
      <c r="F675" t="b">
        <v>0</v>
      </c>
      <c r="G675" t="b">
        <v>1</v>
      </c>
      <c r="H675" t="b">
        <v>0</v>
      </c>
      <c r="I675" t="b">
        <v>0</v>
      </c>
    </row>
    <row r="676" spans="1:9" s="151" customFormat="1" x14ac:dyDescent="0.2">
      <c r="A676" t="s">
        <v>5646</v>
      </c>
      <c r="B676" t="s">
        <v>2050</v>
      </c>
      <c r="C676"/>
      <c r="D676" t="b">
        <f>IFERROR(VLOOKUP(B676,PatData!$A$2:$A$2030,1,),"")&lt;&gt;""</f>
        <v>1</v>
      </c>
      <c r="E676"/>
      <c r="F676" t="b">
        <v>0</v>
      </c>
      <c r="G676" t="b">
        <v>1</v>
      </c>
      <c r="H676" t="b">
        <v>0</v>
      </c>
      <c r="I676" t="b">
        <v>0</v>
      </c>
    </row>
    <row r="677" spans="1:9" s="151" customFormat="1" x14ac:dyDescent="0.2">
      <c r="A677" t="s">
        <v>5647</v>
      </c>
      <c r="B677" t="s">
        <v>2051</v>
      </c>
      <c r="C677"/>
      <c r="D677" t="b">
        <f>IFERROR(VLOOKUP(B677,PatData!$A$2:$A$2030,1,),"")&lt;&gt;""</f>
        <v>1</v>
      </c>
      <c r="E677"/>
      <c r="F677" t="b">
        <v>0</v>
      </c>
      <c r="G677" t="b">
        <v>1</v>
      </c>
      <c r="H677" t="b">
        <v>0</v>
      </c>
      <c r="I677" t="b">
        <v>0</v>
      </c>
    </row>
    <row r="678" spans="1:9" s="151" customFormat="1" x14ac:dyDescent="0.2">
      <c r="A678" t="s">
        <v>5648</v>
      </c>
      <c r="B678" t="s">
        <v>2052</v>
      </c>
      <c r="C678"/>
      <c r="D678" t="b">
        <f>IFERROR(VLOOKUP(B678,PatData!$A$2:$A$2030,1,),"")&lt;&gt;""</f>
        <v>1</v>
      </c>
      <c r="E678"/>
      <c r="F678" t="b">
        <v>0</v>
      </c>
      <c r="G678" t="b">
        <v>1</v>
      </c>
      <c r="H678" t="b">
        <v>0</v>
      </c>
      <c r="I678" t="b">
        <v>0</v>
      </c>
    </row>
    <row r="679" spans="1:9" s="151" customFormat="1" x14ac:dyDescent="0.2">
      <c r="A679" t="s">
        <v>5649</v>
      </c>
      <c r="B679" t="s">
        <v>2053</v>
      </c>
      <c r="C679"/>
      <c r="D679" t="b">
        <f>IFERROR(VLOOKUP(B679,PatData!$A$2:$A$2030,1,),"")&lt;&gt;""</f>
        <v>1</v>
      </c>
      <c r="E679"/>
      <c r="F679" t="b">
        <v>0</v>
      </c>
      <c r="G679" t="b">
        <v>1</v>
      </c>
      <c r="H679" t="b">
        <v>0</v>
      </c>
      <c r="I679" t="b">
        <v>0</v>
      </c>
    </row>
    <row r="680" spans="1:9" s="151" customFormat="1" x14ac:dyDescent="0.2">
      <c r="A680" t="s">
        <v>5650</v>
      </c>
      <c r="B680" t="s">
        <v>2054</v>
      </c>
      <c r="C680"/>
      <c r="D680" t="b">
        <f>IFERROR(VLOOKUP(B680,PatData!$A$2:$A$2030,1,),"")&lt;&gt;""</f>
        <v>1</v>
      </c>
      <c r="E680"/>
      <c r="F680" t="b">
        <v>0</v>
      </c>
      <c r="G680" t="b">
        <v>1</v>
      </c>
      <c r="H680" t="b">
        <v>0</v>
      </c>
      <c r="I680" t="b">
        <v>0</v>
      </c>
    </row>
    <row r="681" spans="1:9" s="151" customFormat="1" x14ac:dyDescent="0.2">
      <c r="A681" t="s">
        <v>5651</v>
      </c>
      <c r="B681" t="s">
        <v>2055</v>
      </c>
      <c r="C681"/>
      <c r="D681" t="b">
        <f>IFERROR(VLOOKUP(B681,PatData!$A$2:$A$2030,1,),"")&lt;&gt;""</f>
        <v>1</v>
      </c>
      <c r="E681"/>
      <c r="F681" t="b">
        <v>0</v>
      </c>
      <c r="G681" t="b">
        <v>1</v>
      </c>
      <c r="H681" t="b">
        <v>0</v>
      </c>
      <c r="I681" t="b">
        <v>0</v>
      </c>
    </row>
    <row r="682" spans="1:9" s="151" customFormat="1" x14ac:dyDescent="0.2">
      <c r="A682" t="s">
        <v>5652</v>
      </c>
      <c r="B682" t="s">
        <v>2056</v>
      </c>
      <c r="C682"/>
      <c r="D682" t="b">
        <f>IFERROR(VLOOKUP(B682,PatData!$A$2:$A$2030,1,),"")&lt;&gt;""</f>
        <v>1</v>
      </c>
      <c r="E682"/>
      <c r="F682" t="b">
        <v>0</v>
      </c>
      <c r="G682" t="b">
        <v>1</v>
      </c>
      <c r="H682" t="b">
        <v>0</v>
      </c>
      <c r="I682" t="b">
        <v>0</v>
      </c>
    </row>
    <row r="683" spans="1:9" s="151" customFormat="1" x14ac:dyDescent="0.2">
      <c r="A683" t="s">
        <v>5653</v>
      </c>
      <c r="B683" t="s">
        <v>2057</v>
      </c>
      <c r="C683"/>
      <c r="D683" t="b">
        <f>IFERROR(VLOOKUP(B683,PatData!$A$2:$A$2030,1,),"")&lt;&gt;""</f>
        <v>1</v>
      </c>
      <c r="E683"/>
      <c r="F683" t="b">
        <v>0</v>
      </c>
      <c r="G683" t="b">
        <v>1</v>
      </c>
      <c r="H683" t="b">
        <v>0</v>
      </c>
      <c r="I683" t="b">
        <v>0</v>
      </c>
    </row>
    <row r="684" spans="1:9" s="151" customFormat="1" x14ac:dyDescent="0.2">
      <c r="A684" t="s">
        <v>7538</v>
      </c>
      <c r="B684" t="s">
        <v>7539</v>
      </c>
      <c r="C684"/>
      <c r="D684" t="b">
        <f>IFERROR(VLOOKUP(B684,PatData!$A$2:$A$2030,1,),"")&lt;&gt;""</f>
        <v>1</v>
      </c>
      <c r="E684" t="b">
        <v>0</v>
      </c>
      <c r="F684" t="b">
        <v>0</v>
      </c>
      <c r="G684" t="b">
        <v>1</v>
      </c>
      <c r="H684" t="b">
        <v>0</v>
      </c>
      <c r="I684" t="b">
        <v>0</v>
      </c>
    </row>
    <row r="685" spans="1:9" s="151" customFormat="1" x14ac:dyDescent="0.2">
      <c r="A685" t="s">
        <v>7540</v>
      </c>
      <c r="B685" t="s">
        <v>7541</v>
      </c>
      <c r="C685"/>
      <c r="D685" t="b">
        <f>IFERROR(VLOOKUP(B685,PatData!$A$2:$A$2030,1,),"")&lt;&gt;""</f>
        <v>1</v>
      </c>
      <c r="E685" t="b">
        <v>0</v>
      </c>
      <c r="F685" t="b">
        <v>0</v>
      </c>
      <c r="G685" t="b">
        <v>1</v>
      </c>
      <c r="H685" t="b">
        <v>0</v>
      </c>
      <c r="I685" t="b">
        <v>0</v>
      </c>
    </row>
    <row r="686" spans="1:9" s="151" customFormat="1" x14ac:dyDescent="0.2">
      <c r="A686" t="s">
        <v>7542</v>
      </c>
      <c r="B686" t="s">
        <v>7543</v>
      </c>
      <c r="C686"/>
      <c r="D686" t="b">
        <f>IFERROR(VLOOKUP(B686,PatData!$A$2:$A$2030,1,),"")&lt;&gt;""</f>
        <v>1</v>
      </c>
      <c r="E686" t="b">
        <v>0</v>
      </c>
      <c r="F686" t="b">
        <v>0</v>
      </c>
      <c r="G686" t="b">
        <v>1</v>
      </c>
      <c r="H686" t="b">
        <v>0</v>
      </c>
      <c r="I686" t="b">
        <v>0</v>
      </c>
    </row>
    <row r="687" spans="1:9" s="151" customFormat="1" x14ac:dyDescent="0.2">
      <c r="A687" t="s">
        <v>7544</v>
      </c>
      <c r="B687" t="s">
        <v>7545</v>
      </c>
      <c r="C687"/>
      <c r="D687" t="b">
        <f>IFERROR(VLOOKUP(B687,PatData!$A$2:$A$2030,1,),"")&lt;&gt;""</f>
        <v>1</v>
      </c>
      <c r="E687" t="b">
        <v>0</v>
      </c>
      <c r="F687" t="b">
        <v>0</v>
      </c>
      <c r="G687" t="b">
        <v>1</v>
      </c>
      <c r="H687" t="b">
        <v>0</v>
      </c>
      <c r="I687" t="b">
        <v>0</v>
      </c>
    </row>
    <row r="688" spans="1:9" s="151" customFormat="1" x14ac:dyDescent="0.2">
      <c r="A688" t="s">
        <v>7546</v>
      </c>
      <c r="B688" t="s">
        <v>7547</v>
      </c>
      <c r="C688"/>
      <c r="D688" t="b">
        <f>IFERROR(VLOOKUP(B688,PatData!$A$2:$A$2030,1,),"")&lt;&gt;""</f>
        <v>1</v>
      </c>
      <c r="E688" t="b">
        <v>0</v>
      </c>
      <c r="F688" t="b">
        <v>0</v>
      </c>
      <c r="G688" t="b">
        <v>1</v>
      </c>
      <c r="H688" t="b">
        <v>0</v>
      </c>
      <c r="I688" t="b">
        <v>0</v>
      </c>
    </row>
    <row r="689" spans="1:9" s="151" customFormat="1" x14ac:dyDescent="0.2">
      <c r="A689" t="s">
        <v>7548</v>
      </c>
      <c r="B689" t="s">
        <v>7549</v>
      </c>
      <c r="C689"/>
      <c r="D689" t="b">
        <f>IFERROR(VLOOKUP(B689,PatData!$A$2:$A$2030,1,),"")&lt;&gt;""</f>
        <v>1</v>
      </c>
      <c r="E689" t="b">
        <v>0</v>
      </c>
      <c r="F689" t="b">
        <v>0</v>
      </c>
      <c r="G689" t="b">
        <v>1</v>
      </c>
      <c r="H689" t="b">
        <v>0</v>
      </c>
      <c r="I689" t="b">
        <v>0</v>
      </c>
    </row>
    <row r="690" spans="1:9" s="151" customFormat="1" x14ac:dyDescent="0.2">
      <c r="A690" t="s">
        <v>7550</v>
      </c>
      <c r="B690" t="s">
        <v>7551</v>
      </c>
      <c r="C690"/>
      <c r="D690" t="b">
        <f>IFERROR(VLOOKUP(B690,PatData!$A$2:$A$2030,1,),"")&lt;&gt;""</f>
        <v>1</v>
      </c>
      <c r="E690" t="b">
        <v>0</v>
      </c>
      <c r="F690" t="b">
        <v>0</v>
      </c>
      <c r="G690" t="b">
        <v>1</v>
      </c>
      <c r="H690" t="b">
        <v>0</v>
      </c>
      <c r="I690" t="b">
        <v>0</v>
      </c>
    </row>
    <row r="691" spans="1:9" s="151" customFormat="1" x14ac:dyDescent="0.2">
      <c r="A691" t="s">
        <v>7552</v>
      </c>
      <c r="B691" t="s">
        <v>7553</v>
      </c>
      <c r="C691"/>
      <c r="D691" t="b">
        <f>IFERROR(VLOOKUP(B691,PatData!$A$2:$A$2030,1,),"")&lt;&gt;""</f>
        <v>1</v>
      </c>
      <c r="E691" t="b">
        <v>0</v>
      </c>
      <c r="F691" t="b">
        <v>0</v>
      </c>
      <c r="G691" t="b">
        <v>1</v>
      </c>
      <c r="H691" t="b">
        <v>0</v>
      </c>
      <c r="I691" t="b">
        <v>0</v>
      </c>
    </row>
    <row r="692" spans="1:9" s="151" customFormat="1" x14ac:dyDescent="0.2">
      <c r="A692" t="s">
        <v>7554</v>
      </c>
      <c r="B692" t="s">
        <v>7555</v>
      </c>
      <c r="C692"/>
      <c r="D692" t="b">
        <f>IFERROR(VLOOKUP(B692,PatData!$A$2:$A$2030,1,),"")&lt;&gt;""</f>
        <v>1</v>
      </c>
      <c r="E692" t="b">
        <v>0</v>
      </c>
      <c r="F692" t="b">
        <v>0</v>
      </c>
      <c r="G692" t="b">
        <v>1</v>
      </c>
      <c r="H692" t="b">
        <v>0</v>
      </c>
      <c r="I692" t="b">
        <v>0</v>
      </c>
    </row>
    <row r="693" spans="1:9" s="151" customFormat="1" x14ac:dyDescent="0.2">
      <c r="A693" t="s">
        <v>7556</v>
      </c>
      <c r="B693" t="s">
        <v>7557</v>
      </c>
      <c r="C693"/>
      <c r="D693" t="b">
        <f>IFERROR(VLOOKUP(B693,PatData!$A$2:$A$2030,1,),"")&lt;&gt;""</f>
        <v>1</v>
      </c>
      <c r="E693" t="b">
        <v>0</v>
      </c>
      <c r="F693" t="b">
        <v>0</v>
      </c>
      <c r="G693" t="b">
        <v>1</v>
      </c>
      <c r="H693" t="b">
        <v>0</v>
      </c>
      <c r="I693" t="b">
        <v>0</v>
      </c>
    </row>
    <row r="694" spans="1:9" s="151" customFormat="1" x14ac:dyDescent="0.2">
      <c r="A694" t="s">
        <v>7558</v>
      </c>
      <c r="B694" t="s">
        <v>7559</v>
      </c>
      <c r="C694"/>
      <c r="D694" t="b">
        <f>IFERROR(VLOOKUP(B694,PatData!$A$2:$A$2030,1,),"")&lt;&gt;""</f>
        <v>1</v>
      </c>
      <c r="E694" t="b">
        <v>0</v>
      </c>
      <c r="F694" t="b">
        <v>0</v>
      </c>
      <c r="G694" t="b">
        <v>1</v>
      </c>
      <c r="H694" t="b">
        <v>0</v>
      </c>
      <c r="I694" t="b">
        <v>0</v>
      </c>
    </row>
    <row r="695" spans="1:9" s="151" customFormat="1" x14ac:dyDescent="0.2">
      <c r="A695" t="s">
        <v>7560</v>
      </c>
      <c r="B695" t="s">
        <v>7561</v>
      </c>
      <c r="C695"/>
      <c r="D695" t="b">
        <f>IFERROR(VLOOKUP(B695,PatData!$A$2:$A$2030,1,),"")&lt;&gt;""</f>
        <v>1</v>
      </c>
      <c r="E695" t="b">
        <v>0</v>
      </c>
      <c r="F695" t="b">
        <v>0</v>
      </c>
      <c r="G695" t="b">
        <v>1</v>
      </c>
      <c r="H695" t="b">
        <v>0</v>
      </c>
      <c r="I695" t="b">
        <v>0</v>
      </c>
    </row>
    <row r="696" spans="1:9" s="151" customFormat="1" x14ac:dyDescent="0.2">
      <c r="A696" t="s">
        <v>7562</v>
      </c>
      <c r="B696" t="s">
        <v>7563</v>
      </c>
      <c r="C696"/>
      <c r="D696" t="b">
        <f>IFERROR(VLOOKUP(B696,PatData!$A$2:$A$2030,1,),"")&lt;&gt;""</f>
        <v>1</v>
      </c>
      <c r="E696" t="b">
        <v>0</v>
      </c>
      <c r="F696" t="b">
        <v>0</v>
      </c>
      <c r="G696" t="b">
        <v>1</v>
      </c>
      <c r="H696" t="b">
        <v>0</v>
      </c>
      <c r="I696" t="b">
        <v>0</v>
      </c>
    </row>
    <row r="697" spans="1:9" x14ac:dyDescent="0.2">
      <c r="A697" t="s">
        <v>7564</v>
      </c>
      <c r="B697" t="s">
        <v>7565</v>
      </c>
      <c r="D697" t="b">
        <f>IFERROR(VLOOKUP(B697,PatData!$A$2:$A$2030,1,),"")&lt;&gt;""</f>
        <v>1</v>
      </c>
      <c r="E697" t="b">
        <v>0</v>
      </c>
      <c r="F697" t="b">
        <v>0</v>
      </c>
      <c r="G697" t="b">
        <v>1</v>
      </c>
      <c r="H697" t="b">
        <v>0</v>
      </c>
      <c r="I697" t="b">
        <v>0</v>
      </c>
    </row>
    <row r="698" spans="1:9" x14ac:dyDescent="0.2">
      <c r="A698" t="s">
        <v>7566</v>
      </c>
      <c r="B698" t="s">
        <v>7567</v>
      </c>
      <c r="D698" t="b">
        <f>IFERROR(VLOOKUP(B698,PatData!$A$2:$A$2030,1,),"")&lt;&gt;""</f>
        <v>1</v>
      </c>
      <c r="E698" t="b">
        <v>0</v>
      </c>
      <c r="F698" t="b">
        <v>0</v>
      </c>
      <c r="G698" t="b">
        <v>1</v>
      </c>
      <c r="H698" t="b">
        <v>0</v>
      </c>
      <c r="I698" t="b">
        <v>0</v>
      </c>
    </row>
    <row r="699" spans="1:9" x14ac:dyDescent="0.2">
      <c r="A699" t="s">
        <v>7568</v>
      </c>
      <c r="B699" t="s">
        <v>7569</v>
      </c>
      <c r="D699" t="b">
        <f>IFERROR(VLOOKUP(B699,PatData!$A$2:$A$2030,1,),"")&lt;&gt;""</f>
        <v>1</v>
      </c>
      <c r="E699" t="b">
        <v>0</v>
      </c>
      <c r="F699" t="b">
        <v>0</v>
      </c>
      <c r="G699" t="b">
        <v>1</v>
      </c>
      <c r="H699" t="b">
        <v>0</v>
      </c>
      <c r="I699" t="b">
        <v>0</v>
      </c>
    </row>
    <row r="700" spans="1:9" x14ac:dyDescent="0.2">
      <c r="A700" t="s">
        <v>7570</v>
      </c>
      <c r="B700" t="s">
        <v>7571</v>
      </c>
      <c r="D700" t="b">
        <f>IFERROR(VLOOKUP(B700,PatData!$A$2:$A$2030,1,),"")&lt;&gt;""</f>
        <v>1</v>
      </c>
      <c r="E700" t="b">
        <v>0</v>
      </c>
      <c r="F700" t="b">
        <v>0</v>
      </c>
      <c r="G700" t="b">
        <v>1</v>
      </c>
      <c r="H700" t="b">
        <v>0</v>
      </c>
      <c r="I700" t="b">
        <v>0</v>
      </c>
    </row>
    <row r="701" spans="1:9" x14ac:dyDescent="0.2">
      <c r="A701" t="s">
        <v>7572</v>
      </c>
      <c r="B701" t="s">
        <v>7573</v>
      </c>
      <c r="D701" t="b">
        <f>IFERROR(VLOOKUP(B701,PatData!$A$2:$A$2030,1,),"")&lt;&gt;""</f>
        <v>1</v>
      </c>
      <c r="E701" t="b">
        <v>0</v>
      </c>
      <c r="F701" t="b">
        <v>0</v>
      </c>
      <c r="G701" t="b">
        <v>1</v>
      </c>
      <c r="H701" t="b">
        <v>0</v>
      </c>
      <c r="I701" t="b">
        <v>0</v>
      </c>
    </row>
    <row r="702" spans="1:9" x14ac:dyDescent="0.2">
      <c r="A702" t="s">
        <v>7574</v>
      </c>
      <c r="B702" t="s">
        <v>7575</v>
      </c>
      <c r="D702" t="b">
        <f>IFERROR(VLOOKUP(B702,PatData!$A$2:$A$2030,1,),"")&lt;&gt;""</f>
        <v>1</v>
      </c>
      <c r="E702" t="b">
        <v>0</v>
      </c>
      <c r="F702" t="b">
        <v>0</v>
      </c>
      <c r="G702" t="b">
        <v>1</v>
      </c>
      <c r="H702" t="b">
        <v>0</v>
      </c>
      <c r="I702" t="b">
        <v>0</v>
      </c>
    </row>
    <row r="703" spans="1:9" x14ac:dyDescent="0.2">
      <c r="A703" t="s">
        <v>7576</v>
      </c>
      <c r="B703" t="s">
        <v>7577</v>
      </c>
      <c r="D703" t="b">
        <f>IFERROR(VLOOKUP(B703,PatData!$A$2:$A$2030,1,),"")&lt;&gt;""</f>
        <v>1</v>
      </c>
      <c r="E703" t="b">
        <v>0</v>
      </c>
      <c r="F703" t="b">
        <v>0</v>
      </c>
      <c r="G703" t="b">
        <v>1</v>
      </c>
      <c r="H703" t="b">
        <v>0</v>
      </c>
      <c r="I703" t="b">
        <v>0</v>
      </c>
    </row>
    <row r="704" spans="1:9" x14ac:dyDescent="0.2">
      <c r="A704" t="s">
        <v>7578</v>
      </c>
      <c r="B704" t="s">
        <v>7579</v>
      </c>
      <c r="D704" t="b">
        <f>IFERROR(VLOOKUP(B704,PatData!$A$2:$A$2030,1,),"")&lt;&gt;""</f>
        <v>1</v>
      </c>
      <c r="E704" t="b">
        <v>0</v>
      </c>
      <c r="F704" t="b">
        <v>0</v>
      </c>
      <c r="G704" t="b">
        <v>1</v>
      </c>
      <c r="H704" t="b">
        <v>0</v>
      </c>
      <c r="I704" t="b">
        <v>0</v>
      </c>
    </row>
    <row r="705" spans="1:9" x14ac:dyDescent="0.2">
      <c r="A705" t="s">
        <v>7580</v>
      </c>
      <c r="B705" t="s">
        <v>7581</v>
      </c>
      <c r="D705" t="b">
        <f>IFERROR(VLOOKUP(B705,PatData!$A$2:$A$2030,1,),"")&lt;&gt;""</f>
        <v>1</v>
      </c>
      <c r="E705" t="b">
        <v>0</v>
      </c>
      <c r="F705" t="b">
        <v>0</v>
      </c>
      <c r="G705" t="b">
        <v>1</v>
      </c>
      <c r="H705" t="b">
        <v>0</v>
      </c>
      <c r="I705" t="b">
        <v>0</v>
      </c>
    </row>
    <row r="706" spans="1:9" x14ac:dyDescent="0.2">
      <c r="A706" t="s">
        <v>7582</v>
      </c>
      <c r="B706" t="s">
        <v>7583</v>
      </c>
      <c r="D706" t="b">
        <f>IFERROR(VLOOKUP(B706,PatData!$A$2:$A$2030,1,),"")&lt;&gt;""</f>
        <v>1</v>
      </c>
      <c r="E706" t="b">
        <v>0</v>
      </c>
      <c r="F706" t="b">
        <v>0</v>
      </c>
      <c r="G706" t="b">
        <v>1</v>
      </c>
      <c r="H706" t="b">
        <v>0</v>
      </c>
      <c r="I706" t="b">
        <v>0</v>
      </c>
    </row>
    <row r="707" spans="1:9" x14ac:dyDescent="0.2">
      <c r="A707" t="s">
        <v>7584</v>
      </c>
      <c r="B707" t="s">
        <v>7585</v>
      </c>
      <c r="D707" t="b">
        <f>IFERROR(VLOOKUP(B707,PatData!$A$2:$A$2030,1,),"")&lt;&gt;""</f>
        <v>1</v>
      </c>
      <c r="E707" t="b">
        <v>0</v>
      </c>
      <c r="F707" t="b">
        <v>0</v>
      </c>
      <c r="G707" t="b">
        <v>1</v>
      </c>
      <c r="H707" t="b">
        <v>0</v>
      </c>
      <c r="I707" t="b">
        <v>0</v>
      </c>
    </row>
    <row r="708" spans="1:9" x14ac:dyDescent="0.2">
      <c r="A708" t="s">
        <v>7586</v>
      </c>
      <c r="B708" t="s">
        <v>7587</v>
      </c>
      <c r="D708" t="b">
        <f>IFERROR(VLOOKUP(B708,PatData!$A$2:$A$2030,1,),"")&lt;&gt;""</f>
        <v>1</v>
      </c>
      <c r="E708" t="b">
        <v>0</v>
      </c>
      <c r="F708" t="b">
        <v>0</v>
      </c>
      <c r="G708" t="b">
        <v>1</v>
      </c>
      <c r="H708" t="b">
        <v>0</v>
      </c>
      <c r="I708" t="b">
        <v>0</v>
      </c>
    </row>
    <row r="709" spans="1:9" x14ac:dyDescent="0.2">
      <c r="A709" t="s">
        <v>7588</v>
      </c>
      <c r="B709" t="s">
        <v>7589</v>
      </c>
      <c r="D709" t="b">
        <f>IFERROR(VLOOKUP(B709,PatData!$A$2:$A$2030,1,),"")&lt;&gt;""</f>
        <v>1</v>
      </c>
      <c r="E709" t="b">
        <v>0</v>
      </c>
      <c r="F709" t="b">
        <v>0</v>
      </c>
      <c r="G709" t="b">
        <v>1</v>
      </c>
      <c r="H709" t="b">
        <v>0</v>
      </c>
      <c r="I709" t="b">
        <v>0</v>
      </c>
    </row>
    <row r="710" spans="1:9" x14ac:dyDescent="0.2">
      <c r="A710" t="s">
        <v>7590</v>
      </c>
      <c r="B710" t="s">
        <v>7591</v>
      </c>
      <c r="D710" t="b">
        <f>IFERROR(VLOOKUP(B710,PatData!$A$2:$A$2030,1,),"")&lt;&gt;""</f>
        <v>1</v>
      </c>
      <c r="E710" t="b">
        <v>0</v>
      </c>
      <c r="F710" t="b">
        <v>0</v>
      </c>
      <c r="G710" t="b">
        <v>1</v>
      </c>
      <c r="H710" t="b">
        <v>0</v>
      </c>
      <c r="I710" t="b">
        <v>0</v>
      </c>
    </row>
    <row r="711" spans="1:9" x14ac:dyDescent="0.2">
      <c r="A711" t="s">
        <v>7592</v>
      </c>
      <c r="B711" t="s">
        <v>7593</v>
      </c>
      <c r="D711" t="b">
        <f>IFERROR(VLOOKUP(B711,PatData!$A$2:$A$2030,1,),"")&lt;&gt;""</f>
        <v>1</v>
      </c>
      <c r="E711" t="b">
        <v>0</v>
      </c>
      <c r="F711" t="b">
        <v>0</v>
      </c>
      <c r="G711" t="b">
        <v>1</v>
      </c>
      <c r="H711" t="b">
        <v>0</v>
      </c>
      <c r="I711" t="b">
        <v>0</v>
      </c>
    </row>
    <row r="712" spans="1:9" x14ac:dyDescent="0.2">
      <c r="A712" t="s">
        <v>7594</v>
      </c>
      <c r="B712" t="s">
        <v>7595</v>
      </c>
      <c r="D712" t="b">
        <f>IFERROR(VLOOKUP(B712,PatData!$A$2:$A$2030,1,),"")&lt;&gt;""</f>
        <v>1</v>
      </c>
      <c r="E712" t="b">
        <v>0</v>
      </c>
      <c r="F712" t="b">
        <v>0</v>
      </c>
      <c r="G712" t="b">
        <v>1</v>
      </c>
      <c r="H712" t="b">
        <v>0</v>
      </c>
      <c r="I712" t="b">
        <v>0</v>
      </c>
    </row>
    <row r="713" spans="1:9" x14ac:dyDescent="0.2">
      <c r="A713" t="s">
        <v>7596</v>
      </c>
      <c r="B713" t="s">
        <v>7597</v>
      </c>
      <c r="D713" t="b">
        <f>IFERROR(VLOOKUP(B713,PatData!$A$2:$A$2030,1,),"")&lt;&gt;""</f>
        <v>1</v>
      </c>
      <c r="E713" t="b">
        <v>0</v>
      </c>
      <c r="F713" t="b">
        <v>0</v>
      </c>
      <c r="G713" t="b">
        <v>1</v>
      </c>
      <c r="H713" t="b">
        <v>0</v>
      </c>
      <c r="I713" t="b">
        <v>0</v>
      </c>
    </row>
    <row r="714" spans="1:9" x14ac:dyDescent="0.2">
      <c r="A714" t="s">
        <v>7683</v>
      </c>
      <c r="B714" t="s">
        <v>7684</v>
      </c>
      <c r="D714" t="b">
        <f>IFERROR(VLOOKUP(B714,PatData!$A$2:$A$2030,1,),"")&lt;&gt;""</f>
        <v>1</v>
      </c>
      <c r="E714" t="b">
        <v>1</v>
      </c>
      <c r="F714" t="b">
        <v>0</v>
      </c>
      <c r="G714" t="b">
        <v>1</v>
      </c>
      <c r="H714" t="b">
        <v>0</v>
      </c>
      <c r="I714" t="b">
        <v>0</v>
      </c>
    </row>
    <row r="715" spans="1:9" x14ac:dyDescent="0.2">
      <c r="A715" t="s">
        <v>7685</v>
      </c>
      <c r="B715" t="s">
        <v>7686</v>
      </c>
      <c r="D715" t="b">
        <f>IFERROR(VLOOKUP(B715,PatData!$A$2:$A$2030,1,),"")&lt;&gt;""</f>
        <v>1</v>
      </c>
      <c r="E715" t="b">
        <v>1</v>
      </c>
      <c r="F715" t="b">
        <v>0</v>
      </c>
      <c r="G715" t="b">
        <v>1</v>
      </c>
      <c r="H715" t="b">
        <v>0</v>
      </c>
      <c r="I715" t="b">
        <v>0</v>
      </c>
    </row>
    <row r="716" spans="1:9" x14ac:dyDescent="0.2">
      <c r="A716" t="s">
        <v>7687</v>
      </c>
      <c r="B716" t="s">
        <v>7688</v>
      </c>
      <c r="D716" t="b">
        <f>IFERROR(VLOOKUP(B716,PatData!$A$2:$A$2030,1,),"")&lt;&gt;""</f>
        <v>1</v>
      </c>
      <c r="E716" t="b">
        <v>1</v>
      </c>
      <c r="F716" t="b">
        <v>0</v>
      </c>
      <c r="G716" t="b">
        <v>1</v>
      </c>
      <c r="H716" t="b">
        <v>0</v>
      </c>
      <c r="I716" t="b">
        <v>0</v>
      </c>
    </row>
    <row r="717" spans="1:9" x14ac:dyDescent="0.2">
      <c r="A717" t="s">
        <v>7689</v>
      </c>
      <c r="B717" t="s">
        <v>7690</v>
      </c>
      <c r="D717" t="b">
        <f>IFERROR(VLOOKUP(B717,PatData!$A$2:$A$2030,1,),"")&lt;&gt;""</f>
        <v>1</v>
      </c>
      <c r="E717" t="b">
        <v>1</v>
      </c>
      <c r="F717" t="b">
        <v>0</v>
      </c>
      <c r="G717" t="b">
        <v>1</v>
      </c>
      <c r="H717" t="b">
        <v>0</v>
      </c>
      <c r="I717" t="b">
        <v>0</v>
      </c>
    </row>
    <row r="718" spans="1:9" x14ac:dyDescent="0.2">
      <c r="A718" t="s">
        <v>7691</v>
      </c>
      <c r="B718" t="s">
        <v>7692</v>
      </c>
      <c r="D718" t="b">
        <f>IFERROR(VLOOKUP(B718,PatData!$A$2:$A$2030,1,),"")&lt;&gt;""</f>
        <v>1</v>
      </c>
      <c r="E718" t="b">
        <v>1</v>
      </c>
      <c r="F718" t="b">
        <v>0</v>
      </c>
      <c r="G718" t="b">
        <v>1</v>
      </c>
      <c r="H718" t="b">
        <v>0</v>
      </c>
      <c r="I718" t="b">
        <v>0</v>
      </c>
    </row>
    <row r="719" spans="1:9" x14ac:dyDescent="0.2">
      <c r="A719" t="s">
        <v>7693</v>
      </c>
      <c r="B719" t="s">
        <v>7694</v>
      </c>
      <c r="D719" t="b">
        <f>IFERROR(VLOOKUP(B719,PatData!$A$2:$A$2030,1,),"")&lt;&gt;""</f>
        <v>1</v>
      </c>
      <c r="E719" t="b">
        <v>1</v>
      </c>
      <c r="F719" t="b">
        <v>0</v>
      </c>
      <c r="G719" t="b">
        <v>1</v>
      </c>
      <c r="H719" t="b">
        <v>0</v>
      </c>
      <c r="I719" t="b">
        <v>0</v>
      </c>
    </row>
    <row r="720" spans="1:9" x14ac:dyDescent="0.2">
      <c r="A720" t="s">
        <v>7695</v>
      </c>
      <c r="B720" t="s">
        <v>7696</v>
      </c>
      <c r="D720" t="b">
        <f>IFERROR(VLOOKUP(B720,PatData!$A$2:$A$2030,1,),"")&lt;&gt;""</f>
        <v>1</v>
      </c>
      <c r="E720" t="b">
        <v>1</v>
      </c>
      <c r="F720" t="b">
        <v>0</v>
      </c>
      <c r="G720" t="b">
        <v>1</v>
      </c>
      <c r="H720" t="b">
        <v>0</v>
      </c>
      <c r="I720" t="b">
        <v>0</v>
      </c>
    </row>
    <row r="721" spans="1:9" x14ac:dyDescent="0.2">
      <c r="A721" t="s">
        <v>7697</v>
      </c>
      <c r="B721" t="s">
        <v>7698</v>
      </c>
      <c r="D721" t="b">
        <f>IFERROR(VLOOKUP(B721,PatData!$A$2:$A$2030,1,),"")&lt;&gt;""</f>
        <v>1</v>
      </c>
      <c r="E721" t="b">
        <v>1</v>
      </c>
      <c r="F721" t="b">
        <v>0</v>
      </c>
      <c r="G721" t="b">
        <v>1</v>
      </c>
      <c r="H721" t="b">
        <v>0</v>
      </c>
      <c r="I721" t="b">
        <v>0</v>
      </c>
    </row>
    <row r="722" spans="1:9" x14ac:dyDescent="0.2">
      <c r="A722" t="s">
        <v>7699</v>
      </c>
      <c r="B722" t="s">
        <v>7700</v>
      </c>
      <c r="D722" t="b">
        <f>IFERROR(VLOOKUP(B722,PatData!$A$2:$A$2030,1,),"")&lt;&gt;""</f>
        <v>1</v>
      </c>
      <c r="E722" t="b">
        <v>1</v>
      </c>
      <c r="F722" t="b">
        <v>0</v>
      </c>
      <c r="G722" t="b">
        <v>1</v>
      </c>
      <c r="H722" t="b">
        <v>0</v>
      </c>
      <c r="I722" t="b">
        <v>0</v>
      </c>
    </row>
    <row r="723" spans="1:9" x14ac:dyDescent="0.2">
      <c r="A723" t="s">
        <v>7701</v>
      </c>
      <c r="B723" t="s">
        <v>7702</v>
      </c>
      <c r="D723" t="b">
        <f>IFERROR(VLOOKUP(B723,PatData!$A$2:$A$2030,1,),"")&lt;&gt;""</f>
        <v>1</v>
      </c>
      <c r="E723" t="b">
        <v>1</v>
      </c>
      <c r="F723" t="b">
        <v>0</v>
      </c>
      <c r="G723" t="b">
        <v>1</v>
      </c>
      <c r="H723" t="b">
        <v>0</v>
      </c>
      <c r="I723" t="b">
        <v>0</v>
      </c>
    </row>
    <row r="724" spans="1:9" x14ac:dyDescent="0.2">
      <c r="A724" t="s">
        <v>7703</v>
      </c>
      <c r="B724" t="s">
        <v>7704</v>
      </c>
      <c r="D724" t="b">
        <f>IFERROR(VLOOKUP(B724,PatData!$A$2:$A$2030,1,),"")&lt;&gt;""</f>
        <v>1</v>
      </c>
      <c r="E724" t="b">
        <v>1</v>
      </c>
      <c r="F724" t="b">
        <v>0</v>
      </c>
      <c r="G724" t="b">
        <v>1</v>
      </c>
      <c r="H724" t="b">
        <v>0</v>
      </c>
      <c r="I724" t="b">
        <v>0</v>
      </c>
    </row>
    <row r="725" spans="1:9" x14ac:dyDescent="0.2">
      <c r="A725" t="s">
        <v>7705</v>
      </c>
      <c r="B725" t="s">
        <v>7706</v>
      </c>
      <c r="D725" t="b">
        <f>IFERROR(VLOOKUP(B725,PatData!$A$2:$A$2030,1,),"")&lt;&gt;""</f>
        <v>1</v>
      </c>
      <c r="E725" t="b">
        <v>1</v>
      </c>
      <c r="F725" t="b">
        <v>0</v>
      </c>
      <c r="G725" t="b">
        <v>1</v>
      </c>
      <c r="H725" t="b">
        <v>0</v>
      </c>
      <c r="I725" t="b">
        <v>0</v>
      </c>
    </row>
    <row r="726" spans="1:9" x14ac:dyDescent="0.2">
      <c r="A726" t="s">
        <v>7707</v>
      </c>
      <c r="B726" t="s">
        <v>7708</v>
      </c>
      <c r="D726" t="b">
        <f>IFERROR(VLOOKUP(B726,PatData!$A$2:$A$2030,1,),"")&lt;&gt;""</f>
        <v>1</v>
      </c>
      <c r="E726" t="b">
        <v>1</v>
      </c>
      <c r="F726" t="b">
        <v>0</v>
      </c>
      <c r="G726" t="b">
        <v>1</v>
      </c>
      <c r="H726" t="b">
        <v>0</v>
      </c>
      <c r="I726" t="b">
        <v>0</v>
      </c>
    </row>
    <row r="727" spans="1:9" x14ac:dyDescent="0.2">
      <c r="A727" t="s">
        <v>7709</v>
      </c>
      <c r="B727" t="s">
        <v>7710</v>
      </c>
      <c r="D727" t="b">
        <f>IFERROR(VLOOKUP(B727,PatData!$A$2:$A$2030,1,),"")&lt;&gt;""</f>
        <v>1</v>
      </c>
      <c r="E727" t="b">
        <v>1</v>
      </c>
      <c r="F727" t="b">
        <v>0</v>
      </c>
      <c r="G727" t="b">
        <v>1</v>
      </c>
      <c r="H727" t="b">
        <v>0</v>
      </c>
      <c r="I727" t="b">
        <v>0</v>
      </c>
    </row>
    <row r="728" spans="1:9" x14ac:dyDescent="0.2">
      <c r="A728" t="s">
        <v>7711</v>
      </c>
      <c r="B728" t="s">
        <v>7712</v>
      </c>
      <c r="D728" t="b">
        <f>IFERROR(VLOOKUP(B728,PatData!$A$2:$A$2030,1,),"")&lt;&gt;""</f>
        <v>1</v>
      </c>
      <c r="E728" t="b">
        <v>1</v>
      </c>
      <c r="F728" t="b">
        <v>0</v>
      </c>
      <c r="G728" t="b">
        <v>1</v>
      </c>
      <c r="H728" t="b">
        <v>0</v>
      </c>
      <c r="I728" t="b">
        <v>0</v>
      </c>
    </row>
    <row r="729" spans="1:9" x14ac:dyDescent="0.2">
      <c r="A729" t="s">
        <v>7713</v>
      </c>
      <c r="B729" t="s">
        <v>7714</v>
      </c>
      <c r="D729" t="b">
        <f>IFERROR(VLOOKUP(B729,PatData!$A$2:$A$2030,1,),"")&lt;&gt;""</f>
        <v>1</v>
      </c>
      <c r="E729" t="b">
        <v>1</v>
      </c>
      <c r="F729" t="b">
        <v>0</v>
      </c>
      <c r="G729" t="b">
        <v>1</v>
      </c>
      <c r="H729" t="b">
        <v>0</v>
      </c>
      <c r="I729" t="b">
        <v>0</v>
      </c>
    </row>
    <row r="730" spans="1:9" x14ac:dyDescent="0.2">
      <c r="A730" t="s">
        <v>7715</v>
      </c>
      <c r="B730" t="s">
        <v>7716</v>
      </c>
      <c r="D730" t="b">
        <f>IFERROR(VLOOKUP(B730,PatData!$A$2:$A$2030,1,),"")&lt;&gt;""</f>
        <v>1</v>
      </c>
      <c r="E730" t="b">
        <v>1</v>
      </c>
      <c r="F730" t="b">
        <v>0</v>
      </c>
      <c r="G730" t="b">
        <v>1</v>
      </c>
      <c r="H730" t="b">
        <v>0</v>
      </c>
      <c r="I730" t="b">
        <v>0</v>
      </c>
    </row>
    <row r="731" spans="1:9" x14ac:dyDescent="0.2">
      <c r="A731" t="s">
        <v>7717</v>
      </c>
      <c r="B731" t="s">
        <v>7718</v>
      </c>
      <c r="D731" t="b">
        <f>IFERROR(VLOOKUP(B731,PatData!$A$2:$A$2030,1,),"")&lt;&gt;""</f>
        <v>1</v>
      </c>
      <c r="E731" t="b">
        <v>1</v>
      </c>
      <c r="F731" t="b">
        <v>0</v>
      </c>
      <c r="G731" t="b">
        <v>1</v>
      </c>
      <c r="H731" t="b">
        <v>0</v>
      </c>
      <c r="I731" t="b">
        <v>0</v>
      </c>
    </row>
    <row r="732" spans="1:9" x14ac:dyDescent="0.2">
      <c r="A732" t="s">
        <v>7719</v>
      </c>
      <c r="B732" t="s">
        <v>7720</v>
      </c>
      <c r="D732" t="b">
        <f>IFERROR(VLOOKUP(B732,PatData!$A$2:$A$2030,1,),"")&lt;&gt;""</f>
        <v>1</v>
      </c>
      <c r="E732" t="b">
        <v>1</v>
      </c>
      <c r="F732" t="b">
        <v>0</v>
      </c>
      <c r="G732" t="b">
        <v>1</v>
      </c>
      <c r="H732" t="b">
        <v>0</v>
      </c>
      <c r="I732" t="b">
        <v>0</v>
      </c>
    </row>
    <row r="733" spans="1:9" x14ac:dyDescent="0.2">
      <c r="A733" t="s">
        <v>7721</v>
      </c>
      <c r="B733" t="s">
        <v>7722</v>
      </c>
      <c r="D733" t="b">
        <f>IFERROR(VLOOKUP(B733,PatData!$A$2:$A$2030,1,),"")&lt;&gt;""</f>
        <v>1</v>
      </c>
      <c r="E733" t="b">
        <v>1</v>
      </c>
      <c r="F733" t="b">
        <v>0</v>
      </c>
      <c r="G733" t="b">
        <v>1</v>
      </c>
      <c r="H733" t="b">
        <v>0</v>
      </c>
      <c r="I733" t="b">
        <v>0</v>
      </c>
    </row>
    <row r="734" spans="1:9" x14ac:dyDescent="0.2">
      <c r="A734" t="s">
        <v>7723</v>
      </c>
      <c r="B734" t="s">
        <v>7724</v>
      </c>
      <c r="D734" t="b">
        <f>IFERROR(VLOOKUP(B734,PatData!$A$2:$A$2030,1,),"")&lt;&gt;""</f>
        <v>1</v>
      </c>
      <c r="E734" t="b">
        <v>1</v>
      </c>
      <c r="F734" t="b">
        <v>0</v>
      </c>
      <c r="G734" t="b">
        <v>1</v>
      </c>
      <c r="H734" t="b">
        <v>0</v>
      </c>
      <c r="I734" t="b">
        <v>0</v>
      </c>
    </row>
    <row r="735" spans="1:9" x14ac:dyDescent="0.2">
      <c r="A735" t="s">
        <v>7725</v>
      </c>
      <c r="B735" t="s">
        <v>7726</v>
      </c>
      <c r="D735" t="b">
        <f>IFERROR(VLOOKUP(B735,PatData!$A$2:$A$2030,1,),"")&lt;&gt;""</f>
        <v>1</v>
      </c>
      <c r="E735" t="b">
        <v>1</v>
      </c>
      <c r="F735" t="b">
        <v>0</v>
      </c>
      <c r="G735" t="b">
        <v>1</v>
      </c>
      <c r="H735" t="b">
        <v>0</v>
      </c>
      <c r="I735" t="b">
        <v>0</v>
      </c>
    </row>
    <row r="736" spans="1:9" x14ac:dyDescent="0.2">
      <c r="A736" t="s">
        <v>7727</v>
      </c>
      <c r="B736" t="s">
        <v>7728</v>
      </c>
      <c r="D736" t="b">
        <f>IFERROR(VLOOKUP(B736,PatData!$A$2:$A$2030,1,),"")&lt;&gt;""</f>
        <v>1</v>
      </c>
      <c r="E736" t="b">
        <v>1</v>
      </c>
      <c r="F736" t="b">
        <v>0</v>
      </c>
      <c r="G736" t="b">
        <v>1</v>
      </c>
      <c r="H736" t="b">
        <v>0</v>
      </c>
      <c r="I736" t="b">
        <v>0</v>
      </c>
    </row>
    <row r="737" spans="1:9" x14ac:dyDescent="0.2">
      <c r="A737" t="s">
        <v>7729</v>
      </c>
      <c r="B737" t="s">
        <v>7730</v>
      </c>
      <c r="D737" t="b">
        <f>IFERROR(VLOOKUP(B737,PatData!$A$2:$A$2030,1,),"")&lt;&gt;""</f>
        <v>1</v>
      </c>
      <c r="E737" t="b">
        <v>1</v>
      </c>
      <c r="F737" t="b">
        <v>0</v>
      </c>
      <c r="G737" t="b">
        <v>1</v>
      </c>
      <c r="H737" t="b">
        <v>0</v>
      </c>
      <c r="I737" t="b">
        <v>0</v>
      </c>
    </row>
    <row r="738" spans="1:9" x14ac:dyDescent="0.2">
      <c r="A738" t="s">
        <v>7731</v>
      </c>
      <c r="B738" t="s">
        <v>7732</v>
      </c>
      <c r="D738" t="b">
        <f>IFERROR(VLOOKUP(B738,PatData!$A$2:$A$2030,1,),"")&lt;&gt;""</f>
        <v>1</v>
      </c>
      <c r="E738" t="b">
        <v>1</v>
      </c>
      <c r="F738" t="b">
        <v>0</v>
      </c>
      <c r="G738" t="b">
        <v>1</v>
      </c>
      <c r="H738" t="b">
        <v>0</v>
      </c>
      <c r="I738" t="b">
        <v>0</v>
      </c>
    </row>
    <row r="739" spans="1:9" x14ac:dyDescent="0.2">
      <c r="A739" t="s">
        <v>7733</v>
      </c>
      <c r="B739" t="s">
        <v>7734</v>
      </c>
      <c r="D739" t="b">
        <f>IFERROR(VLOOKUP(B739,PatData!$A$2:$A$2030,1,),"")&lt;&gt;""</f>
        <v>1</v>
      </c>
      <c r="E739" t="b">
        <v>1</v>
      </c>
      <c r="F739" t="b">
        <v>0</v>
      </c>
      <c r="G739" t="b">
        <v>1</v>
      </c>
      <c r="H739" t="b">
        <v>0</v>
      </c>
      <c r="I739" t="b">
        <v>0</v>
      </c>
    </row>
    <row r="740" spans="1:9" x14ac:dyDescent="0.2">
      <c r="A740" t="s">
        <v>7735</v>
      </c>
      <c r="B740" t="s">
        <v>7736</v>
      </c>
      <c r="D740" t="b">
        <f>IFERROR(VLOOKUP(B740,PatData!$A$2:$A$2030,1,),"")&lt;&gt;""</f>
        <v>1</v>
      </c>
      <c r="E740" t="b">
        <v>1</v>
      </c>
      <c r="F740" t="b">
        <v>0</v>
      </c>
      <c r="G740" t="b">
        <v>1</v>
      </c>
      <c r="H740" t="b">
        <v>0</v>
      </c>
      <c r="I740" t="b">
        <v>0</v>
      </c>
    </row>
    <row r="741" spans="1:9" x14ac:dyDescent="0.2">
      <c r="A741" t="s">
        <v>7737</v>
      </c>
      <c r="B741" t="s">
        <v>7738</v>
      </c>
      <c r="D741" t="b">
        <f>IFERROR(VLOOKUP(B741,PatData!$A$2:$A$2030,1,),"")&lt;&gt;""</f>
        <v>1</v>
      </c>
      <c r="E741" t="b">
        <v>1</v>
      </c>
      <c r="F741" t="b">
        <v>0</v>
      </c>
      <c r="G741" t="b">
        <v>1</v>
      </c>
      <c r="H741" t="b">
        <v>0</v>
      </c>
      <c r="I741" t="b">
        <v>0</v>
      </c>
    </row>
    <row r="742" spans="1:9" x14ac:dyDescent="0.2">
      <c r="A742" t="s">
        <v>7739</v>
      </c>
      <c r="B742" t="s">
        <v>7740</v>
      </c>
      <c r="D742" t="b">
        <f>IFERROR(VLOOKUP(B742,PatData!$A$2:$A$2030,1,),"")&lt;&gt;""</f>
        <v>1</v>
      </c>
      <c r="E742" t="b">
        <v>1</v>
      </c>
      <c r="F742" t="b">
        <v>0</v>
      </c>
      <c r="G742" t="b">
        <v>1</v>
      </c>
      <c r="H742" t="b">
        <v>0</v>
      </c>
      <c r="I742" t="b">
        <v>0</v>
      </c>
    </row>
    <row r="743" spans="1:9" x14ac:dyDescent="0.2">
      <c r="A743" t="s">
        <v>7741</v>
      </c>
      <c r="B743" t="s">
        <v>7742</v>
      </c>
      <c r="D743" t="b">
        <f>IFERROR(VLOOKUP(B743,PatData!$A$2:$A$2030,1,),"")&lt;&gt;""</f>
        <v>1</v>
      </c>
      <c r="E743" t="b">
        <v>1</v>
      </c>
      <c r="F743" t="b">
        <v>0</v>
      </c>
      <c r="G743" t="b">
        <v>1</v>
      </c>
      <c r="H743" t="b">
        <v>0</v>
      </c>
      <c r="I743" t="b">
        <v>0</v>
      </c>
    </row>
    <row r="744" spans="1:9" x14ac:dyDescent="0.2">
      <c r="A744" t="s">
        <v>7743</v>
      </c>
      <c r="B744" t="s">
        <v>7744</v>
      </c>
      <c r="D744" t="b">
        <f>IFERROR(VLOOKUP(B744,PatData!$A$2:$A$2030,1,),"")&lt;&gt;""</f>
        <v>1</v>
      </c>
      <c r="E744" t="b">
        <v>0</v>
      </c>
      <c r="F744" t="b">
        <v>0</v>
      </c>
      <c r="G744" t="b">
        <v>1</v>
      </c>
      <c r="H744" t="b">
        <v>0</v>
      </c>
      <c r="I744" t="b">
        <v>0</v>
      </c>
    </row>
    <row r="745" spans="1:9" x14ac:dyDescent="0.2">
      <c r="A745" t="s">
        <v>7745</v>
      </c>
      <c r="B745" t="s">
        <v>7746</v>
      </c>
      <c r="D745" t="b">
        <f>IFERROR(VLOOKUP(B745,PatData!$A$2:$A$2030,1,),"")&lt;&gt;""</f>
        <v>1</v>
      </c>
      <c r="E745" t="b">
        <v>0</v>
      </c>
      <c r="F745" t="b">
        <v>0</v>
      </c>
      <c r="G745" t="b">
        <v>1</v>
      </c>
      <c r="H745" t="b">
        <v>0</v>
      </c>
      <c r="I745" t="b">
        <v>0</v>
      </c>
    </row>
    <row r="746" spans="1:9" x14ac:dyDescent="0.2">
      <c r="A746" t="s">
        <v>7747</v>
      </c>
      <c r="B746" t="s">
        <v>7748</v>
      </c>
      <c r="D746" t="b">
        <f>IFERROR(VLOOKUP(B746,PatData!$A$2:$A$2030,1,),"")&lt;&gt;""</f>
        <v>1</v>
      </c>
      <c r="E746" t="b">
        <v>0</v>
      </c>
      <c r="F746" t="b">
        <v>0</v>
      </c>
      <c r="G746" t="b">
        <v>1</v>
      </c>
      <c r="H746" t="b">
        <v>0</v>
      </c>
      <c r="I746" t="b">
        <v>0</v>
      </c>
    </row>
    <row r="747" spans="1:9" x14ac:dyDescent="0.2">
      <c r="A747" t="s">
        <v>7749</v>
      </c>
      <c r="B747" t="s">
        <v>7750</v>
      </c>
      <c r="D747" t="b">
        <f>IFERROR(VLOOKUP(B747,PatData!$A$2:$A$2030,1,),"")&lt;&gt;""</f>
        <v>1</v>
      </c>
      <c r="E747" t="b">
        <v>0</v>
      </c>
      <c r="F747" t="b">
        <v>0</v>
      </c>
      <c r="G747" t="b">
        <v>1</v>
      </c>
      <c r="H747" t="b">
        <v>0</v>
      </c>
      <c r="I747" t="b">
        <v>0</v>
      </c>
    </row>
    <row r="748" spans="1:9" x14ac:dyDescent="0.2">
      <c r="A748" t="s">
        <v>7751</v>
      </c>
      <c r="B748" t="s">
        <v>7752</v>
      </c>
      <c r="D748" t="b">
        <f>IFERROR(VLOOKUP(B748,PatData!$A$2:$A$2030,1,),"")&lt;&gt;""</f>
        <v>1</v>
      </c>
      <c r="E748" t="b">
        <v>0</v>
      </c>
      <c r="F748" t="b">
        <v>0</v>
      </c>
      <c r="G748" t="b">
        <v>1</v>
      </c>
      <c r="H748" t="b">
        <v>0</v>
      </c>
      <c r="I748" t="b">
        <v>0</v>
      </c>
    </row>
    <row r="749" spans="1:9" x14ac:dyDescent="0.2">
      <c r="A749" t="s">
        <v>7753</v>
      </c>
      <c r="B749" t="s">
        <v>7754</v>
      </c>
      <c r="D749" t="b">
        <f>IFERROR(VLOOKUP(B749,PatData!$A$2:$A$2030,1,),"")&lt;&gt;""</f>
        <v>1</v>
      </c>
      <c r="E749" t="b">
        <v>0</v>
      </c>
      <c r="F749" t="b">
        <v>0</v>
      </c>
      <c r="G749" t="b">
        <v>1</v>
      </c>
      <c r="H749" t="b">
        <v>0</v>
      </c>
      <c r="I749" t="b">
        <v>0</v>
      </c>
    </row>
    <row r="750" spans="1:9" x14ac:dyDescent="0.2">
      <c r="A750" t="s">
        <v>7755</v>
      </c>
      <c r="B750" t="s">
        <v>7756</v>
      </c>
      <c r="D750" t="b">
        <f>IFERROR(VLOOKUP(B750,PatData!$A$2:$A$2030,1,),"")&lt;&gt;""</f>
        <v>1</v>
      </c>
      <c r="E750" t="b">
        <v>0</v>
      </c>
      <c r="F750" t="b">
        <v>0</v>
      </c>
      <c r="G750" t="b">
        <v>1</v>
      </c>
      <c r="H750" t="b">
        <v>0</v>
      </c>
      <c r="I750" t="b">
        <v>0</v>
      </c>
    </row>
    <row r="751" spans="1:9" x14ac:dyDescent="0.2">
      <c r="A751" t="s">
        <v>7757</v>
      </c>
      <c r="B751" t="s">
        <v>7758</v>
      </c>
      <c r="D751" t="b">
        <f>IFERROR(VLOOKUP(B751,PatData!$A$2:$A$2030,1,),"")&lt;&gt;""</f>
        <v>1</v>
      </c>
      <c r="E751" t="b">
        <v>0</v>
      </c>
      <c r="F751" t="b">
        <v>0</v>
      </c>
      <c r="G751" t="b">
        <v>1</v>
      </c>
      <c r="H751" t="b">
        <v>0</v>
      </c>
      <c r="I751" t="b">
        <v>0</v>
      </c>
    </row>
    <row r="752" spans="1:9" x14ac:dyDescent="0.2">
      <c r="A752" t="s">
        <v>7759</v>
      </c>
      <c r="B752" t="s">
        <v>7760</v>
      </c>
      <c r="D752" t="b">
        <f>IFERROR(VLOOKUP(B752,PatData!$A$2:$A$2030,1,),"")&lt;&gt;""</f>
        <v>1</v>
      </c>
      <c r="E752" t="b">
        <v>0</v>
      </c>
      <c r="F752" t="b">
        <v>0</v>
      </c>
      <c r="G752" t="b">
        <v>1</v>
      </c>
      <c r="H752" t="b">
        <v>0</v>
      </c>
      <c r="I752" t="b">
        <v>0</v>
      </c>
    </row>
    <row r="753" spans="1:9" x14ac:dyDescent="0.2">
      <c r="A753" t="s">
        <v>7761</v>
      </c>
      <c r="B753" t="s">
        <v>7762</v>
      </c>
      <c r="D753" t="b">
        <f>IFERROR(VLOOKUP(B753,PatData!$A$2:$A$2030,1,),"")&lt;&gt;""</f>
        <v>1</v>
      </c>
      <c r="E753" t="b">
        <v>0</v>
      </c>
      <c r="F753" t="b">
        <v>0</v>
      </c>
      <c r="G753" t="b">
        <v>1</v>
      </c>
      <c r="H753" t="b">
        <v>0</v>
      </c>
      <c r="I753" t="b">
        <v>0</v>
      </c>
    </row>
    <row r="754" spans="1:9" x14ac:dyDescent="0.2">
      <c r="A754" t="s">
        <v>7763</v>
      </c>
      <c r="B754" t="s">
        <v>7764</v>
      </c>
      <c r="D754" t="b">
        <f>IFERROR(VLOOKUP(B754,PatData!$A$2:$A$2030,1,),"")&lt;&gt;""</f>
        <v>1</v>
      </c>
      <c r="E754" t="b">
        <v>0</v>
      </c>
      <c r="F754" t="b">
        <v>0</v>
      </c>
      <c r="G754" t="b">
        <v>1</v>
      </c>
      <c r="H754" t="b">
        <v>0</v>
      </c>
      <c r="I754" t="b">
        <v>0</v>
      </c>
    </row>
    <row r="755" spans="1:9" x14ac:dyDescent="0.2">
      <c r="A755" t="s">
        <v>7765</v>
      </c>
      <c r="B755" t="s">
        <v>7766</v>
      </c>
      <c r="D755" t="b">
        <f>IFERROR(VLOOKUP(B755,PatData!$A$2:$A$2030,1,),"")&lt;&gt;""</f>
        <v>1</v>
      </c>
      <c r="E755" t="b">
        <v>0</v>
      </c>
      <c r="F755" t="b">
        <v>0</v>
      </c>
      <c r="G755" t="b">
        <v>1</v>
      </c>
      <c r="H755" t="b">
        <v>0</v>
      </c>
      <c r="I755" t="b">
        <v>0</v>
      </c>
    </row>
    <row r="756" spans="1:9" x14ac:dyDescent="0.2">
      <c r="A756" t="s">
        <v>7767</v>
      </c>
      <c r="B756" t="s">
        <v>7768</v>
      </c>
      <c r="D756" t="b">
        <f>IFERROR(VLOOKUP(B756,PatData!$A$2:$A$2030,1,),"")&lt;&gt;""</f>
        <v>1</v>
      </c>
      <c r="E756" t="b">
        <v>0</v>
      </c>
      <c r="F756" t="b">
        <v>0</v>
      </c>
      <c r="G756" t="b">
        <v>1</v>
      </c>
      <c r="H756" t="b">
        <v>0</v>
      </c>
      <c r="I756" t="b">
        <v>0</v>
      </c>
    </row>
    <row r="757" spans="1:9" x14ac:dyDescent="0.2">
      <c r="A757" t="s">
        <v>7769</v>
      </c>
      <c r="B757" t="s">
        <v>7770</v>
      </c>
      <c r="D757" t="b">
        <f>IFERROR(VLOOKUP(B757,PatData!$A$2:$A$2030,1,),"")&lt;&gt;""</f>
        <v>1</v>
      </c>
      <c r="E757" t="b">
        <v>0</v>
      </c>
      <c r="F757" t="b">
        <v>0</v>
      </c>
      <c r="G757" t="b">
        <v>1</v>
      </c>
      <c r="H757" t="b">
        <v>0</v>
      </c>
      <c r="I757" t="b">
        <v>0</v>
      </c>
    </row>
    <row r="758" spans="1:9" x14ac:dyDescent="0.2">
      <c r="A758" t="s">
        <v>7771</v>
      </c>
      <c r="B758" t="s">
        <v>7772</v>
      </c>
      <c r="D758" t="b">
        <f>IFERROR(VLOOKUP(B758,PatData!$A$2:$A$2030,1,),"")&lt;&gt;""</f>
        <v>1</v>
      </c>
      <c r="E758" t="b">
        <v>0</v>
      </c>
      <c r="F758" t="b">
        <v>0</v>
      </c>
      <c r="G758" t="b">
        <v>1</v>
      </c>
      <c r="H758" t="b">
        <v>0</v>
      </c>
      <c r="I758" t="b">
        <v>0</v>
      </c>
    </row>
    <row r="759" spans="1:9" x14ac:dyDescent="0.2">
      <c r="A759" t="s">
        <v>7773</v>
      </c>
      <c r="B759" t="s">
        <v>7774</v>
      </c>
      <c r="D759" t="b">
        <f>IFERROR(VLOOKUP(B759,PatData!$A$2:$A$2030,1,),"")&lt;&gt;""</f>
        <v>1</v>
      </c>
      <c r="E759" t="b">
        <v>0</v>
      </c>
      <c r="F759" t="b">
        <v>0</v>
      </c>
      <c r="G759" t="b">
        <v>1</v>
      </c>
      <c r="H759" t="b">
        <v>0</v>
      </c>
      <c r="I759" t="b">
        <v>0</v>
      </c>
    </row>
    <row r="760" spans="1:9" x14ac:dyDescent="0.2">
      <c r="A760" t="s">
        <v>7775</v>
      </c>
      <c r="B760" t="s">
        <v>7776</v>
      </c>
      <c r="D760" t="b">
        <f>IFERROR(VLOOKUP(B760,PatData!$A$2:$A$2030,1,),"")&lt;&gt;""</f>
        <v>1</v>
      </c>
      <c r="E760" t="b">
        <v>0</v>
      </c>
      <c r="F760" t="b">
        <v>0</v>
      </c>
      <c r="G760" t="b">
        <v>1</v>
      </c>
      <c r="H760" t="b">
        <v>0</v>
      </c>
      <c r="I760" t="b">
        <v>0</v>
      </c>
    </row>
    <row r="761" spans="1:9" x14ac:dyDescent="0.2">
      <c r="A761" t="s">
        <v>7777</v>
      </c>
      <c r="B761" t="s">
        <v>7778</v>
      </c>
      <c r="D761" t="b">
        <f>IFERROR(VLOOKUP(B761,PatData!$A$2:$A$2030,1,),"")&lt;&gt;""</f>
        <v>1</v>
      </c>
      <c r="E761" t="b">
        <v>0</v>
      </c>
      <c r="F761" t="b">
        <v>0</v>
      </c>
      <c r="G761" t="b">
        <v>1</v>
      </c>
      <c r="H761" t="b">
        <v>0</v>
      </c>
      <c r="I761" t="b">
        <v>0</v>
      </c>
    </row>
    <row r="762" spans="1:9" x14ac:dyDescent="0.2">
      <c r="A762" t="s">
        <v>7779</v>
      </c>
      <c r="B762" t="s">
        <v>7780</v>
      </c>
      <c r="D762" t="b">
        <f>IFERROR(VLOOKUP(B762,PatData!$A$2:$A$2030,1,),"")&lt;&gt;""</f>
        <v>1</v>
      </c>
      <c r="E762" t="b">
        <v>0</v>
      </c>
      <c r="F762" t="b">
        <v>0</v>
      </c>
      <c r="G762" t="b">
        <v>1</v>
      </c>
      <c r="H762" t="b">
        <v>0</v>
      </c>
      <c r="I762" t="b">
        <v>0</v>
      </c>
    </row>
    <row r="763" spans="1:9" x14ac:dyDescent="0.2">
      <c r="A763" t="s">
        <v>7781</v>
      </c>
      <c r="B763" t="s">
        <v>7782</v>
      </c>
      <c r="D763" t="b">
        <f>IFERROR(VLOOKUP(B763,PatData!$A$2:$A$2030,1,),"")&lt;&gt;""</f>
        <v>1</v>
      </c>
      <c r="E763" t="b">
        <v>0</v>
      </c>
      <c r="F763" t="b">
        <v>0</v>
      </c>
      <c r="G763" t="b">
        <v>1</v>
      </c>
      <c r="H763" t="b">
        <v>0</v>
      </c>
      <c r="I763" t="b">
        <v>0</v>
      </c>
    </row>
    <row r="764" spans="1:9" x14ac:dyDescent="0.2">
      <c r="A764" t="s">
        <v>7783</v>
      </c>
      <c r="B764" t="s">
        <v>7784</v>
      </c>
      <c r="D764" t="b">
        <f>IFERROR(VLOOKUP(B764,PatData!$A$2:$A$2030,1,),"")&lt;&gt;""</f>
        <v>1</v>
      </c>
      <c r="E764" t="b">
        <v>0</v>
      </c>
      <c r="F764" t="b">
        <v>0</v>
      </c>
      <c r="G764" t="b">
        <v>1</v>
      </c>
      <c r="H764" t="b">
        <v>0</v>
      </c>
      <c r="I764" t="b">
        <v>0</v>
      </c>
    </row>
    <row r="765" spans="1:9" x14ac:dyDescent="0.2">
      <c r="A765" t="s">
        <v>7785</v>
      </c>
      <c r="B765" t="s">
        <v>7786</v>
      </c>
      <c r="D765" t="b">
        <f>IFERROR(VLOOKUP(B765,PatData!$A$2:$A$2030,1,),"")&lt;&gt;""</f>
        <v>1</v>
      </c>
      <c r="E765" t="b">
        <v>0</v>
      </c>
      <c r="F765" t="b">
        <v>0</v>
      </c>
      <c r="G765" t="b">
        <v>1</v>
      </c>
      <c r="H765" t="b">
        <v>0</v>
      </c>
      <c r="I765" t="b">
        <v>0</v>
      </c>
    </row>
    <row r="766" spans="1:9" x14ac:dyDescent="0.2">
      <c r="A766" t="s">
        <v>7787</v>
      </c>
      <c r="B766" t="s">
        <v>7788</v>
      </c>
      <c r="D766" t="b">
        <f>IFERROR(VLOOKUP(B766,PatData!$A$2:$A$2030,1,),"")&lt;&gt;""</f>
        <v>1</v>
      </c>
      <c r="E766" t="b">
        <v>0</v>
      </c>
      <c r="F766" t="b">
        <v>0</v>
      </c>
      <c r="G766" t="b">
        <v>1</v>
      </c>
      <c r="H766" t="b">
        <v>0</v>
      </c>
      <c r="I766" t="b">
        <v>0</v>
      </c>
    </row>
    <row r="767" spans="1:9" x14ac:dyDescent="0.2">
      <c r="A767" t="s">
        <v>7789</v>
      </c>
      <c r="B767" t="s">
        <v>7790</v>
      </c>
      <c r="D767" t="b">
        <f>IFERROR(VLOOKUP(B767,PatData!$A$2:$A$2030,1,),"")&lt;&gt;""</f>
        <v>1</v>
      </c>
      <c r="E767" t="b">
        <v>0</v>
      </c>
      <c r="F767" t="b">
        <v>0</v>
      </c>
      <c r="G767" t="b">
        <v>1</v>
      </c>
      <c r="H767" t="b">
        <v>0</v>
      </c>
      <c r="I767" t="b">
        <v>0</v>
      </c>
    </row>
    <row r="768" spans="1:9" x14ac:dyDescent="0.2">
      <c r="A768" t="s">
        <v>7791</v>
      </c>
      <c r="B768" t="s">
        <v>7792</v>
      </c>
      <c r="D768" t="b">
        <f>IFERROR(VLOOKUP(B768,PatData!$A$2:$A$2030,1,),"")&lt;&gt;""</f>
        <v>1</v>
      </c>
      <c r="E768" t="b">
        <v>0</v>
      </c>
      <c r="F768" t="b">
        <v>0</v>
      </c>
      <c r="G768" t="b">
        <v>1</v>
      </c>
      <c r="H768" t="b">
        <v>0</v>
      </c>
      <c r="I768" t="b">
        <v>0</v>
      </c>
    </row>
    <row r="769" spans="1:9" x14ac:dyDescent="0.2">
      <c r="A769" t="s">
        <v>7793</v>
      </c>
      <c r="B769" t="s">
        <v>7794</v>
      </c>
      <c r="D769" t="b">
        <f>IFERROR(VLOOKUP(B769,PatData!$A$2:$A$2030,1,),"")&lt;&gt;""</f>
        <v>1</v>
      </c>
      <c r="E769" t="b">
        <v>0</v>
      </c>
      <c r="F769" t="b">
        <v>0</v>
      </c>
      <c r="G769" t="b">
        <v>1</v>
      </c>
      <c r="H769" t="b">
        <v>0</v>
      </c>
      <c r="I769" t="b">
        <v>0</v>
      </c>
    </row>
    <row r="770" spans="1:9" x14ac:dyDescent="0.2">
      <c r="A770" t="s">
        <v>7795</v>
      </c>
      <c r="B770" t="s">
        <v>7796</v>
      </c>
      <c r="D770" t="b">
        <f>IFERROR(VLOOKUP(B770,PatData!$A$2:$A$2030,1,),"")&lt;&gt;""</f>
        <v>1</v>
      </c>
      <c r="E770" t="b">
        <v>0</v>
      </c>
      <c r="F770" t="b">
        <v>0</v>
      </c>
      <c r="G770" t="b">
        <v>1</v>
      </c>
      <c r="H770" t="b">
        <v>0</v>
      </c>
      <c r="I770" t="b">
        <v>0</v>
      </c>
    </row>
    <row r="771" spans="1:9" x14ac:dyDescent="0.2">
      <c r="A771" t="s">
        <v>7797</v>
      </c>
      <c r="B771" t="s">
        <v>7798</v>
      </c>
      <c r="D771" t="b">
        <f>IFERROR(VLOOKUP(B771,PatData!$A$2:$A$2030,1,),"")&lt;&gt;""</f>
        <v>1</v>
      </c>
      <c r="E771" t="b">
        <v>0</v>
      </c>
      <c r="F771" t="b">
        <v>0</v>
      </c>
      <c r="G771" t="b">
        <v>1</v>
      </c>
      <c r="H771" t="b">
        <v>0</v>
      </c>
      <c r="I771" t="b">
        <v>0</v>
      </c>
    </row>
    <row r="772" spans="1:9" x14ac:dyDescent="0.2">
      <c r="A772" t="s">
        <v>7799</v>
      </c>
      <c r="B772" t="s">
        <v>7800</v>
      </c>
      <c r="D772" t="b">
        <f>IFERROR(VLOOKUP(B772,PatData!$A$2:$A$2030,1,),"")&lt;&gt;""</f>
        <v>1</v>
      </c>
      <c r="E772" t="b">
        <v>0</v>
      </c>
      <c r="F772" t="b">
        <v>0</v>
      </c>
      <c r="G772" t="b">
        <v>1</v>
      </c>
      <c r="H772" t="b">
        <v>0</v>
      </c>
      <c r="I772" t="b">
        <v>0</v>
      </c>
    </row>
    <row r="773" spans="1:9" x14ac:dyDescent="0.2">
      <c r="A773" t="s">
        <v>7801</v>
      </c>
      <c r="B773" t="s">
        <v>7802</v>
      </c>
      <c r="D773" t="b">
        <f>IFERROR(VLOOKUP(B773,PatData!$A$2:$A$2030,1,),"")&lt;&gt;""</f>
        <v>1</v>
      </c>
      <c r="E773" t="b">
        <v>0</v>
      </c>
      <c r="F773" t="b">
        <v>0</v>
      </c>
      <c r="G773" t="b">
        <v>1</v>
      </c>
      <c r="H773" t="b">
        <v>0</v>
      </c>
      <c r="I773" t="b">
        <v>0</v>
      </c>
    </row>
    <row r="774" spans="1:9" x14ac:dyDescent="0.2">
      <c r="A774" t="s">
        <v>3053</v>
      </c>
      <c r="B774" t="s">
        <v>3333</v>
      </c>
      <c r="D774" t="b">
        <f>IFERROR(VLOOKUP(B774,PatData!$A$2:$A$2030,1,),"")&lt;&gt;""</f>
        <v>1</v>
      </c>
      <c r="E774" t="b">
        <v>0</v>
      </c>
      <c r="F774" t="b">
        <v>0</v>
      </c>
      <c r="G774" t="b">
        <v>1</v>
      </c>
      <c r="H774" t="b">
        <v>0</v>
      </c>
      <c r="I774" t="b">
        <v>0</v>
      </c>
    </row>
    <row r="775" spans="1:9" x14ac:dyDescent="0.2">
      <c r="A775" t="s">
        <v>3054</v>
      </c>
      <c r="B775" t="s">
        <v>3334</v>
      </c>
      <c r="D775" t="b">
        <f>IFERROR(VLOOKUP(B775,PatData!$A$2:$A$2030,1,),"")&lt;&gt;""</f>
        <v>1</v>
      </c>
      <c r="E775" t="b">
        <v>0</v>
      </c>
      <c r="F775" t="b">
        <v>0</v>
      </c>
      <c r="G775" t="b">
        <v>1</v>
      </c>
      <c r="H775" t="b">
        <v>0</v>
      </c>
      <c r="I775" t="b">
        <v>0</v>
      </c>
    </row>
    <row r="776" spans="1:9" x14ac:dyDescent="0.2">
      <c r="A776" t="s">
        <v>3055</v>
      </c>
      <c r="B776" t="s">
        <v>3335</v>
      </c>
      <c r="D776" t="b">
        <f>IFERROR(VLOOKUP(B776,PatData!$A$2:$A$2030,1,),"")&lt;&gt;""</f>
        <v>1</v>
      </c>
      <c r="E776" t="b">
        <v>0</v>
      </c>
      <c r="F776" t="b">
        <v>0</v>
      </c>
      <c r="G776" t="b">
        <v>1</v>
      </c>
      <c r="H776" t="b">
        <v>0</v>
      </c>
      <c r="I776" t="b">
        <v>0</v>
      </c>
    </row>
    <row r="777" spans="1:9" x14ac:dyDescent="0.2">
      <c r="A777" t="s">
        <v>3056</v>
      </c>
      <c r="B777" t="s">
        <v>3336</v>
      </c>
      <c r="D777" t="b">
        <f>IFERROR(VLOOKUP(B777,PatData!$A$2:$A$2030,1,),"")&lt;&gt;""</f>
        <v>1</v>
      </c>
      <c r="E777" t="b">
        <v>0</v>
      </c>
      <c r="F777" t="b">
        <v>0</v>
      </c>
      <c r="G777" t="b">
        <v>1</v>
      </c>
      <c r="H777" t="b">
        <v>0</v>
      </c>
      <c r="I777" t="b">
        <v>0</v>
      </c>
    </row>
    <row r="778" spans="1:9" x14ac:dyDescent="0.2">
      <c r="A778" t="s">
        <v>3057</v>
      </c>
      <c r="B778" t="s">
        <v>3337</v>
      </c>
      <c r="D778" t="b">
        <f>IFERROR(VLOOKUP(B778,PatData!$A$2:$A$2030,1,),"")&lt;&gt;""</f>
        <v>1</v>
      </c>
      <c r="E778" t="b">
        <v>0</v>
      </c>
      <c r="F778" t="b">
        <v>0</v>
      </c>
      <c r="G778" t="b">
        <v>1</v>
      </c>
      <c r="H778" t="b">
        <v>0</v>
      </c>
      <c r="I778" t="b">
        <v>0</v>
      </c>
    </row>
    <row r="779" spans="1:9" x14ac:dyDescent="0.2">
      <c r="A779" t="s">
        <v>3058</v>
      </c>
      <c r="B779" t="s">
        <v>3338</v>
      </c>
      <c r="D779" t="b">
        <f>IFERROR(VLOOKUP(B779,PatData!$A$2:$A$2030,1,),"")&lt;&gt;""</f>
        <v>1</v>
      </c>
      <c r="E779" t="b">
        <v>0</v>
      </c>
      <c r="F779" t="b">
        <v>0</v>
      </c>
      <c r="G779" t="b">
        <v>1</v>
      </c>
      <c r="H779" t="b">
        <v>0</v>
      </c>
      <c r="I779" t="b">
        <v>0</v>
      </c>
    </row>
    <row r="780" spans="1:9" x14ac:dyDescent="0.2">
      <c r="A780" t="s">
        <v>3059</v>
      </c>
      <c r="B780" t="s">
        <v>3339</v>
      </c>
      <c r="D780" t="b">
        <f>IFERROR(VLOOKUP(B780,PatData!$A$2:$A$2030,1,),"")&lt;&gt;""</f>
        <v>1</v>
      </c>
      <c r="E780" t="b">
        <v>0</v>
      </c>
      <c r="F780" t="b">
        <v>0</v>
      </c>
      <c r="G780" t="b">
        <v>1</v>
      </c>
      <c r="H780" t="b">
        <v>0</v>
      </c>
      <c r="I780" t="b">
        <v>0</v>
      </c>
    </row>
    <row r="781" spans="1:9" x14ac:dyDescent="0.2">
      <c r="A781" t="s">
        <v>3060</v>
      </c>
      <c r="B781" t="s">
        <v>3340</v>
      </c>
      <c r="D781" t="b">
        <f>IFERROR(VLOOKUP(B781,PatData!$A$2:$A$2030,1,),"")&lt;&gt;""</f>
        <v>1</v>
      </c>
      <c r="E781" t="b">
        <v>0</v>
      </c>
      <c r="F781" t="b">
        <v>0</v>
      </c>
      <c r="G781" t="b">
        <v>1</v>
      </c>
      <c r="H781" t="b">
        <v>0</v>
      </c>
      <c r="I781" t="b">
        <v>0</v>
      </c>
    </row>
    <row r="782" spans="1:9" x14ac:dyDescent="0.2">
      <c r="A782" t="s">
        <v>3061</v>
      </c>
      <c r="B782" t="s">
        <v>3341</v>
      </c>
      <c r="D782" t="b">
        <f>IFERROR(VLOOKUP(B782,PatData!$A$2:$A$2030,1,),"")&lt;&gt;""</f>
        <v>1</v>
      </c>
      <c r="E782" t="b">
        <v>0</v>
      </c>
      <c r="F782" t="b">
        <v>0</v>
      </c>
      <c r="G782" t="b">
        <v>1</v>
      </c>
      <c r="H782" t="b">
        <v>0</v>
      </c>
      <c r="I782" t="b">
        <v>0</v>
      </c>
    </row>
    <row r="783" spans="1:9" x14ac:dyDescent="0.2">
      <c r="A783" t="s">
        <v>3062</v>
      </c>
      <c r="B783" t="s">
        <v>3342</v>
      </c>
      <c r="D783" t="b">
        <f>IFERROR(VLOOKUP(B783,PatData!$A$2:$A$2030,1,),"")&lt;&gt;""</f>
        <v>1</v>
      </c>
      <c r="E783" t="b">
        <v>0</v>
      </c>
      <c r="F783" t="b">
        <v>0</v>
      </c>
      <c r="G783" t="b">
        <v>1</v>
      </c>
      <c r="H783" t="b">
        <v>0</v>
      </c>
      <c r="I783" t="b">
        <v>0</v>
      </c>
    </row>
    <row r="784" spans="1:9" x14ac:dyDescent="0.2">
      <c r="A784" t="s">
        <v>3063</v>
      </c>
      <c r="B784" t="s">
        <v>3343</v>
      </c>
      <c r="D784" t="b">
        <f>IFERROR(VLOOKUP(B784,PatData!$A$2:$A$2030,1,),"")&lt;&gt;""</f>
        <v>1</v>
      </c>
      <c r="E784" t="b">
        <v>0</v>
      </c>
      <c r="F784" t="b">
        <v>0</v>
      </c>
      <c r="G784" t="b">
        <v>1</v>
      </c>
      <c r="H784" t="b">
        <v>0</v>
      </c>
      <c r="I784" t="b">
        <v>0</v>
      </c>
    </row>
    <row r="785" spans="1:9" x14ac:dyDescent="0.2">
      <c r="A785" t="s">
        <v>3064</v>
      </c>
      <c r="B785" t="s">
        <v>3344</v>
      </c>
      <c r="D785" t="b">
        <f>IFERROR(VLOOKUP(B785,PatData!$A$2:$A$2030,1,),"")&lt;&gt;""</f>
        <v>1</v>
      </c>
      <c r="E785" t="b">
        <v>0</v>
      </c>
      <c r="F785" t="b">
        <v>0</v>
      </c>
      <c r="G785" t="b">
        <v>1</v>
      </c>
      <c r="H785" t="b">
        <v>0</v>
      </c>
      <c r="I785" t="b">
        <v>0</v>
      </c>
    </row>
    <row r="786" spans="1:9" x14ac:dyDescent="0.2">
      <c r="A786" t="s">
        <v>3065</v>
      </c>
      <c r="B786" t="s">
        <v>3345</v>
      </c>
      <c r="D786" t="b">
        <f>IFERROR(VLOOKUP(B786,PatData!$A$2:$A$2030,1,),"")&lt;&gt;""</f>
        <v>1</v>
      </c>
      <c r="E786" t="b">
        <v>0</v>
      </c>
      <c r="F786" t="b">
        <v>0</v>
      </c>
      <c r="G786" t="b">
        <v>1</v>
      </c>
      <c r="H786" t="b">
        <v>0</v>
      </c>
      <c r="I786" t="b">
        <v>0</v>
      </c>
    </row>
    <row r="787" spans="1:9" x14ac:dyDescent="0.2">
      <c r="A787" t="s">
        <v>3066</v>
      </c>
      <c r="B787" t="s">
        <v>3346</v>
      </c>
      <c r="D787" t="b">
        <f>IFERROR(VLOOKUP(B787,PatData!$A$2:$A$2030,1,),"")&lt;&gt;""</f>
        <v>1</v>
      </c>
      <c r="E787" t="b">
        <v>0</v>
      </c>
      <c r="F787" t="b">
        <v>0</v>
      </c>
      <c r="G787" t="b">
        <v>1</v>
      </c>
      <c r="H787" t="b">
        <v>0</v>
      </c>
      <c r="I787" t="b">
        <v>0</v>
      </c>
    </row>
    <row r="788" spans="1:9" x14ac:dyDescent="0.2">
      <c r="A788" t="s">
        <v>3067</v>
      </c>
      <c r="B788" t="s">
        <v>3347</v>
      </c>
      <c r="D788" t="b">
        <f>IFERROR(VLOOKUP(B788,PatData!$A$2:$A$2030,1,),"")&lt;&gt;""</f>
        <v>1</v>
      </c>
      <c r="E788" t="b">
        <v>0</v>
      </c>
      <c r="F788" t="b">
        <v>0</v>
      </c>
      <c r="G788" t="b">
        <v>1</v>
      </c>
      <c r="H788" t="b">
        <v>0</v>
      </c>
      <c r="I788" t="b">
        <v>0</v>
      </c>
    </row>
    <row r="789" spans="1:9" x14ac:dyDescent="0.2">
      <c r="A789" t="s">
        <v>3068</v>
      </c>
      <c r="B789" t="s">
        <v>3348</v>
      </c>
      <c r="D789" t="b">
        <f>IFERROR(VLOOKUP(B789,PatData!$A$2:$A$2030,1,),"")&lt;&gt;""</f>
        <v>1</v>
      </c>
      <c r="E789" t="b">
        <v>0</v>
      </c>
      <c r="F789" t="b">
        <v>0</v>
      </c>
      <c r="G789" t="b">
        <v>1</v>
      </c>
      <c r="H789" t="b">
        <v>0</v>
      </c>
      <c r="I789" t="b">
        <v>0</v>
      </c>
    </row>
    <row r="790" spans="1:9" x14ac:dyDescent="0.2">
      <c r="A790" t="s">
        <v>3069</v>
      </c>
      <c r="B790" t="s">
        <v>3349</v>
      </c>
      <c r="D790" t="b">
        <f>IFERROR(VLOOKUP(B790,PatData!$A$2:$A$2030,1,),"")&lt;&gt;""</f>
        <v>1</v>
      </c>
      <c r="E790" t="b">
        <v>0</v>
      </c>
      <c r="F790" t="b">
        <v>0</v>
      </c>
      <c r="G790" t="b">
        <v>1</v>
      </c>
      <c r="H790" t="b">
        <v>0</v>
      </c>
      <c r="I790" t="b">
        <v>0</v>
      </c>
    </row>
    <row r="791" spans="1:9" x14ac:dyDescent="0.2">
      <c r="A791" t="s">
        <v>3070</v>
      </c>
      <c r="B791" t="s">
        <v>3350</v>
      </c>
      <c r="D791" t="b">
        <f>IFERROR(VLOOKUP(B791,PatData!$A$2:$A$2030,1,),"")&lt;&gt;""</f>
        <v>1</v>
      </c>
      <c r="E791" t="b">
        <v>0</v>
      </c>
      <c r="F791" t="b">
        <v>0</v>
      </c>
      <c r="G791" t="b">
        <v>1</v>
      </c>
      <c r="H791" t="b">
        <v>0</v>
      </c>
      <c r="I791" t="b">
        <v>0</v>
      </c>
    </row>
    <row r="792" spans="1:9" x14ac:dyDescent="0.2">
      <c r="A792" t="s">
        <v>3071</v>
      </c>
      <c r="B792" t="s">
        <v>3351</v>
      </c>
      <c r="D792" t="b">
        <f>IFERROR(VLOOKUP(B792,PatData!$A$2:$A$2030,1,),"")&lt;&gt;""</f>
        <v>1</v>
      </c>
      <c r="E792" t="b">
        <v>0</v>
      </c>
      <c r="F792" t="b">
        <v>0</v>
      </c>
      <c r="G792" t="b">
        <v>1</v>
      </c>
      <c r="H792" t="b">
        <v>0</v>
      </c>
      <c r="I792" t="b">
        <v>0</v>
      </c>
    </row>
    <row r="793" spans="1:9" x14ac:dyDescent="0.2">
      <c r="A793" t="s">
        <v>3072</v>
      </c>
      <c r="B793" t="s">
        <v>3352</v>
      </c>
      <c r="D793" t="b">
        <f>IFERROR(VLOOKUP(B793,PatData!$A$2:$A$2030,1,),"")&lt;&gt;""</f>
        <v>1</v>
      </c>
      <c r="E793" t="b">
        <v>0</v>
      </c>
      <c r="F793" t="b">
        <v>0</v>
      </c>
      <c r="G793" t="b">
        <v>1</v>
      </c>
      <c r="H793" t="b">
        <v>0</v>
      </c>
      <c r="I793" t="b">
        <v>0</v>
      </c>
    </row>
    <row r="794" spans="1:9" x14ac:dyDescent="0.2">
      <c r="A794" t="s">
        <v>3073</v>
      </c>
      <c r="B794" t="s">
        <v>3353</v>
      </c>
      <c r="D794" t="b">
        <f>IFERROR(VLOOKUP(B794,PatData!$A$2:$A$2030,1,),"")&lt;&gt;""</f>
        <v>1</v>
      </c>
      <c r="E794" t="b">
        <v>0</v>
      </c>
      <c r="F794" t="b">
        <v>0</v>
      </c>
      <c r="G794" t="b">
        <v>1</v>
      </c>
      <c r="H794" t="b">
        <v>0</v>
      </c>
      <c r="I794" t="b">
        <v>0</v>
      </c>
    </row>
    <row r="795" spans="1:9" x14ac:dyDescent="0.2">
      <c r="A795" t="s">
        <v>3074</v>
      </c>
      <c r="B795" t="s">
        <v>3354</v>
      </c>
      <c r="D795" t="b">
        <f>IFERROR(VLOOKUP(B795,PatData!$A$2:$A$2030,1,),"")&lt;&gt;""</f>
        <v>1</v>
      </c>
      <c r="E795" t="b">
        <v>0</v>
      </c>
      <c r="F795" t="b">
        <v>0</v>
      </c>
      <c r="G795" t="b">
        <v>1</v>
      </c>
      <c r="H795" t="b">
        <v>0</v>
      </c>
      <c r="I795" t="b">
        <v>0</v>
      </c>
    </row>
    <row r="796" spans="1:9" x14ac:dyDescent="0.2">
      <c r="A796" t="s">
        <v>3075</v>
      </c>
      <c r="B796" t="s">
        <v>3355</v>
      </c>
      <c r="D796" t="b">
        <f>IFERROR(VLOOKUP(B796,PatData!$A$2:$A$2030,1,),"")&lt;&gt;""</f>
        <v>1</v>
      </c>
      <c r="E796" t="b">
        <v>0</v>
      </c>
      <c r="F796" t="b">
        <v>0</v>
      </c>
      <c r="G796" t="b">
        <v>1</v>
      </c>
      <c r="H796" t="b">
        <v>0</v>
      </c>
      <c r="I796" t="b">
        <v>0</v>
      </c>
    </row>
    <row r="797" spans="1:9" x14ac:dyDescent="0.2">
      <c r="A797" t="s">
        <v>3076</v>
      </c>
      <c r="B797" t="s">
        <v>3356</v>
      </c>
      <c r="D797" t="b">
        <f>IFERROR(VLOOKUP(B797,PatData!$A$2:$A$2030,1,),"")&lt;&gt;""</f>
        <v>1</v>
      </c>
      <c r="E797" t="b">
        <v>0</v>
      </c>
      <c r="F797" t="b">
        <v>0</v>
      </c>
      <c r="G797" t="b">
        <v>1</v>
      </c>
      <c r="H797" t="b">
        <v>0</v>
      </c>
      <c r="I797" t="b">
        <v>0</v>
      </c>
    </row>
    <row r="798" spans="1:9" x14ac:dyDescent="0.2">
      <c r="A798" t="s">
        <v>3077</v>
      </c>
      <c r="B798" t="s">
        <v>3357</v>
      </c>
      <c r="D798" t="b">
        <f>IFERROR(VLOOKUP(B798,PatData!$A$2:$A$2030,1,),"")&lt;&gt;""</f>
        <v>1</v>
      </c>
      <c r="E798" t="b">
        <v>0</v>
      </c>
      <c r="F798" t="b">
        <v>0</v>
      </c>
      <c r="G798" t="b">
        <v>1</v>
      </c>
      <c r="H798" t="b">
        <v>0</v>
      </c>
      <c r="I798" t="b">
        <v>0</v>
      </c>
    </row>
    <row r="799" spans="1:9" x14ac:dyDescent="0.2">
      <c r="A799" t="s">
        <v>3078</v>
      </c>
      <c r="B799" t="s">
        <v>3358</v>
      </c>
      <c r="D799" t="b">
        <f>IFERROR(VLOOKUP(B799,PatData!$A$2:$A$2030,1,),"")&lt;&gt;""</f>
        <v>1</v>
      </c>
      <c r="E799" t="b">
        <v>0</v>
      </c>
      <c r="F799" t="b">
        <v>0</v>
      </c>
      <c r="G799" t="b">
        <v>1</v>
      </c>
      <c r="H799" t="b">
        <v>0</v>
      </c>
      <c r="I799" t="b">
        <v>0</v>
      </c>
    </row>
    <row r="800" spans="1:9" x14ac:dyDescent="0.2">
      <c r="A800" t="s">
        <v>3079</v>
      </c>
      <c r="B800" t="s">
        <v>3359</v>
      </c>
      <c r="D800" t="b">
        <f>IFERROR(VLOOKUP(B800,PatData!$A$2:$A$2030,1,),"")&lt;&gt;""</f>
        <v>1</v>
      </c>
      <c r="E800" t="b">
        <v>0</v>
      </c>
      <c r="F800" t="b">
        <v>0</v>
      </c>
      <c r="G800" t="b">
        <v>1</v>
      </c>
      <c r="H800" t="b">
        <v>0</v>
      </c>
      <c r="I800" t="b">
        <v>0</v>
      </c>
    </row>
    <row r="801" spans="1:9" x14ac:dyDescent="0.2">
      <c r="A801" t="s">
        <v>3080</v>
      </c>
      <c r="B801" t="s">
        <v>3360</v>
      </c>
      <c r="D801" t="b">
        <f>IFERROR(VLOOKUP(B801,PatData!$A$2:$A$2030,1,),"")&lt;&gt;""</f>
        <v>1</v>
      </c>
      <c r="E801" t="b">
        <v>0</v>
      </c>
      <c r="F801" t="b">
        <v>0</v>
      </c>
      <c r="G801" t="b">
        <v>1</v>
      </c>
      <c r="H801" t="b">
        <v>0</v>
      </c>
      <c r="I801" t="b">
        <v>0</v>
      </c>
    </row>
    <row r="802" spans="1:9" x14ac:dyDescent="0.2">
      <c r="A802" t="s">
        <v>3081</v>
      </c>
      <c r="B802" t="s">
        <v>3361</v>
      </c>
      <c r="D802" t="b">
        <f>IFERROR(VLOOKUP(B802,PatData!$A$2:$A$2030,1,),"")&lt;&gt;""</f>
        <v>1</v>
      </c>
      <c r="E802" t="b">
        <v>0</v>
      </c>
      <c r="F802" t="b">
        <v>0</v>
      </c>
      <c r="G802" t="b">
        <v>1</v>
      </c>
      <c r="H802" t="b">
        <v>0</v>
      </c>
      <c r="I802" t="b">
        <v>0</v>
      </c>
    </row>
    <row r="803" spans="1:9" x14ac:dyDescent="0.2">
      <c r="A803" t="s">
        <v>3082</v>
      </c>
      <c r="B803" t="s">
        <v>3362</v>
      </c>
      <c r="D803" t="b">
        <f>IFERROR(VLOOKUP(B803,PatData!$A$2:$A$2030,1,),"")&lt;&gt;""</f>
        <v>1</v>
      </c>
      <c r="E803" t="b">
        <v>0</v>
      </c>
      <c r="F803" t="b">
        <v>0</v>
      </c>
      <c r="G803" t="b">
        <v>1</v>
      </c>
      <c r="H803" t="b">
        <v>0</v>
      </c>
      <c r="I803" t="b">
        <v>0</v>
      </c>
    </row>
    <row r="804" spans="1:9" x14ac:dyDescent="0.2">
      <c r="A804" t="s">
        <v>2873</v>
      </c>
      <c r="B804" t="s">
        <v>3363</v>
      </c>
      <c r="D804" t="b">
        <f>IFERROR(VLOOKUP(B804,PatData!$A$2:$A$2030,1,),"")&lt;&gt;""</f>
        <v>1</v>
      </c>
      <c r="E804"/>
      <c r="F804" t="b">
        <v>0</v>
      </c>
      <c r="G804" t="b">
        <v>1</v>
      </c>
      <c r="H804" t="b">
        <v>0</v>
      </c>
      <c r="I804" t="b">
        <v>0</v>
      </c>
    </row>
    <row r="805" spans="1:9" x14ac:dyDescent="0.2">
      <c r="A805" t="s">
        <v>2874</v>
      </c>
      <c r="B805" t="s">
        <v>3364</v>
      </c>
      <c r="D805" t="b">
        <f>IFERROR(VLOOKUP(B805,PatData!$A$2:$A$2030,1,),"")&lt;&gt;""</f>
        <v>1</v>
      </c>
      <c r="E805"/>
      <c r="F805" t="b">
        <v>0</v>
      </c>
      <c r="G805" t="b">
        <v>1</v>
      </c>
      <c r="H805" t="b">
        <v>0</v>
      </c>
      <c r="I805" t="b">
        <v>0</v>
      </c>
    </row>
    <row r="806" spans="1:9" x14ac:dyDescent="0.2">
      <c r="A806" t="s">
        <v>2875</v>
      </c>
      <c r="B806" t="s">
        <v>3365</v>
      </c>
      <c r="D806" t="b">
        <f>IFERROR(VLOOKUP(B806,PatData!$A$2:$A$2030,1,),"")&lt;&gt;""</f>
        <v>1</v>
      </c>
      <c r="E806"/>
      <c r="F806" t="b">
        <v>0</v>
      </c>
      <c r="G806" t="b">
        <v>1</v>
      </c>
      <c r="H806" t="b">
        <v>0</v>
      </c>
      <c r="I806" t="b">
        <v>0</v>
      </c>
    </row>
    <row r="807" spans="1:9" x14ac:dyDescent="0.2">
      <c r="A807" t="s">
        <v>2876</v>
      </c>
      <c r="B807" t="s">
        <v>3366</v>
      </c>
      <c r="D807" t="b">
        <f>IFERROR(VLOOKUP(B807,PatData!$A$2:$A$2030,1,),"")&lt;&gt;""</f>
        <v>1</v>
      </c>
      <c r="E807"/>
      <c r="F807" t="b">
        <v>0</v>
      </c>
      <c r="G807" t="b">
        <v>1</v>
      </c>
      <c r="H807" t="b">
        <v>0</v>
      </c>
      <c r="I807" t="b">
        <v>0</v>
      </c>
    </row>
    <row r="808" spans="1:9" x14ac:dyDescent="0.2">
      <c r="A808" t="s">
        <v>2877</v>
      </c>
      <c r="B808" t="s">
        <v>3367</v>
      </c>
      <c r="D808" t="b">
        <f>IFERROR(VLOOKUP(B808,PatData!$A$2:$A$2030,1,),"")&lt;&gt;""</f>
        <v>1</v>
      </c>
      <c r="E808"/>
      <c r="F808" t="b">
        <v>0</v>
      </c>
      <c r="G808" t="b">
        <v>1</v>
      </c>
      <c r="H808" t="b">
        <v>0</v>
      </c>
      <c r="I808" t="b">
        <v>0</v>
      </c>
    </row>
    <row r="809" spans="1:9" x14ac:dyDescent="0.2">
      <c r="A809" t="s">
        <v>2878</v>
      </c>
      <c r="B809" t="s">
        <v>3368</v>
      </c>
      <c r="D809" t="b">
        <f>IFERROR(VLOOKUP(B809,PatData!$A$2:$A$2030,1,),"")&lt;&gt;""</f>
        <v>1</v>
      </c>
      <c r="E809"/>
      <c r="F809" t="b">
        <v>0</v>
      </c>
      <c r="G809" t="b">
        <v>1</v>
      </c>
      <c r="H809" t="b">
        <v>0</v>
      </c>
      <c r="I809" t="b">
        <v>0</v>
      </c>
    </row>
    <row r="810" spans="1:9" x14ac:dyDescent="0.2">
      <c r="A810" t="s">
        <v>2879</v>
      </c>
      <c r="B810" t="s">
        <v>3369</v>
      </c>
      <c r="D810" t="b">
        <f>IFERROR(VLOOKUP(B810,PatData!$A$2:$A$2030,1,),"")&lt;&gt;""</f>
        <v>1</v>
      </c>
      <c r="E810"/>
      <c r="F810" t="b">
        <v>0</v>
      </c>
      <c r="G810" t="b">
        <v>1</v>
      </c>
      <c r="H810" t="b">
        <v>0</v>
      </c>
      <c r="I810" t="b">
        <v>0</v>
      </c>
    </row>
    <row r="811" spans="1:9" x14ac:dyDescent="0.2">
      <c r="A811" t="s">
        <v>2880</v>
      </c>
      <c r="B811" t="s">
        <v>3370</v>
      </c>
      <c r="D811" t="b">
        <f>IFERROR(VLOOKUP(B811,PatData!$A$2:$A$2030,1,),"")&lt;&gt;""</f>
        <v>1</v>
      </c>
      <c r="E811"/>
      <c r="F811" t="b">
        <v>0</v>
      </c>
      <c r="G811" t="b">
        <v>1</v>
      </c>
      <c r="H811" t="b">
        <v>0</v>
      </c>
      <c r="I811" t="b">
        <v>0</v>
      </c>
    </row>
    <row r="812" spans="1:9" s="151" customFormat="1" x14ac:dyDescent="0.2">
      <c r="A812" t="s">
        <v>2881</v>
      </c>
      <c r="B812" t="s">
        <v>3371</v>
      </c>
      <c r="C812"/>
      <c r="D812" t="b">
        <f>IFERROR(VLOOKUP(B812,PatData!$A$2:$A$2030,1,),"")&lt;&gt;""</f>
        <v>1</v>
      </c>
      <c r="E812"/>
      <c r="F812" t="b">
        <v>0</v>
      </c>
      <c r="G812" t="b">
        <v>1</v>
      </c>
      <c r="H812" t="b">
        <v>0</v>
      </c>
      <c r="I812" t="b">
        <v>0</v>
      </c>
    </row>
    <row r="813" spans="1:9" s="151" customFormat="1" x14ac:dyDescent="0.2">
      <c r="A813" t="s">
        <v>2882</v>
      </c>
      <c r="B813" t="s">
        <v>3372</v>
      </c>
      <c r="C813"/>
      <c r="D813" t="b">
        <f>IFERROR(VLOOKUP(B813,PatData!$A$2:$A$2030,1,),"")&lt;&gt;""</f>
        <v>1</v>
      </c>
      <c r="E813"/>
      <c r="F813" t="b">
        <v>0</v>
      </c>
      <c r="G813" t="b">
        <v>1</v>
      </c>
      <c r="H813" t="b">
        <v>0</v>
      </c>
      <c r="I813" t="b">
        <v>0</v>
      </c>
    </row>
    <row r="814" spans="1:9" s="151" customFormat="1" x14ac:dyDescent="0.2">
      <c r="A814" t="s">
        <v>2883</v>
      </c>
      <c r="B814" t="s">
        <v>3373</v>
      </c>
      <c r="C814"/>
      <c r="D814" t="b">
        <f>IFERROR(VLOOKUP(B814,PatData!$A$2:$A$2030,1,),"")&lt;&gt;""</f>
        <v>1</v>
      </c>
      <c r="E814"/>
      <c r="F814" t="b">
        <v>0</v>
      </c>
      <c r="G814" t="b">
        <v>1</v>
      </c>
      <c r="H814" t="b">
        <v>0</v>
      </c>
      <c r="I814" t="b">
        <v>0</v>
      </c>
    </row>
    <row r="815" spans="1:9" s="151" customFormat="1" x14ac:dyDescent="0.2">
      <c r="A815" t="s">
        <v>2884</v>
      </c>
      <c r="B815" t="s">
        <v>3374</v>
      </c>
      <c r="C815"/>
      <c r="D815" t="b">
        <f>IFERROR(VLOOKUP(B815,PatData!$A$2:$A$2030,1,),"")&lt;&gt;""</f>
        <v>1</v>
      </c>
      <c r="E815"/>
      <c r="F815" t="b">
        <v>0</v>
      </c>
      <c r="G815" t="b">
        <v>1</v>
      </c>
      <c r="H815" t="b">
        <v>0</v>
      </c>
      <c r="I815" t="b">
        <v>0</v>
      </c>
    </row>
    <row r="816" spans="1:9" s="151" customFormat="1" x14ac:dyDescent="0.2">
      <c r="A816" t="s">
        <v>2885</v>
      </c>
      <c r="B816" t="s">
        <v>3375</v>
      </c>
      <c r="C816"/>
      <c r="D816" t="b">
        <f>IFERROR(VLOOKUP(B816,PatData!$A$2:$A$2030,1,),"")&lt;&gt;""</f>
        <v>1</v>
      </c>
      <c r="E816"/>
      <c r="F816" t="b">
        <v>0</v>
      </c>
      <c r="G816" t="b">
        <v>1</v>
      </c>
      <c r="H816" t="b">
        <v>0</v>
      </c>
      <c r="I816" t="b">
        <v>0</v>
      </c>
    </row>
    <row r="817" spans="1:9" s="151" customFormat="1" x14ac:dyDescent="0.2">
      <c r="A817" t="s">
        <v>2886</v>
      </c>
      <c r="B817" t="s">
        <v>3376</v>
      </c>
      <c r="C817"/>
      <c r="D817" t="b">
        <f>IFERROR(VLOOKUP(B817,PatData!$A$2:$A$2030,1,),"")&lt;&gt;""</f>
        <v>1</v>
      </c>
      <c r="E817"/>
      <c r="F817" t="b">
        <v>0</v>
      </c>
      <c r="G817" t="b">
        <v>1</v>
      </c>
      <c r="H817" t="b">
        <v>0</v>
      </c>
      <c r="I817" t="b">
        <v>0</v>
      </c>
    </row>
    <row r="818" spans="1:9" s="151" customFormat="1" x14ac:dyDescent="0.2">
      <c r="A818" t="s">
        <v>2887</v>
      </c>
      <c r="B818" t="s">
        <v>3377</v>
      </c>
      <c r="C818"/>
      <c r="D818" t="b">
        <f>IFERROR(VLOOKUP(B818,PatData!$A$2:$A$2030,1,),"")&lt;&gt;""</f>
        <v>1</v>
      </c>
      <c r="E818"/>
      <c r="F818" t="b">
        <v>0</v>
      </c>
      <c r="G818" t="b">
        <v>1</v>
      </c>
      <c r="H818" t="b">
        <v>0</v>
      </c>
      <c r="I818" t="b">
        <v>0</v>
      </c>
    </row>
    <row r="819" spans="1:9" s="151" customFormat="1" x14ac:dyDescent="0.2">
      <c r="A819" t="s">
        <v>2888</v>
      </c>
      <c r="B819" t="s">
        <v>3378</v>
      </c>
      <c r="C819"/>
      <c r="D819" t="b">
        <f>IFERROR(VLOOKUP(B819,PatData!$A$2:$A$2030,1,),"")&lt;&gt;""</f>
        <v>1</v>
      </c>
      <c r="E819"/>
      <c r="F819" t="b">
        <v>0</v>
      </c>
      <c r="G819" t="b">
        <v>1</v>
      </c>
      <c r="H819" t="b">
        <v>0</v>
      </c>
      <c r="I819" t="b">
        <v>0</v>
      </c>
    </row>
    <row r="820" spans="1:9" s="151" customFormat="1" x14ac:dyDescent="0.2">
      <c r="A820" t="s">
        <v>2889</v>
      </c>
      <c r="B820" t="s">
        <v>3379</v>
      </c>
      <c r="C820"/>
      <c r="D820" t="b">
        <f>IFERROR(VLOOKUP(B820,PatData!$A$2:$A$2030,1,),"")&lt;&gt;""</f>
        <v>1</v>
      </c>
      <c r="E820"/>
      <c r="F820" t="b">
        <v>0</v>
      </c>
      <c r="G820" t="b">
        <v>1</v>
      </c>
      <c r="H820" t="b">
        <v>0</v>
      </c>
      <c r="I820" t="b">
        <v>0</v>
      </c>
    </row>
    <row r="821" spans="1:9" s="151" customFormat="1" x14ac:dyDescent="0.2">
      <c r="A821" t="s">
        <v>2890</v>
      </c>
      <c r="B821" t="s">
        <v>3380</v>
      </c>
      <c r="C821"/>
      <c r="D821" t="b">
        <f>IFERROR(VLOOKUP(B821,PatData!$A$2:$A$2030,1,),"")&lt;&gt;""</f>
        <v>1</v>
      </c>
      <c r="E821"/>
      <c r="F821" t="b">
        <v>0</v>
      </c>
      <c r="G821" t="b">
        <v>1</v>
      </c>
      <c r="H821" t="b">
        <v>0</v>
      </c>
      <c r="I821" t="b">
        <v>0</v>
      </c>
    </row>
    <row r="822" spans="1:9" s="151" customFormat="1" x14ac:dyDescent="0.2">
      <c r="A822" t="s">
        <v>2891</v>
      </c>
      <c r="B822" t="s">
        <v>3381</v>
      </c>
      <c r="C822"/>
      <c r="D822" t="b">
        <f>IFERROR(VLOOKUP(B822,PatData!$A$2:$A$2030,1,),"")&lt;&gt;""</f>
        <v>1</v>
      </c>
      <c r="E822"/>
      <c r="F822" t="b">
        <v>0</v>
      </c>
      <c r="G822" t="b">
        <v>1</v>
      </c>
      <c r="H822" t="b">
        <v>0</v>
      </c>
      <c r="I822" t="b">
        <v>0</v>
      </c>
    </row>
    <row r="823" spans="1:9" s="151" customFormat="1" x14ac:dyDescent="0.2">
      <c r="A823" t="s">
        <v>2892</v>
      </c>
      <c r="B823" t="s">
        <v>3382</v>
      </c>
      <c r="C823"/>
      <c r="D823" t="b">
        <f>IFERROR(VLOOKUP(B823,PatData!$A$2:$A$2030,1,),"")&lt;&gt;""</f>
        <v>1</v>
      </c>
      <c r="E823"/>
      <c r="F823" t="b">
        <v>0</v>
      </c>
      <c r="G823" t="b">
        <v>1</v>
      </c>
      <c r="H823" t="b">
        <v>0</v>
      </c>
      <c r="I823" t="b">
        <v>0</v>
      </c>
    </row>
    <row r="824" spans="1:9" s="151" customFormat="1" x14ac:dyDescent="0.2">
      <c r="A824" t="s">
        <v>2893</v>
      </c>
      <c r="B824" t="s">
        <v>3383</v>
      </c>
      <c r="C824"/>
      <c r="D824" t="b">
        <f>IFERROR(VLOOKUP(B824,PatData!$A$2:$A$2030,1,),"")&lt;&gt;""</f>
        <v>1</v>
      </c>
      <c r="E824"/>
      <c r="F824" t="b">
        <v>0</v>
      </c>
      <c r="G824" t="b">
        <v>1</v>
      </c>
      <c r="H824" t="b">
        <v>0</v>
      </c>
      <c r="I824" t="b">
        <v>0</v>
      </c>
    </row>
    <row r="825" spans="1:9" s="151" customFormat="1" x14ac:dyDescent="0.2">
      <c r="A825" t="s">
        <v>2894</v>
      </c>
      <c r="B825" t="s">
        <v>3384</v>
      </c>
      <c r="C825"/>
      <c r="D825" t="b">
        <f>IFERROR(VLOOKUP(B825,PatData!$A$2:$A$2030,1,),"")&lt;&gt;""</f>
        <v>1</v>
      </c>
      <c r="E825"/>
      <c r="F825" t="b">
        <v>0</v>
      </c>
      <c r="G825" t="b">
        <v>1</v>
      </c>
      <c r="H825" t="b">
        <v>0</v>
      </c>
      <c r="I825" t="b">
        <v>0</v>
      </c>
    </row>
    <row r="826" spans="1:9" s="151" customFormat="1" x14ac:dyDescent="0.2">
      <c r="A826" t="s">
        <v>2895</v>
      </c>
      <c r="B826" t="s">
        <v>3385</v>
      </c>
      <c r="C826"/>
      <c r="D826" t="b">
        <f>IFERROR(VLOOKUP(B826,PatData!$A$2:$A$2030,1,),"")&lt;&gt;""</f>
        <v>1</v>
      </c>
      <c r="E826"/>
      <c r="F826" t="b">
        <v>0</v>
      </c>
      <c r="G826" t="b">
        <v>1</v>
      </c>
      <c r="H826" t="b">
        <v>0</v>
      </c>
      <c r="I826" t="b">
        <v>0</v>
      </c>
    </row>
    <row r="827" spans="1:9" s="151" customFormat="1" x14ac:dyDescent="0.2">
      <c r="A827" t="s">
        <v>2896</v>
      </c>
      <c r="B827" t="s">
        <v>3386</v>
      </c>
      <c r="C827"/>
      <c r="D827" t="b">
        <f>IFERROR(VLOOKUP(B827,PatData!$A$2:$A$2030,1,),"")&lt;&gt;""</f>
        <v>1</v>
      </c>
      <c r="E827"/>
      <c r="F827" t="b">
        <v>0</v>
      </c>
      <c r="G827" t="b">
        <v>1</v>
      </c>
      <c r="H827" t="b">
        <v>0</v>
      </c>
      <c r="I827" t="b">
        <v>0</v>
      </c>
    </row>
    <row r="828" spans="1:9" s="151" customFormat="1" x14ac:dyDescent="0.2">
      <c r="A828" t="s">
        <v>2897</v>
      </c>
      <c r="B828" t="s">
        <v>3387</v>
      </c>
      <c r="C828"/>
      <c r="D828" t="b">
        <f>IFERROR(VLOOKUP(B828,PatData!$A$2:$A$2030,1,),"")&lt;&gt;""</f>
        <v>1</v>
      </c>
      <c r="E828"/>
      <c r="F828" t="b">
        <v>0</v>
      </c>
      <c r="G828" t="b">
        <v>1</v>
      </c>
      <c r="H828" t="b">
        <v>0</v>
      </c>
      <c r="I828" t="b">
        <v>0</v>
      </c>
    </row>
    <row r="829" spans="1:9" s="151" customFormat="1" x14ac:dyDescent="0.2">
      <c r="A829" t="s">
        <v>2898</v>
      </c>
      <c r="B829" t="s">
        <v>3388</v>
      </c>
      <c r="C829"/>
      <c r="D829" t="b">
        <f>IFERROR(VLOOKUP(B829,PatData!$A$2:$A$2030,1,),"")&lt;&gt;""</f>
        <v>1</v>
      </c>
      <c r="E829"/>
      <c r="F829" t="b">
        <v>0</v>
      </c>
      <c r="G829" t="b">
        <v>1</v>
      </c>
      <c r="H829" t="b">
        <v>0</v>
      </c>
      <c r="I829" t="b">
        <v>0</v>
      </c>
    </row>
    <row r="830" spans="1:9" s="151" customFormat="1" x14ac:dyDescent="0.2">
      <c r="A830" t="s">
        <v>2899</v>
      </c>
      <c r="B830" t="s">
        <v>3389</v>
      </c>
      <c r="C830"/>
      <c r="D830" t="b">
        <f>IFERROR(VLOOKUP(B830,PatData!$A$2:$A$2030,1,),"")&lt;&gt;""</f>
        <v>1</v>
      </c>
      <c r="E830"/>
      <c r="F830" t="b">
        <v>0</v>
      </c>
      <c r="G830" t="b">
        <v>1</v>
      </c>
      <c r="H830" t="b">
        <v>0</v>
      </c>
      <c r="I830" t="b">
        <v>0</v>
      </c>
    </row>
    <row r="831" spans="1:9" s="151" customFormat="1" x14ac:dyDescent="0.2">
      <c r="A831" t="s">
        <v>2900</v>
      </c>
      <c r="B831" t="s">
        <v>3390</v>
      </c>
      <c r="C831"/>
      <c r="D831" t="b">
        <f>IFERROR(VLOOKUP(B831,PatData!$A$2:$A$2030,1,),"")&lt;&gt;""</f>
        <v>1</v>
      </c>
      <c r="E831"/>
      <c r="F831" t="b">
        <v>0</v>
      </c>
      <c r="G831" t="b">
        <v>1</v>
      </c>
      <c r="H831" t="b">
        <v>0</v>
      </c>
      <c r="I831" t="b">
        <v>0</v>
      </c>
    </row>
    <row r="832" spans="1:9" s="151" customFormat="1" x14ac:dyDescent="0.2">
      <c r="A832" t="s">
        <v>2901</v>
      </c>
      <c r="B832" t="s">
        <v>3391</v>
      </c>
      <c r="C832"/>
      <c r="D832" t="b">
        <f>IFERROR(VLOOKUP(B832,PatData!$A$2:$A$2030,1,),"")&lt;&gt;""</f>
        <v>1</v>
      </c>
      <c r="E832"/>
      <c r="F832" t="b">
        <v>0</v>
      </c>
      <c r="G832" t="b">
        <v>1</v>
      </c>
      <c r="H832" t="b">
        <v>0</v>
      </c>
      <c r="I832" t="b">
        <v>0</v>
      </c>
    </row>
    <row r="833" spans="1:9" s="151" customFormat="1" x14ac:dyDescent="0.2">
      <c r="A833" t="s">
        <v>2902</v>
      </c>
      <c r="B833" t="s">
        <v>3392</v>
      </c>
      <c r="C833"/>
      <c r="D833" t="b">
        <f>IFERROR(VLOOKUP(B833,PatData!$A$2:$A$2030,1,),"")&lt;&gt;""</f>
        <v>1</v>
      </c>
      <c r="E833"/>
      <c r="F833" t="b">
        <v>0</v>
      </c>
      <c r="G833" t="b">
        <v>1</v>
      </c>
      <c r="H833" t="b">
        <v>0</v>
      </c>
      <c r="I833" t="b">
        <v>0</v>
      </c>
    </row>
    <row r="834" spans="1:9" s="151" customFormat="1" x14ac:dyDescent="0.2">
      <c r="A834" t="s">
        <v>3023</v>
      </c>
      <c r="B834" t="s">
        <v>2058</v>
      </c>
      <c r="C834"/>
      <c r="D834" t="b">
        <f>IFERROR(VLOOKUP(B834,PatData!$A$2:$A$2030,1,),"")&lt;&gt;""</f>
        <v>1</v>
      </c>
      <c r="E834">
        <v>50</v>
      </c>
      <c r="F834" t="b">
        <v>0</v>
      </c>
      <c r="G834" t="b">
        <v>1</v>
      </c>
      <c r="H834" t="b">
        <v>0</v>
      </c>
      <c r="I834" t="b">
        <v>0</v>
      </c>
    </row>
    <row r="835" spans="1:9" s="151" customFormat="1" x14ac:dyDescent="0.2">
      <c r="A835" t="s">
        <v>3024</v>
      </c>
      <c r="B835" t="s">
        <v>2059</v>
      </c>
      <c r="C835"/>
      <c r="D835" t="b">
        <f>IFERROR(VLOOKUP(B835,PatData!$A$2:$A$2030,1,),"")&lt;&gt;""</f>
        <v>1</v>
      </c>
      <c r="E835">
        <v>0.15</v>
      </c>
      <c r="F835" t="b">
        <v>0</v>
      </c>
      <c r="G835" t="b">
        <v>1</v>
      </c>
      <c r="H835" t="b">
        <v>0</v>
      </c>
      <c r="I835" t="b">
        <v>0</v>
      </c>
    </row>
    <row r="836" spans="1:9" s="151" customFormat="1" x14ac:dyDescent="0.2">
      <c r="A836" t="s">
        <v>3025</v>
      </c>
      <c r="B836" t="s">
        <v>2060</v>
      </c>
      <c r="C836"/>
      <c r="D836" t="b">
        <f>IFERROR(VLOOKUP(B836,PatData!$A$2:$A$2030,1,),"")&lt;&gt;""</f>
        <v>1</v>
      </c>
      <c r="E836">
        <v>1</v>
      </c>
      <c r="F836" t="b">
        <v>0</v>
      </c>
      <c r="G836" t="b">
        <v>1</v>
      </c>
      <c r="H836" t="b">
        <v>0</v>
      </c>
      <c r="I836" t="b">
        <v>0</v>
      </c>
    </row>
    <row r="837" spans="1:9" s="151" customFormat="1" x14ac:dyDescent="0.2">
      <c r="A837" t="s">
        <v>3026</v>
      </c>
      <c r="B837" t="s">
        <v>2061</v>
      </c>
      <c r="C837"/>
      <c r="D837" t="b">
        <f>IFERROR(VLOOKUP(B837,PatData!$A$2:$A$2030,1,),"")&lt;&gt;""</f>
        <v>1</v>
      </c>
      <c r="E837">
        <v>0</v>
      </c>
      <c r="F837" t="b">
        <v>0</v>
      </c>
      <c r="G837" t="b">
        <v>1</v>
      </c>
      <c r="H837" t="b">
        <v>0</v>
      </c>
      <c r="I837" t="b">
        <v>0</v>
      </c>
    </row>
    <row r="838" spans="1:9" s="151" customFormat="1" x14ac:dyDescent="0.2">
      <c r="A838" t="s">
        <v>3027</v>
      </c>
      <c r="B838" t="s">
        <v>2062</v>
      </c>
      <c r="C838"/>
      <c r="D838" t="b">
        <f>IFERROR(VLOOKUP(B838,PatData!$A$2:$A$2030,1,),"")&lt;&gt;""</f>
        <v>1</v>
      </c>
      <c r="E838">
        <v>0</v>
      </c>
      <c r="F838" t="b">
        <v>0</v>
      </c>
      <c r="G838" t="b">
        <v>1</v>
      </c>
      <c r="H838" t="b">
        <v>0</v>
      </c>
      <c r="I838" t="b">
        <v>0</v>
      </c>
    </row>
    <row r="839" spans="1:9" s="151" customFormat="1" x14ac:dyDescent="0.2">
      <c r="A839" t="s">
        <v>3028</v>
      </c>
      <c r="B839" t="s">
        <v>2063</v>
      </c>
      <c r="C839"/>
      <c r="D839" t="b">
        <f>IFERROR(VLOOKUP(B839,PatData!$A$2:$A$2030,1,),"")&lt;&gt;""</f>
        <v>1</v>
      </c>
      <c r="E839">
        <v>0</v>
      </c>
      <c r="F839" t="b">
        <v>0</v>
      </c>
      <c r="G839" t="b">
        <v>1</v>
      </c>
      <c r="H839" t="b">
        <v>0</v>
      </c>
      <c r="I839" t="b">
        <v>0</v>
      </c>
    </row>
    <row r="840" spans="1:9" s="151" customFormat="1" x14ac:dyDescent="0.2">
      <c r="A840" t="s">
        <v>3029</v>
      </c>
      <c r="B840" t="s">
        <v>2064</v>
      </c>
      <c r="C840"/>
      <c r="D840" t="b">
        <f>IFERROR(VLOOKUP(B840,PatData!$A$2:$A$2030,1,),"")&lt;&gt;""</f>
        <v>1</v>
      </c>
      <c r="E840">
        <v>0</v>
      </c>
      <c r="F840" t="b">
        <v>0</v>
      </c>
      <c r="G840" t="b">
        <v>1</v>
      </c>
      <c r="H840" t="b">
        <v>0</v>
      </c>
      <c r="I840" t="b">
        <v>0</v>
      </c>
    </row>
    <row r="841" spans="1:9" s="151" customFormat="1" x14ac:dyDescent="0.2">
      <c r="A841" t="s">
        <v>3030</v>
      </c>
      <c r="B841" t="s">
        <v>2065</v>
      </c>
      <c r="C841"/>
      <c r="D841" t="b">
        <f>IFERROR(VLOOKUP(B841,PatData!$A$2:$A$2030,1,),"")&lt;&gt;""</f>
        <v>1</v>
      </c>
      <c r="E841">
        <v>0</v>
      </c>
      <c r="F841" t="b">
        <v>0</v>
      </c>
      <c r="G841" t="b">
        <v>1</v>
      </c>
      <c r="H841" t="b">
        <v>0</v>
      </c>
      <c r="I841" t="b">
        <v>0</v>
      </c>
    </row>
    <row r="842" spans="1:9" s="151" customFormat="1" x14ac:dyDescent="0.2">
      <c r="A842" t="s">
        <v>3031</v>
      </c>
      <c r="B842" t="s">
        <v>2066</v>
      </c>
      <c r="C842"/>
      <c r="D842" t="b">
        <f>IFERROR(VLOOKUP(B842,PatData!$A$2:$A$2030,1,),"")&lt;&gt;""</f>
        <v>1</v>
      </c>
      <c r="E842">
        <v>0</v>
      </c>
      <c r="F842" t="b">
        <v>0</v>
      </c>
      <c r="G842" t="b">
        <v>1</v>
      </c>
      <c r="H842" t="b">
        <v>0</v>
      </c>
      <c r="I842" t="b">
        <v>0</v>
      </c>
    </row>
    <row r="843" spans="1:9" s="151" customFormat="1" x14ac:dyDescent="0.2">
      <c r="A843" t="s">
        <v>3032</v>
      </c>
      <c r="B843" t="s">
        <v>2067</v>
      </c>
      <c r="C843"/>
      <c r="D843" t="b">
        <f>IFERROR(VLOOKUP(B843,PatData!$A$2:$A$2030,1,),"")&lt;&gt;""</f>
        <v>1</v>
      </c>
      <c r="E843">
        <v>0</v>
      </c>
      <c r="F843" t="b">
        <v>0</v>
      </c>
      <c r="G843" t="b">
        <v>1</v>
      </c>
      <c r="H843" t="b">
        <v>0</v>
      </c>
      <c r="I843" t="b">
        <v>0</v>
      </c>
    </row>
    <row r="844" spans="1:9" s="151" customFormat="1" x14ac:dyDescent="0.2">
      <c r="A844" t="s">
        <v>3033</v>
      </c>
      <c r="B844" t="s">
        <v>2068</v>
      </c>
      <c r="C844"/>
      <c r="D844" t="b">
        <f>IFERROR(VLOOKUP(B844,PatData!$A$2:$A$2030,1,),"")&lt;&gt;""</f>
        <v>1</v>
      </c>
      <c r="E844">
        <v>0</v>
      </c>
      <c r="F844" t="b">
        <v>0</v>
      </c>
      <c r="G844" t="b">
        <v>1</v>
      </c>
      <c r="H844" t="b">
        <v>0</v>
      </c>
      <c r="I844" t="b">
        <v>0</v>
      </c>
    </row>
    <row r="845" spans="1:9" s="151" customFormat="1" x14ac:dyDescent="0.2">
      <c r="A845" t="s">
        <v>3034</v>
      </c>
      <c r="B845" t="s">
        <v>2069</v>
      </c>
      <c r="C845"/>
      <c r="D845" t="b">
        <f>IFERROR(VLOOKUP(B845,PatData!$A$2:$A$2030,1,),"")&lt;&gt;""</f>
        <v>1</v>
      </c>
      <c r="E845">
        <v>0</v>
      </c>
      <c r="F845" t="b">
        <v>0</v>
      </c>
      <c r="G845" t="b">
        <v>1</v>
      </c>
      <c r="H845" t="b">
        <v>0</v>
      </c>
      <c r="I845" t="b">
        <v>0</v>
      </c>
    </row>
    <row r="846" spans="1:9" s="151" customFormat="1" x14ac:dyDescent="0.2">
      <c r="A846" t="s">
        <v>3035</v>
      </c>
      <c r="B846" t="s">
        <v>2070</v>
      </c>
      <c r="C846"/>
      <c r="D846" t="b">
        <f>IFERROR(VLOOKUP(B846,PatData!$A$2:$A$2030,1,),"")&lt;&gt;""</f>
        <v>1</v>
      </c>
      <c r="E846">
        <v>0</v>
      </c>
      <c r="F846" t="b">
        <v>0</v>
      </c>
      <c r="G846" t="b">
        <v>1</v>
      </c>
      <c r="H846" t="b">
        <v>0</v>
      </c>
      <c r="I846" t="b">
        <v>0</v>
      </c>
    </row>
    <row r="847" spans="1:9" s="151" customFormat="1" x14ac:dyDescent="0.2">
      <c r="A847" t="s">
        <v>3036</v>
      </c>
      <c r="B847" t="s">
        <v>2071</v>
      </c>
      <c r="C847"/>
      <c r="D847" t="b">
        <f>IFERROR(VLOOKUP(B847,PatData!$A$2:$A$2030,1,),"")&lt;&gt;""</f>
        <v>1</v>
      </c>
      <c r="E847">
        <v>0</v>
      </c>
      <c r="F847" t="b">
        <v>0</v>
      </c>
      <c r="G847" t="b">
        <v>1</v>
      </c>
      <c r="H847" t="b">
        <v>0</v>
      </c>
      <c r="I847" t="b">
        <v>0</v>
      </c>
    </row>
    <row r="848" spans="1:9" s="151" customFormat="1" x14ac:dyDescent="0.2">
      <c r="A848" t="s">
        <v>3037</v>
      </c>
      <c r="B848" t="s">
        <v>2072</v>
      </c>
      <c r="C848"/>
      <c r="D848" t="b">
        <f>IFERROR(VLOOKUP(B848,PatData!$A$2:$A$2030,1,),"")&lt;&gt;""</f>
        <v>1</v>
      </c>
      <c r="E848">
        <v>0</v>
      </c>
      <c r="F848" t="b">
        <v>0</v>
      </c>
      <c r="G848" t="b">
        <v>1</v>
      </c>
      <c r="H848" t="b">
        <v>0</v>
      </c>
      <c r="I848" t="b">
        <v>0</v>
      </c>
    </row>
    <row r="849" spans="1:9" s="151" customFormat="1" x14ac:dyDescent="0.2">
      <c r="A849" t="s">
        <v>3038</v>
      </c>
      <c r="B849" t="s">
        <v>2073</v>
      </c>
      <c r="C849"/>
      <c r="D849" t="b">
        <f>IFERROR(VLOOKUP(B849,PatData!$A$2:$A$2030,1,),"")&lt;&gt;""</f>
        <v>1</v>
      </c>
      <c r="E849">
        <v>0</v>
      </c>
      <c r="F849" t="b">
        <v>0</v>
      </c>
      <c r="G849" t="b">
        <v>1</v>
      </c>
      <c r="H849" t="b">
        <v>0</v>
      </c>
      <c r="I849" t="b">
        <v>0</v>
      </c>
    </row>
    <row r="850" spans="1:9" s="151" customFormat="1" x14ac:dyDescent="0.2">
      <c r="A850" t="s">
        <v>3039</v>
      </c>
      <c r="B850" t="s">
        <v>2074</v>
      </c>
      <c r="C850"/>
      <c r="D850" t="b">
        <f>IFERROR(VLOOKUP(B850,PatData!$A$2:$A$2030,1,),"")&lt;&gt;""</f>
        <v>1</v>
      </c>
      <c r="E850">
        <v>0</v>
      </c>
      <c r="F850" t="b">
        <v>0</v>
      </c>
      <c r="G850" t="b">
        <v>1</v>
      </c>
      <c r="H850" t="b">
        <v>0</v>
      </c>
      <c r="I850" t="b">
        <v>0</v>
      </c>
    </row>
    <row r="851" spans="1:9" s="151" customFormat="1" x14ac:dyDescent="0.2">
      <c r="A851" t="s">
        <v>3040</v>
      </c>
      <c r="B851" t="s">
        <v>2075</v>
      </c>
      <c r="C851"/>
      <c r="D851" t="b">
        <f>IFERROR(VLOOKUP(B851,PatData!$A$2:$A$2030,1,),"")&lt;&gt;""</f>
        <v>1</v>
      </c>
      <c r="E851">
        <v>0</v>
      </c>
      <c r="F851" t="b">
        <v>0</v>
      </c>
      <c r="G851" t="b">
        <v>1</v>
      </c>
      <c r="H851" t="b">
        <v>0</v>
      </c>
      <c r="I851" t="b">
        <v>0</v>
      </c>
    </row>
    <row r="852" spans="1:9" s="151" customFormat="1" x14ac:dyDescent="0.2">
      <c r="A852" t="s">
        <v>3041</v>
      </c>
      <c r="B852" t="s">
        <v>2076</v>
      </c>
      <c r="C852"/>
      <c r="D852" t="b">
        <f>IFERROR(VLOOKUP(B852,PatData!$A$2:$A$2030,1,),"")&lt;&gt;""</f>
        <v>1</v>
      </c>
      <c r="E852">
        <v>0</v>
      </c>
      <c r="F852" t="b">
        <v>0</v>
      </c>
      <c r="G852" t="b">
        <v>1</v>
      </c>
      <c r="H852" t="b">
        <v>0</v>
      </c>
      <c r="I852" t="b">
        <v>0</v>
      </c>
    </row>
    <row r="853" spans="1:9" s="151" customFormat="1" x14ac:dyDescent="0.2">
      <c r="A853" t="s">
        <v>3042</v>
      </c>
      <c r="B853" t="s">
        <v>2077</v>
      </c>
      <c r="C853"/>
      <c r="D853" t="b">
        <f>IFERROR(VLOOKUP(B853,PatData!$A$2:$A$2030,1,),"")&lt;&gt;""</f>
        <v>1</v>
      </c>
      <c r="E853">
        <v>0</v>
      </c>
      <c r="F853" t="b">
        <v>0</v>
      </c>
      <c r="G853" t="b">
        <v>1</v>
      </c>
      <c r="H853" t="b">
        <v>0</v>
      </c>
      <c r="I853" t="b">
        <v>0</v>
      </c>
    </row>
    <row r="854" spans="1:9" s="151" customFormat="1" x14ac:dyDescent="0.2">
      <c r="A854" t="s">
        <v>3043</v>
      </c>
      <c r="B854" t="s">
        <v>2078</v>
      </c>
      <c r="C854"/>
      <c r="D854" t="b">
        <f>IFERROR(VLOOKUP(B854,PatData!$A$2:$A$2030,1,),"")&lt;&gt;""</f>
        <v>1</v>
      </c>
      <c r="E854">
        <v>0</v>
      </c>
      <c r="F854" t="b">
        <v>0</v>
      </c>
      <c r="G854" t="b">
        <v>1</v>
      </c>
      <c r="H854" t="b">
        <v>0</v>
      </c>
      <c r="I854" t="b">
        <v>0</v>
      </c>
    </row>
    <row r="855" spans="1:9" s="151" customFormat="1" x14ac:dyDescent="0.2">
      <c r="A855" t="s">
        <v>3044</v>
      </c>
      <c r="B855" t="s">
        <v>2079</v>
      </c>
      <c r="C855"/>
      <c r="D855" t="b">
        <f>IFERROR(VLOOKUP(B855,PatData!$A$2:$A$2030,1,),"")&lt;&gt;""</f>
        <v>1</v>
      </c>
      <c r="E855">
        <v>0</v>
      </c>
      <c r="F855" t="b">
        <v>0</v>
      </c>
      <c r="G855" t="b">
        <v>1</v>
      </c>
      <c r="H855" t="b">
        <v>0</v>
      </c>
      <c r="I855" t="b">
        <v>0</v>
      </c>
    </row>
    <row r="856" spans="1:9" s="151" customFormat="1" x14ac:dyDescent="0.2">
      <c r="A856" t="s">
        <v>3045</v>
      </c>
      <c r="B856" t="s">
        <v>2080</v>
      </c>
      <c r="C856"/>
      <c r="D856" t="b">
        <f>IFERROR(VLOOKUP(B856,PatData!$A$2:$A$2030,1,),"")&lt;&gt;""</f>
        <v>1</v>
      </c>
      <c r="E856">
        <v>0</v>
      </c>
      <c r="F856" t="b">
        <v>0</v>
      </c>
      <c r="G856" t="b">
        <v>1</v>
      </c>
      <c r="H856" t="b">
        <v>0</v>
      </c>
      <c r="I856" t="b">
        <v>0</v>
      </c>
    </row>
    <row r="857" spans="1:9" s="151" customFormat="1" x14ac:dyDescent="0.2">
      <c r="A857" t="s">
        <v>3046</v>
      </c>
      <c r="B857" t="s">
        <v>2081</v>
      </c>
      <c r="C857"/>
      <c r="D857" t="b">
        <f>IFERROR(VLOOKUP(B857,PatData!$A$2:$A$2030,1,),"")&lt;&gt;""</f>
        <v>1</v>
      </c>
      <c r="E857">
        <v>0</v>
      </c>
      <c r="F857" t="b">
        <v>0</v>
      </c>
      <c r="G857" t="b">
        <v>1</v>
      </c>
      <c r="H857" t="b">
        <v>0</v>
      </c>
      <c r="I857" t="b">
        <v>0</v>
      </c>
    </row>
    <row r="858" spans="1:9" s="151" customFormat="1" x14ac:dyDescent="0.2">
      <c r="A858" t="s">
        <v>3047</v>
      </c>
      <c r="B858" t="s">
        <v>2082</v>
      </c>
      <c r="C858"/>
      <c r="D858" t="b">
        <f>IFERROR(VLOOKUP(B858,PatData!$A$2:$A$2030,1,),"")&lt;&gt;""</f>
        <v>1</v>
      </c>
      <c r="E858">
        <v>0</v>
      </c>
      <c r="F858" t="b">
        <v>0</v>
      </c>
      <c r="G858" t="b">
        <v>1</v>
      </c>
      <c r="H858" t="b">
        <v>0</v>
      </c>
      <c r="I858" t="b">
        <v>0</v>
      </c>
    </row>
    <row r="859" spans="1:9" s="151" customFormat="1" x14ac:dyDescent="0.2">
      <c r="A859" t="s">
        <v>3048</v>
      </c>
      <c r="B859" t="s">
        <v>2083</v>
      </c>
      <c r="C859"/>
      <c r="D859" t="b">
        <f>IFERROR(VLOOKUP(B859,PatData!$A$2:$A$2030,1,),"")&lt;&gt;""</f>
        <v>1</v>
      </c>
      <c r="E859">
        <v>0</v>
      </c>
      <c r="F859" t="b">
        <v>0</v>
      </c>
      <c r="G859" t="b">
        <v>1</v>
      </c>
      <c r="H859" t="b">
        <v>0</v>
      </c>
      <c r="I859" t="b">
        <v>0</v>
      </c>
    </row>
    <row r="860" spans="1:9" s="151" customFormat="1" x14ac:dyDescent="0.2">
      <c r="A860" t="s">
        <v>3049</v>
      </c>
      <c r="B860" t="s">
        <v>2084</v>
      </c>
      <c r="C860"/>
      <c r="D860" t="b">
        <f>IFERROR(VLOOKUP(B860,PatData!$A$2:$A$2030,1,),"")&lt;&gt;""</f>
        <v>1</v>
      </c>
      <c r="E860">
        <v>0</v>
      </c>
      <c r="F860" t="b">
        <v>0</v>
      </c>
      <c r="G860" t="b">
        <v>1</v>
      </c>
      <c r="H860" t="b">
        <v>0</v>
      </c>
      <c r="I860" t="b">
        <v>0</v>
      </c>
    </row>
    <row r="861" spans="1:9" s="151" customFormat="1" x14ac:dyDescent="0.2">
      <c r="A861" t="s">
        <v>3050</v>
      </c>
      <c r="B861" t="s">
        <v>2085</v>
      </c>
      <c r="C861"/>
      <c r="D861" t="b">
        <f>IFERROR(VLOOKUP(B861,PatData!$A$2:$A$2030,1,),"")&lt;&gt;""</f>
        <v>1</v>
      </c>
      <c r="E861">
        <v>0</v>
      </c>
      <c r="F861" t="b">
        <v>0</v>
      </c>
      <c r="G861" t="b">
        <v>1</v>
      </c>
      <c r="H861" t="b">
        <v>0</v>
      </c>
      <c r="I861" t="b">
        <v>0</v>
      </c>
    </row>
    <row r="862" spans="1:9" s="151" customFormat="1" x14ac:dyDescent="0.2">
      <c r="A862" t="s">
        <v>3051</v>
      </c>
      <c r="B862" t="s">
        <v>2086</v>
      </c>
      <c r="C862"/>
      <c r="D862" t="b">
        <f>IFERROR(VLOOKUP(B862,PatData!$A$2:$A$2030,1,),"")&lt;&gt;""</f>
        <v>1</v>
      </c>
      <c r="E862">
        <v>0</v>
      </c>
      <c r="F862" t="b">
        <v>0</v>
      </c>
      <c r="G862" t="b">
        <v>1</v>
      </c>
      <c r="H862" t="b">
        <v>0</v>
      </c>
      <c r="I862" t="b">
        <v>0</v>
      </c>
    </row>
    <row r="863" spans="1:9" s="151" customFormat="1" x14ac:dyDescent="0.2">
      <c r="A863" t="s">
        <v>3052</v>
      </c>
      <c r="B863" t="s">
        <v>2087</v>
      </c>
      <c r="C863"/>
      <c r="D863" t="b">
        <f>IFERROR(VLOOKUP(B863,PatData!$A$2:$A$2030,1,),"")&lt;&gt;""</f>
        <v>1</v>
      </c>
      <c r="E863">
        <v>0</v>
      </c>
      <c r="F863" t="b">
        <v>0</v>
      </c>
      <c r="G863" t="b">
        <v>1</v>
      </c>
      <c r="H863" t="b">
        <v>0</v>
      </c>
      <c r="I863" t="b">
        <v>0</v>
      </c>
    </row>
    <row r="864" spans="1:9" s="151" customFormat="1" x14ac:dyDescent="0.2">
      <c r="A864" t="s">
        <v>3303</v>
      </c>
      <c r="B864" t="s">
        <v>2088</v>
      </c>
      <c r="C864"/>
      <c r="D864" t="b">
        <f>IFERROR(VLOOKUP(B864,PatData!$A$2:$A$2030,1,),"")&lt;&gt;""</f>
        <v>1</v>
      </c>
      <c r="E864">
        <v>250</v>
      </c>
      <c r="F864" t="b">
        <v>0</v>
      </c>
      <c r="G864" t="b">
        <v>1</v>
      </c>
      <c r="H864" t="b">
        <v>0</v>
      </c>
      <c r="I864" t="b">
        <v>0</v>
      </c>
    </row>
    <row r="865" spans="1:9" s="151" customFormat="1" x14ac:dyDescent="0.2">
      <c r="A865" t="s">
        <v>3304</v>
      </c>
      <c r="B865" t="s">
        <v>2089</v>
      </c>
      <c r="C865"/>
      <c r="D865" t="b">
        <f>IFERROR(VLOOKUP(B865,PatData!$A$2:$A$2030,1,),"")&lt;&gt;""</f>
        <v>1</v>
      </c>
      <c r="E865">
        <v>0.15</v>
      </c>
      <c r="F865" t="b">
        <v>0</v>
      </c>
      <c r="G865" t="b">
        <v>1</v>
      </c>
      <c r="H865" t="b">
        <v>0</v>
      </c>
      <c r="I865" t="b">
        <v>0</v>
      </c>
    </row>
    <row r="866" spans="1:9" s="151" customFormat="1" x14ac:dyDescent="0.2">
      <c r="A866" t="s">
        <v>3305</v>
      </c>
      <c r="B866" t="s">
        <v>2090</v>
      </c>
      <c r="C866"/>
      <c r="D866" t="b">
        <f>IFERROR(VLOOKUP(B866,PatData!$A$2:$A$2030,1,),"")&lt;&gt;""</f>
        <v>1</v>
      </c>
      <c r="E866">
        <v>1</v>
      </c>
      <c r="F866" t="b">
        <v>0</v>
      </c>
      <c r="G866" t="b">
        <v>1</v>
      </c>
      <c r="H866" t="b">
        <v>0</v>
      </c>
      <c r="I866" t="b">
        <v>0</v>
      </c>
    </row>
    <row r="867" spans="1:9" s="151" customFormat="1" x14ac:dyDescent="0.2">
      <c r="A867" t="s">
        <v>3306</v>
      </c>
      <c r="B867" t="s">
        <v>2091</v>
      </c>
      <c r="C867"/>
      <c r="D867" t="b">
        <f>IFERROR(VLOOKUP(B867,PatData!$A$2:$A$2030,1,),"")&lt;&gt;""</f>
        <v>1</v>
      </c>
      <c r="E867">
        <v>0</v>
      </c>
      <c r="F867" t="b">
        <v>0</v>
      </c>
      <c r="G867" t="b">
        <v>1</v>
      </c>
      <c r="H867" t="b">
        <v>0</v>
      </c>
      <c r="I867" t="b">
        <v>0</v>
      </c>
    </row>
    <row r="868" spans="1:9" s="151" customFormat="1" x14ac:dyDescent="0.2">
      <c r="A868" t="s">
        <v>3307</v>
      </c>
      <c r="B868" t="s">
        <v>2092</v>
      </c>
      <c r="C868"/>
      <c r="D868" t="b">
        <f>IFERROR(VLOOKUP(B868,PatData!$A$2:$A$2030,1,),"")&lt;&gt;""</f>
        <v>1</v>
      </c>
      <c r="E868">
        <v>0</v>
      </c>
      <c r="F868" t="b">
        <v>0</v>
      </c>
      <c r="G868" t="b">
        <v>1</v>
      </c>
      <c r="H868" t="b">
        <v>0</v>
      </c>
      <c r="I868" t="b">
        <v>0</v>
      </c>
    </row>
    <row r="869" spans="1:9" s="151" customFormat="1" x14ac:dyDescent="0.2">
      <c r="A869" t="s">
        <v>3308</v>
      </c>
      <c r="B869" t="s">
        <v>2093</v>
      </c>
      <c r="C869"/>
      <c r="D869" t="b">
        <f>IFERROR(VLOOKUP(B869,PatData!$A$2:$A$2030,1,),"")&lt;&gt;""</f>
        <v>1</v>
      </c>
      <c r="E869">
        <v>0</v>
      </c>
      <c r="F869" t="b">
        <v>0</v>
      </c>
      <c r="G869" t="b">
        <v>1</v>
      </c>
      <c r="H869" t="b">
        <v>0</v>
      </c>
      <c r="I869" t="b">
        <v>0</v>
      </c>
    </row>
    <row r="870" spans="1:9" s="151" customFormat="1" x14ac:dyDescent="0.2">
      <c r="A870" t="s">
        <v>3309</v>
      </c>
      <c r="B870" t="s">
        <v>2094</v>
      </c>
      <c r="C870"/>
      <c r="D870" t="b">
        <f>IFERROR(VLOOKUP(B870,PatData!$A$2:$A$2030,1,),"")&lt;&gt;""</f>
        <v>1</v>
      </c>
      <c r="E870">
        <v>0</v>
      </c>
      <c r="F870" t="b">
        <v>0</v>
      </c>
      <c r="G870" t="b">
        <v>1</v>
      </c>
      <c r="H870" t="b">
        <v>0</v>
      </c>
      <c r="I870" t="b">
        <v>0</v>
      </c>
    </row>
    <row r="871" spans="1:9" s="151" customFormat="1" x14ac:dyDescent="0.2">
      <c r="A871" t="s">
        <v>3310</v>
      </c>
      <c r="B871" t="s">
        <v>2095</v>
      </c>
      <c r="C871"/>
      <c r="D871" t="b">
        <f>IFERROR(VLOOKUP(B871,PatData!$A$2:$A$2030,1,),"")&lt;&gt;""</f>
        <v>1</v>
      </c>
      <c r="E871">
        <v>0</v>
      </c>
      <c r="F871" t="b">
        <v>0</v>
      </c>
      <c r="G871" t="b">
        <v>1</v>
      </c>
      <c r="H871" t="b">
        <v>0</v>
      </c>
      <c r="I871" t="b">
        <v>0</v>
      </c>
    </row>
    <row r="872" spans="1:9" s="151" customFormat="1" x14ac:dyDescent="0.2">
      <c r="A872" t="s">
        <v>3311</v>
      </c>
      <c r="B872" t="s">
        <v>2096</v>
      </c>
      <c r="C872"/>
      <c r="D872" t="b">
        <f>IFERROR(VLOOKUP(B872,PatData!$A$2:$A$2030,1,),"")&lt;&gt;""</f>
        <v>1</v>
      </c>
      <c r="E872">
        <v>0</v>
      </c>
      <c r="F872" t="b">
        <v>0</v>
      </c>
      <c r="G872" t="b">
        <v>1</v>
      </c>
      <c r="H872" t="b">
        <v>0</v>
      </c>
      <c r="I872" t="b">
        <v>0</v>
      </c>
    </row>
    <row r="873" spans="1:9" s="151" customFormat="1" x14ac:dyDescent="0.2">
      <c r="A873" t="s">
        <v>3312</v>
      </c>
      <c r="B873" t="s">
        <v>2097</v>
      </c>
      <c r="C873"/>
      <c r="D873" t="b">
        <f>IFERROR(VLOOKUP(B873,PatData!$A$2:$A$2030,1,),"")&lt;&gt;""</f>
        <v>1</v>
      </c>
      <c r="E873">
        <v>0</v>
      </c>
      <c r="F873" t="b">
        <v>0</v>
      </c>
      <c r="G873" t="b">
        <v>1</v>
      </c>
      <c r="H873" t="b">
        <v>0</v>
      </c>
      <c r="I873" t="b">
        <v>0</v>
      </c>
    </row>
    <row r="874" spans="1:9" s="151" customFormat="1" x14ac:dyDescent="0.2">
      <c r="A874" t="s">
        <v>3313</v>
      </c>
      <c r="B874" t="s">
        <v>2098</v>
      </c>
      <c r="C874"/>
      <c r="D874" t="b">
        <f>IFERROR(VLOOKUP(B874,PatData!$A$2:$A$2030,1,),"")&lt;&gt;""</f>
        <v>1</v>
      </c>
      <c r="E874">
        <v>0</v>
      </c>
      <c r="F874" t="b">
        <v>0</v>
      </c>
      <c r="G874" t="b">
        <v>1</v>
      </c>
      <c r="H874" t="b">
        <v>0</v>
      </c>
      <c r="I874" t="b">
        <v>0</v>
      </c>
    </row>
    <row r="875" spans="1:9" s="151" customFormat="1" x14ac:dyDescent="0.2">
      <c r="A875" t="s">
        <v>3314</v>
      </c>
      <c r="B875" t="s">
        <v>2099</v>
      </c>
      <c r="C875"/>
      <c r="D875" t="b">
        <f>IFERROR(VLOOKUP(B875,PatData!$A$2:$A$2030,1,),"")&lt;&gt;""</f>
        <v>1</v>
      </c>
      <c r="E875">
        <v>0</v>
      </c>
      <c r="F875" t="b">
        <v>0</v>
      </c>
      <c r="G875" t="b">
        <v>1</v>
      </c>
      <c r="H875" t="b">
        <v>0</v>
      </c>
      <c r="I875" t="b">
        <v>0</v>
      </c>
    </row>
    <row r="876" spans="1:9" s="151" customFormat="1" x14ac:dyDescent="0.2">
      <c r="A876" t="s">
        <v>3315</v>
      </c>
      <c r="B876" t="s">
        <v>2100</v>
      </c>
      <c r="C876"/>
      <c r="D876" t="b">
        <f>IFERROR(VLOOKUP(B876,PatData!$A$2:$A$2030,1,),"")&lt;&gt;""</f>
        <v>1</v>
      </c>
      <c r="E876">
        <v>0</v>
      </c>
      <c r="F876" t="b">
        <v>0</v>
      </c>
      <c r="G876" t="b">
        <v>1</v>
      </c>
      <c r="H876" t="b">
        <v>0</v>
      </c>
      <c r="I876" t="b">
        <v>0</v>
      </c>
    </row>
    <row r="877" spans="1:9" s="151" customFormat="1" x14ac:dyDescent="0.2">
      <c r="A877" t="s">
        <v>3316</v>
      </c>
      <c r="B877" t="s">
        <v>2101</v>
      </c>
      <c r="C877"/>
      <c r="D877" t="b">
        <f>IFERROR(VLOOKUP(B877,PatData!$A$2:$A$2030,1,),"")&lt;&gt;""</f>
        <v>1</v>
      </c>
      <c r="E877">
        <v>0</v>
      </c>
      <c r="F877" t="b">
        <v>0</v>
      </c>
      <c r="G877" t="b">
        <v>1</v>
      </c>
      <c r="H877" t="b">
        <v>0</v>
      </c>
      <c r="I877" t="b">
        <v>0</v>
      </c>
    </row>
    <row r="878" spans="1:9" s="151" customFormat="1" x14ac:dyDescent="0.2">
      <c r="A878" t="s">
        <v>3317</v>
      </c>
      <c r="B878" t="s">
        <v>2102</v>
      </c>
      <c r="C878"/>
      <c r="D878" t="b">
        <f>IFERROR(VLOOKUP(B878,PatData!$A$2:$A$2030,1,),"")&lt;&gt;""</f>
        <v>1</v>
      </c>
      <c r="E878">
        <v>0</v>
      </c>
      <c r="F878" t="b">
        <v>0</v>
      </c>
      <c r="G878" t="b">
        <v>1</v>
      </c>
      <c r="H878" t="b">
        <v>0</v>
      </c>
      <c r="I878" t="b">
        <v>0</v>
      </c>
    </row>
    <row r="879" spans="1:9" s="151" customFormat="1" x14ac:dyDescent="0.2">
      <c r="A879" t="s">
        <v>3318</v>
      </c>
      <c r="B879" t="s">
        <v>2103</v>
      </c>
      <c r="C879"/>
      <c r="D879" t="b">
        <f>IFERROR(VLOOKUP(B879,PatData!$A$2:$A$2030,1,),"")&lt;&gt;""</f>
        <v>1</v>
      </c>
      <c r="E879">
        <v>0</v>
      </c>
      <c r="F879" t="b">
        <v>0</v>
      </c>
      <c r="G879" t="b">
        <v>1</v>
      </c>
      <c r="H879" t="b">
        <v>0</v>
      </c>
      <c r="I879" t="b">
        <v>0</v>
      </c>
    </row>
    <row r="880" spans="1:9" s="151" customFormat="1" x14ac:dyDescent="0.2">
      <c r="A880" t="s">
        <v>3319</v>
      </c>
      <c r="B880" t="s">
        <v>2104</v>
      </c>
      <c r="C880"/>
      <c r="D880" t="b">
        <f>IFERROR(VLOOKUP(B880,PatData!$A$2:$A$2030,1,),"")&lt;&gt;""</f>
        <v>1</v>
      </c>
      <c r="E880">
        <v>0</v>
      </c>
      <c r="F880" t="b">
        <v>0</v>
      </c>
      <c r="G880" t="b">
        <v>1</v>
      </c>
      <c r="H880" t="b">
        <v>0</v>
      </c>
      <c r="I880" t="b">
        <v>0</v>
      </c>
    </row>
    <row r="881" spans="1:9" s="151" customFormat="1" x14ac:dyDescent="0.2">
      <c r="A881" t="s">
        <v>3320</v>
      </c>
      <c r="B881" t="s">
        <v>2105</v>
      </c>
      <c r="C881"/>
      <c r="D881" t="b">
        <f>IFERROR(VLOOKUP(B881,PatData!$A$2:$A$2030,1,),"")&lt;&gt;""</f>
        <v>1</v>
      </c>
      <c r="E881">
        <v>0</v>
      </c>
      <c r="F881" t="b">
        <v>0</v>
      </c>
      <c r="G881" t="b">
        <v>1</v>
      </c>
      <c r="H881" t="b">
        <v>0</v>
      </c>
      <c r="I881" t="b">
        <v>0</v>
      </c>
    </row>
    <row r="882" spans="1:9" s="151" customFormat="1" x14ac:dyDescent="0.2">
      <c r="A882" t="s">
        <v>3321</v>
      </c>
      <c r="B882" t="s">
        <v>2106</v>
      </c>
      <c r="C882"/>
      <c r="D882" t="b">
        <f>IFERROR(VLOOKUP(B882,PatData!$A$2:$A$2030,1,),"")&lt;&gt;""</f>
        <v>1</v>
      </c>
      <c r="E882">
        <v>0</v>
      </c>
      <c r="F882" t="b">
        <v>0</v>
      </c>
      <c r="G882" t="b">
        <v>1</v>
      </c>
      <c r="H882" t="b">
        <v>0</v>
      </c>
      <c r="I882" t="b">
        <v>0</v>
      </c>
    </row>
    <row r="883" spans="1:9" s="151" customFormat="1" x14ac:dyDescent="0.2">
      <c r="A883" t="s">
        <v>3322</v>
      </c>
      <c r="B883" t="s">
        <v>2107</v>
      </c>
      <c r="C883"/>
      <c r="D883" t="b">
        <f>IFERROR(VLOOKUP(B883,PatData!$A$2:$A$2030,1,),"")&lt;&gt;""</f>
        <v>1</v>
      </c>
      <c r="E883">
        <v>0</v>
      </c>
      <c r="F883" t="b">
        <v>0</v>
      </c>
      <c r="G883" t="b">
        <v>1</v>
      </c>
      <c r="H883" t="b">
        <v>0</v>
      </c>
      <c r="I883" t="b">
        <v>0</v>
      </c>
    </row>
    <row r="884" spans="1:9" s="151" customFormat="1" x14ac:dyDescent="0.2">
      <c r="A884" t="s">
        <v>3323</v>
      </c>
      <c r="B884" t="s">
        <v>2108</v>
      </c>
      <c r="C884"/>
      <c r="D884" t="b">
        <f>IFERROR(VLOOKUP(B884,PatData!$A$2:$A$2030,1,),"")&lt;&gt;""</f>
        <v>1</v>
      </c>
      <c r="E884">
        <v>0</v>
      </c>
      <c r="F884" t="b">
        <v>0</v>
      </c>
      <c r="G884" t="b">
        <v>1</v>
      </c>
      <c r="H884" t="b">
        <v>0</v>
      </c>
      <c r="I884" t="b">
        <v>0</v>
      </c>
    </row>
    <row r="885" spans="1:9" s="151" customFormat="1" x14ac:dyDescent="0.2">
      <c r="A885" t="s">
        <v>3324</v>
      </c>
      <c r="B885" t="s">
        <v>2109</v>
      </c>
      <c r="C885"/>
      <c r="D885" t="b">
        <f>IFERROR(VLOOKUP(B885,PatData!$A$2:$A$2030,1,),"")&lt;&gt;""</f>
        <v>1</v>
      </c>
      <c r="E885">
        <v>0</v>
      </c>
      <c r="F885" t="b">
        <v>0</v>
      </c>
      <c r="G885" t="b">
        <v>1</v>
      </c>
      <c r="H885" t="b">
        <v>0</v>
      </c>
      <c r="I885" t="b">
        <v>0</v>
      </c>
    </row>
    <row r="886" spans="1:9" s="151" customFormat="1" x14ac:dyDescent="0.2">
      <c r="A886" t="s">
        <v>3325</v>
      </c>
      <c r="B886" t="s">
        <v>2110</v>
      </c>
      <c r="C886"/>
      <c r="D886" t="b">
        <f>IFERROR(VLOOKUP(B886,PatData!$A$2:$A$2030,1,),"")&lt;&gt;""</f>
        <v>1</v>
      </c>
      <c r="E886">
        <v>0</v>
      </c>
      <c r="F886" t="b">
        <v>0</v>
      </c>
      <c r="G886" t="b">
        <v>1</v>
      </c>
      <c r="H886" t="b">
        <v>0</v>
      </c>
      <c r="I886" t="b">
        <v>0</v>
      </c>
    </row>
    <row r="887" spans="1:9" s="151" customFormat="1" x14ac:dyDescent="0.2">
      <c r="A887" t="s">
        <v>3326</v>
      </c>
      <c r="B887" t="s">
        <v>2111</v>
      </c>
      <c r="C887"/>
      <c r="D887" t="b">
        <f>IFERROR(VLOOKUP(B887,PatData!$A$2:$A$2030,1,),"")&lt;&gt;""</f>
        <v>1</v>
      </c>
      <c r="E887">
        <v>0</v>
      </c>
      <c r="F887" t="b">
        <v>0</v>
      </c>
      <c r="G887" t="b">
        <v>1</v>
      </c>
      <c r="H887" t="b">
        <v>0</v>
      </c>
      <c r="I887" t="b">
        <v>0</v>
      </c>
    </row>
    <row r="888" spans="1:9" s="151" customFormat="1" x14ac:dyDescent="0.2">
      <c r="A888" t="s">
        <v>3327</v>
      </c>
      <c r="B888" t="s">
        <v>2112</v>
      </c>
      <c r="C888"/>
      <c r="D888" t="b">
        <f>IFERROR(VLOOKUP(B888,PatData!$A$2:$A$2030,1,),"")&lt;&gt;""</f>
        <v>1</v>
      </c>
      <c r="E888">
        <v>0</v>
      </c>
      <c r="F888" t="b">
        <v>0</v>
      </c>
      <c r="G888" t="b">
        <v>1</v>
      </c>
      <c r="H888" t="b">
        <v>0</v>
      </c>
      <c r="I888" t="b">
        <v>0</v>
      </c>
    </row>
    <row r="889" spans="1:9" s="151" customFormat="1" x14ac:dyDescent="0.2">
      <c r="A889" t="s">
        <v>3328</v>
      </c>
      <c r="B889" t="s">
        <v>2113</v>
      </c>
      <c r="C889"/>
      <c r="D889" t="b">
        <f>IFERROR(VLOOKUP(B889,PatData!$A$2:$A$2030,1,),"")&lt;&gt;""</f>
        <v>1</v>
      </c>
      <c r="E889">
        <v>0</v>
      </c>
      <c r="F889" t="b">
        <v>0</v>
      </c>
      <c r="G889" t="b">
        <v>1</v>
      </c>
      <c r="H889" t="b">
        <v>0</v>
      </c>
      <c r="I889" t="b">
        <v>0</v>
      </c>
    </row>
    <row r="890" spans="1:9" s="151" customFormat="1" x14ac:dyDescent="0.2">
      <c r="A890" t="s">
        <v>3329</v>
      </c>
      <c r="B890" t="s">
        <v>2114</v>
      </c>
      <c r="C890"/>
      <c r="D890" t="b">
        <f>IFERROR(VLOOKUP(B890,PatData!$A$2:$A$2030,1,),"")&lt;&gt;""</f>
        <v>1</v>
      </c>
      <c r="E890">
        <v>0</v>
      </c>
      <c r="F890" t="b">
        <v>0</v>
      </c>
      <c r="G890" t="b">
        <v>1</v>
      </c>
      <c r="H890" t="b">
        <v>0</v>
      </c>
      <c r="I890" t="b">
        <v>0</v>
      </c>
    </row>
    <row r="891" spans="1:9" s="151" customFormat="1" x14ac:dyDescent="0.2">
      <c r="A891" t="s">
        <v>3330</v>
      </c>
      <c r="B891" t="s">
        <v>2115</v>
      </c>
      <c r="C891"/>
      <c r="D891" t="b">
        <f>IFERROR(VLOOKUP(B891,PatData!$A$2:$A$2030,1,),"")&lt;&gt;""</f>
        <v>1</v>
      </c>
      <c r="E891">
        <v>0</v>
      </c>
      <c r="F891" t="b">
        <v>0</v>
      </c>
      <c r="G891" t="b">
        <v>1</v>
      </c>
      <c r="H891" t="b">
        <v>0</v>
      </c>
      <c r="I891" t="b">
        <v>0</v>
      </c>
    </row>
    <row r="892" spans="1:9" s="151" customFormat="1" x14ac:dyDescent="0.2">
      <c r="A892" t="s">
        <v>3331</v>
      </c>
      <c r="B892" t="s">
        <v>2116</v>
      </c>
      <c r="C892"/>
      <c r="D892" t="b">
        <f>IFERROR(VLOOKUP(B892,PatData!$A$2:$A$2030,1,),"")&lt;&gt;""</f>
        <v>1</v>
      </c>
      <c r="E892">
        <v>0</v>
      </c>
      <c r="F892" t="b">
        <v>0</v>
      </c>
      <c r="G892" t="b">
        <v>1</v>
      </c>
      <c r="H892" t="b">
        <v>0</v>
      </c>
      <c r="I892" t="b">
        <v>0</v>
      </c>
    </row>
    <row r="893" spans="1:9" s="151" customFormat="1" x14ac:dyDescent="0.2">
      <c r="A893" t="s">
        <v>3332</v>
      </c>
      <c r="B893" t="s">
        <v>2117</v>
      </c>
      <c r="C893"/>
      <c r="D893" t="b">
        <f>IFERROR(VLOOKUP(B893,PatData!$A$2:$A$2030,1,),"")&lt;&gt;""</f>
        <v>1</v>
      </c>
      <c r="E893">
        <v>0</v>
      </c>
      <c r="F893" t="b">
        <v>0</v>
      </c>
      <c r="G893" t="b">
        <v>1</v>
      </c>
      <c r="H893" t="b">
        <v>0</v>
      </c>
      <c r="I893" t="b">
        <v>0</v>
      </c>
    </row>
    <row r="894" spans="1:9" s="151" customFormat="1" x14ac:dyDescent="0.2">
      <c r="A894" t="s">
        <v>4531</v>
      </c>
      <c r="B894" t="s">
        <v>2118</v>
      </c>
      <c r="C894"/>
      <c r="D894" t="b">
        <f>IFERROR(VLOOKUP(B894,PatData!$A$2:$A$2030,1,),"")&lt;&gt;""</f>
        <v>1</v>
      </c>
      <c r="E894" t="s">
        <v>7509</v>
      </c>
      <c r="F894" t="b">
        <v>0</v>
      </c>
      <c r="G894" t="b">
        <v>1</v>
      </c>
      <c r="H894" t="b">
        <v>0</v>
      </c>
      <c r="I894" t="b">
        <v>0</v>
      </c>
    </row>
    <row r="895" spans="1:9" s="151" customFormat="1" x14ac:dyDescent="0.2">
      <c r="A895" t="s">
        <v>4532</v>
      </c>
      <c r="B895" t="s">
        <v>2119</v>
      </c>
      <c r="C895"/>
      <c r="D895" t="b">
        <f>IFERROR(VLOOKUP(B895,PatData!$A$2:$A$2030,1,),"")&lt;&gt;""</f>
        <v>1</v>
      </c>
      <c r="E895" t="s">
        <v>7510</v>
      </c>
      <c r="F895" t="b">
        <v>0</v>
      </c>
      <c r="G895" t="b">
        <v>1</v>
      </c>
      <c r="H895" t="b">
        <v>0</v>
      </c>
      <c r="I895" t="b">
        <v>0</v>
      </c>
    </row>
    <row r="896" spans="1:9" s="151" customFormat="1" x14ac:dyDescent="0.2">
      <c r="A896" t="s">
        <v>4533</v>
      </c>
      <c r="B896" t="s">
        <v>2120</v>
      </c>
      <c r="C896"/>
      <c r="D896" t="b">
        <f>IFERROR(VLOOKUP(B896,PatData!$A$2:$A$2030,1,),"")&lt;&gt;""</f>
        <v>1</v>
      </c>
      <c r="E896" t="s">
        <v>7510</v>
      </c>
      <c r="F896" t="b">
        <v>0</v>
      </c>
      <c r="G896" t="b">
        <v>1</v>
      </c>
      <c r="H896" t="b">
        <v>0</v>
      </c>
      <c r="I896" t="b">
        <v>0</v>
      </c>
    </row>
    <row r="897" spans="1:9" s="151" customFormat="1" x14ac:dyDescent="0.2">
      <c r="A897" t="s">
        <v>4534</v>
      </c>
      <c r="B897" t="s">
        <v>2121</v>
      </c>
      <c r="C897"/>
      <c r="D897" t="b">
        <f>IFERROR(VLOOKUP(B897,PatData!$A$2:$A$2030,1,),"")&lt;&gt;""</f>
        <v>1</v>
      </c>
      <c r="E897"/>
      <c r="F897" t="b">
        <v>0</v>
      </c>
      <c r="G897" t="b">
        <v>1</v>
      </c>
      <c r="H897" t="b">
        <v>0</v>
      </c>
      <c r="I897" t="b">
        <v>0</v>
      </c>
    </row>
    <row r="898" spans="1:9" s="151" customFormat="1" x14ac:dyDescent="0.2">
      <c r="A898" t="s">
        <v>4535</v>
      </c>
      <c r="B898" t="s">
        <v>2122</v>
      </c>
      <c r="C898"/>
      <c r="D898" t="b">
        <f>IFERROR(VLOOKUP(B898,PatData!$A$2:$A$2030,1,),"")&lt;&gt;""</f>
        <v>1</v>
      </c>
      <c r="E898"/>
      <c r="F898" t="b">
        <v>0</v>
      </c>
      <c r="G898" t="b">
        <v>1</v>
      </c>
      <c r="H898" t="b">
        <v>0</v>
      </c>
      <c r="I898" t="b">
        <v>0</v>
      </c>
    </row>
    <row r="899" spans="1:9" s="151" customFormat="1" x14ac:dyDescent="0.2">
      <c r="A899" t="s">
        <v>4536</v>
      </c>
      <c r="B899" t="s">
        <v>2123</v>
      </c>
      <c r="C899"/>
      <c r="D899" t="b">
        <f>IFERROR(VLOOKUP(B899,PatData!$A$2:$A$2030,1,),"")&lt;&gt;""</f>
        <v>1</v>
      </c>
      <c r="E899"/>
      <c r="F899" t="b">
        <v>0</v>
      </c>
      <c r="G899" t="b">
        <v>1</v>
      </c>
      <c r="H899" t="b">
        <v>0</v>
      </c>
      <c r="I899" t="b">
        <v>0</v>
      </c>
    </row>
    <row r="900" spans="1:9" s="151" customFormat="1" x14ac:dyDescent="0.2">
      <c r="A900" t="s">
        <v>4537</v>
      </c>
      <c r="B900" t="s">
        <v>2124</v>
      </c>
      <c r="C900"/>
      <c r="D900" t="b">
        <f>IFERROR(VLOOKUP(B900,PatData!$A$2:$A$2030,1,),"")&lt;&gt;""</f>
        <v>1</v>
      </c>
      <c r="E900"/>
      <c r="F900" t="b">
        <v>0</v>
      </c>
      <c r="G900" t="b">
        <v>1</v>
      </c>
      <c r="H900" t="b">
        <v>0</v>
      </c>
      <c r="I900" t="b">
        <v>0</v>
      </c>
    </row>
    <row r="901" spans="1:9" s="151" customFormat="1" x14ac:dyDescent="0.2">
      <c r="A901" t="s">
        <v>4538</v>
      </c>
      <c r="B901" t="s">
        <v>2125</v>
      </c>
      <c r="C901"/>
      <c r="D901" t="b">
        <f>IFERROR(VLOOKUP(B901,PatData!$A$2:$A$2030,1,),"")&lt;&gt;""</f>
        <v>1</v>
      </c>
      <c r="E901"/>
      <c r="F901" t="b">
        <v>0</v>
      </c>
      <c r="G901" t="b">
        <v>1</v>
      </c>
      <c r="H901" t="b">
        <v>0</v>
      </c>
      <c r="I901" t="b">
        <v>0</v>
      </c>
    </row>
    <row r="902" spans="1:9" s="151" customFormat="1" x14ac:dyDescent="0.2">
      <c r="A902" t="s">
        <v>4539</v>
      </c>
      <c r="B902" t="s">
        <v>2126</v>
      </c>
      <c r="C902"/>
      <c r="D902" t="b">
        <f>IFERROR(VLOOKUP(B902,PatData!$A$2:$A$2030,1,),"")&lt;&gt;""</f>
        <v>1</v>
      </c>
      <c r="E902"/>
      <c r="F902" t="b">
        <v>0</v>
      </c>
      <c r="G902" t="b">
        <v>1</v>
      </c>
      <c r="H902" t="b">
        <v>0</v>
      </c>
      <c r="I902" t="b">
        <v>0</v>
      </c>
    </row>
    <row r="903" spans="1:9" s="151" customFormat="1" x14ac:dyDescent="0.2">
      <c r="A903" t="s">
        <v>4540</v>
      </c>
      <c r="B903" t="s">
        <v>2127</v>
      </c>
      <c r="C903"/>
      <c r="D903" t="b">
        <f>IFERROR(VLOOKUP(B903,PatData!$A$2:$A$2030,1,),"")&lt;&gt;""</f>
        <v>1</v>
      </c>
      <c r="E903"/>
      <c r="F903" t="b">
        <v>0</v>
      </c>
      <c r="G903" t="b">
        <v>1</v>
      </c>
      <c r="H903" t="b">
        <v>0</v>
      </c>
      <c r="I903" t="b">
        <v>0</v>
      </c>
    </row>
    <row r="904" spans="1:9" s="151" customFormat="1" x14ac:dyDescent="0.2">
      <c r="A904" t="s">
        <v>4541</v>
      </c>
      <c r="B904" t="s">
        <v>2128</v>
      </c>
      <c r="C904"/>
      <c r="D904" t="b">
        <f>IFERROR(VLOOKUP(B904,PatData!$A$2:$A$2030,1,),"")&lt;&gt;""</f>
        <v>1</v>
      </c>
      <c r="E904"/>
      <c r="F904" t="b">
        <v>0</v>
      </c>
      <c r="G904" t="b">
        <v>1</v>
      </c>
      <c r="H904" t="b">
        <v>0</v>
      </c>
      <c r="I904" t="b">
        <v>0</v>
      </c>
    </row>
    <row r="905" spans="1:9" s="151" customFormat="1" x14ac:dyDescent="0.2">
      <c r="A905" t="s">
        <v>4542</v>
      </c>
      <c r="B905" t="s">
        <v>2129</v>
      </c>
      <c r="C905"/>
      <c r="D905" t="b">
        <f>IFERROR(VLOOKUP(B905,PatData!$A$2:$A$2030,1,),"")&lt;&gt;""</f>
        <v>1</v>
      </c>
      <c r="E905"/>
      <c r="F905" t="b">
        <v>0</v>
      </c>
      <c r="G905" t="b">
        <v>1</v>
      </c>
      <c r="H905" t="b">
        <v>0</v>
      </c>
      <c r="I905" t="b">
        <v>0</v>
      </c>
    </row>
    <row r="906" spans="1:9" s="151" customFormat="1" x14ac:dyDescent="0.2">
      <c r="A906" t="s">
        <v>4543</v>
      </c>
      <c r="B906" t="s">
        <v>2130</v>
      </c>
      <c r="C906"/>
      <c r="D906" t="b">
        <f>IFERROR(VLOOKUP(B906,PatData!$A$2:$A$2030,1,),"")&lt;&gt;""</f>
        <v>1</v>
      </c>
      <c r="E906"/>
      <c r="F906" t="b">
        <v>0</v>
      </c>
      <c r="G906" t="b">
        <v>1</v>
      </c>
      <c r="H906" t="b">
        <v>0</v>
      </c>
      <c r="I906" t="b">
        <v>0</v>
      </c>
    </row>
    <row r="907" spans="1:9" s="151" customFormat="1" x14ac:dyDescent="0.2">
      <c r="A907" t="s">
        <v>4544</v>
      </c>
      <c r="B907" t="s">
        <v>2131</v>
      </c>
      <c r="C907"/>
      <c r="D907" t="b">
        <f>IFERROR(VLOOKUP(B907,PatData!$A$2:$A$2030,1,),"")&lt;&gt;""</f>
        <v>1</v>
      </c>
      <c r="E907"/>
      <c r="F907" t="b">
        <v>0</v>
      </c>
      <c r="G907" t="b">
        <v>1</v>
      </c>
      <c r="H907" t="b">
        <v>0</v>
      </c>
      <c r="I907" t="b">
        <v>0</v>
      </c>
    </row>
    <row r="908" spans="1:9" s="151" customFormat="1" x14ac:dyDescent="0.2">
      <c r="A908" t="s">
        <v>4545</v>
      </c>
      <c r="B908" t="s">
        <v>2132</v>
      </c>
      <c r="C908"/>
      <c r="D908" t="b">
        <f>IFERROR(VLOOKUP(B908,PatData!$A$2:$A$2030,1,),"")&lt;&gt;""</f>
        <v>1</v>
      </c>
      <c r="E908"/>
      <c r="F908" t="b">
        <v>0</v>
      </c>
      <c r="G908" t="b">
        <v>1</v>
      </c>
      <c r="H908" t="b">
        <v>0</v>
      </c>
      <c r="I908" t="b">
        <v>0</v>
      </c>
    </row>
    <row r="909" spans="1:9" s="151" customFormat="1" x14ac:dyDescent="0.2">
      <c r="A909" t="s">
        <v>4546</v>
      </c>
      <c r="B909" t="s">
        <v>2133</v>
      </c>
      <c r="C909"/>
      <c r="D909" t="b">
        <f>IFERROR(VLOOKUP(B909,PatData!$A$2:$A$2030,1,),"")&lt;&gt;""</f>
        <v>1</v>
      </c>
      <c r="E909"/>
      <c r="F909" t="b">
        <v>0</v>
      </c>
      <c r="G909" t="b">
        <v>1</v>
      </c>
      <c r="H909" t="b">
        <v>0</v>
      </c>
      <c r="I909" t="b">
        <v>0</v>
      </c>
    </row>
    <row r="910" spans="1:9" s="151" customFormat="1" x14ac:dyDescent="0.2">
      <c r="A910" t="s">
        <v>4547</v>
      </c>
      <c r="B910" t="s">
        <v>2134</v>
      </c>
      <c r="C910"/>
      <c r="D910" t="b">
        <f>IFERROR(VLOOKUP(B910,PatData!$A$2:$A$2030,1,),"")&lt;&gt;""</f>
        <v>1</v>
      </c>
      <c r="E910"/>
      <c r="F910" t="b">
        <v>0</v>
      </c>
      <c r="G910" t="b">
        <v>1</v>
      </c>
      <c r="H910" t="b">
        <v>0</v>
      </c>
      <c r="I910" t="b">
        <v>0</v>
      </c>
    </row>
    <row r="911" spans="1:9" s="151" customFormat="1" x14ac:dyDescent="0.2">
      <c r="A911" t="s">
        <v>4548</v>
      </c>
      <c r="B911" t="s">
        <v>2135</v>
      </c>
      <c r="C911"/>
      <c r="D911" t="b">
        <f>IFERROR(VLOOKUP(B911,PatData!$A$2:$A$2030,1,),"")&lt;&gt;""</f>
        <v>1</v>
      </c>
      <c r="E911"/>
      <c r="F911" t="b">
        <v>0</v>
      </c>
      <c r="G911" t="b">
        <v>1</v>
      </c>
      <c r="H911" t="b">
        <v>0</v>
      </c>
      <c r="I911" t="b">
        <v>0</v>
      </c>
    </row>
    <row r="912" spans="1:9" s="151" customFormat="1" x14ac:dyDescent="0.2">
      <c r="A912" t="s">
        <v>4549</v>
      </c>
      <c r="B912" t="s">
        <v>2136</v>
      </c>
      <c r="C912"/>
      <c r="D912" t="b">
        <f>IFERROR(VLOOKUP(B912,PatData!$A$2:$A$2030,1,),"")&lt;&gt;""</f>
        <v>1</v>
      </c>
      <c r="E912"/>
      <c r="F912" t="b">
        <v>0</v>
      </c>
      <c r="G912" t="b">
        <v>1</v>
      </c>
      <c r="H912" t="b">
        <v>0</v>
      </c>
      <c r="I912" t="b">
        <v>0</v>
      </c>
    </row>
    <row r="913" spans="1:9" s="151" customFormat="1" x14ac:dyDescent="0.2">
      <c r="A913" t="s">
        <v>4550</v>
      </c>
      <c r="B913" t="s">
        <v>2137</v>
      </c>
      <c r="C913"/>
      <c r="D913" t="b">
        <f>IFERROR(VLOOKUP(B913,PatData!$A$2:$A$2030,1,),"")&lt;&gt;""</f>
        <v>1</v>
      </c>
      <c r="E913"/>
      <c r="F913" t="b">
        <v>0</v>
      </c>
      <c r="G913" t="b">
        <v>1</v>
      </c>
      <c r="H913" t="b">
        <v>0</v>
      </c>
      <c r="I913" t="b">
        <v>0</v>
      </c>
    </row>
    <row r="914" spans="1:9" s="151" customFormat="1" x14ac:dyDescent="0.2">
      <c r="A914" t="s">
        <v>4551</v>
      </c>
      <c r="B914" t="s">
        <v>2138</v>
      </c>
      <c r="C914"/>
      <c r="D914" t="b">
        <f>IFERROR(VLOOKUP(B914,PatData!$A$2:$A$2030,1,),"")&lt;&gt;""</f>
        <v>1</v>
      </c>
      <c r="E914"/>
      <c r="F914" t="b">
        <v>0</v>
      </c>
      <c r="G914" t="b">
        <v>1</v>
      </c>
      <c r="H914" t="b">
        <v>0</v>
      </c>
      <c r="I914" t="b">
        <v>0</v>
      </c>
    </row>
    <row r="915" spans="1:9" s="151" customFormat="1" x14ac:dyDescent="0.2">
      <c r="A915" t="s">
        <v>4552</v>
      </c>
      <c r="B915" t="s">
        <v>2139</v>
      </c>
      <c r="C915"/>
      <c r="D915" t="b">
        <f>IFERROR(VLOOKUP(B915,PatData!$A$2:$A$2030,1,),"")&lt;&gt;""</f>
        <v>1</v>
      </c>
      <c r="E915"/>
      <c r="F915" t="b">
        <v>0</v>
      </c>
      <c r="G915" t="b">
        <v>1</v>
      </c>
      <c r="H915" t="b">
        <v>0</v>
      </c>
      <c r="I915" t="b">
        <v>0</v>
      </c>
    </row>
    <row r="916" spans="1:9" s="151" customFormat="1" x14ac:dyDescent="0.2">
      <c r="A916" t="s">
        <v>4553</v>
      </c>
      <c r="B916" t="s">
        <v>2140</v>
      </c>
      <c r="C916"/>
      <c r="D916" t="b">
        <f>IFERROR(VLOOKUP(B916,PatData!$A$2:$A$2030,1,),"")&lt;&gt;""</f>
        <v>1</v>
      </c>
      <c r="E916"/>
      <c r="F916" t="b">
        <v>0</v>
      </c>
      <c r="G916" t="b">
        <v>1</v>
      </c>
      <c r="H916" t="b">
        <v>0</v>
      </c>
      <c r="I916" t="b">
        <v>0</v>
      </c>
    </row>
    <row r="917" spans="1:9" s="151" customFormat="1" x14ac:dyDescent="0.2">
      <c r="A917" t="s">
        <v>4554</v>
      </c>
      <c r="B917" t="s">
        <v>2141</v>
      </c>
      <c r="C917"/>
      <c r="D917" t="b">
        <f>IFERROR(VLOOKUP(B917,PatData!$A$2:$A$2030,1,),"")&lt;&gt;""</f>
        <v>1</v>
      </c>
      <c r="E917"/>
      <c r="F917" t="b">
        <v>0</v>
      </c>
      <c r="G917" t="b">
        <v>1</v>
      </c>
      <c r="H917" t="b">
        <v>0</v>
      </c>
      <c r="I917" t="b">
        <v>0</v>
      </c>
    </row>
    <row r="918" spans="1:9" s="151" customFormat="1" x14ac:dyDescent="0.2">
      <c r="A918" t="s">
        <v>4555</v>
      </c>
      <c r="B918" t="s">
        <v>2142</v>
      </c>
      <c r="C918"/>
      <c r="D918" t="b">
        <f>IFERROR(VLOOKUP(B918,PatData!$A$2:$A$2030,1,),"")&lt;&gt;""</f>
        <v>1</v>
      </c>
      <c r="E918"/>
      <c r="F918" t="b">
        <v>0</v>
      </c>
      <c r="G918" t="b">
        <v>1</v>
      </c>
      <c r="H918" t="b">
        <v>0</v>
      </c>
      <c r="I918" t="b">
        <v>0</v>
      </c>
    </row>
    <row r="919" spans="1:9" s="151" customFormat="1" x14ac:dyDescent="0.2">
      <c r="A919" t="s">
        <v>4556</v>
      </c>
      <c r="B919" t="s">
        <v>2143</v>
      </c>
      <c r="C919"/>
      <c r="D919" t="b">
        <f>IFERROR(VLOOKUP(B919,PatData!$A$2:$A$2030,1,),"")&lt;&gt;""</f>
        <v>1</v>
      </c>
      <c r="E919"/>
      <c r="F919" t="b">
        <v>0</v>
      </c>
      <c r="G919" t="b">
        <v>1</v>
      </c>
      <c r="H919" t="b">
        <v>0</v>
      </c>
      <c r="I919" t="b">
        <v>0</v>
      </c>
    </row>
    <row r="920" spans="1:9" s="151" customFormat="1" x14ac:dyDescent="0.2">
      <c r="A920" t="s">
        <v>4557</v>
      </c>
      <c r="B920" t="s">
        <v>2144</v>
      </c>
      <c r="C920"/>
      <c r="D920" t="b">
        <f>IFERROR(VLOOKUP(B920,PatData!$A$2:$A$2030,1,),"")&lt;&gt;""</f>
        <v>1</v>
      </c>
      <c r="E920"/>
      <c r="F920" t="b">
        <v>0</v>
      </c>
      <c r="G920" t="b">
        <v>1</v>
      </c>
      <c r="H920" t="b">
        <v>0</v>
      </c>
      <c r="I920" t="b">
        <v>0</v>
      </c>
    </row>
    <row r="921" spans="1:9" s="151" customFormat="1" x14ac:dyDescent="0.2">
      <c r="A921" t="s">
        <v>4558</v>
      </c>
      <c r="B921" t="s">
        <v>2145</v>
      </c>
      <c r="C921"/>
      <c r="D921" t="b">
        <f>IFERROR(VLOOKUP(B921,PatData!$A$2:$A$2030,1,),"")&lt;&gt;""</f>
        <v>1</v>
      </c>
      <c r="E921"/>
      <c r="F921" t="b">
        <v>0</v>
      </c>
      <c r="G921" t="b">
        <v>1</v>
      </c>
      <c r="H921" t="b">
        <v>0</v>
      </c>
      <c r="I921" t="b">
        <v>0</v>
      </c>
    </row>
    <row r="922" spans="1:9" s="151" customFormat="1" x14ac:dyDescent="0.2">
      <c r="A922" t="s">
        <v>4559</v>
      </c>
      <c r="B922" t="s">
        <v>2146</v>
      </c>
      <c r="C922"/>
      <c r="D922" t="b">
        <f>IFERROR(VLOOKUP(B922,PatData!$A$2:$A$2030,1,),"")&lt;&gt;""</f>
        <v>1</v>
      </c>
      <c r="E922"/>
      <c r="F922" t="b">
        <v>0</v>
      </c>
      <c r="G922" t="b">
        <v>1</v>
      </c>
      <c r="H922" t="b">
        <v>0</v>
      </c>
      <c r="I922" t="b">
        <v>0</v>
      </c>
    </row>
    <row r="923" spans="1:9" s="151" customFormat="1" x14ac:dyDescent="0.2">
      <c r="A923" t="s">
        <v>4560</v>
      </c>
      <c r="B923" t="s">
        <v>2147</v>
      </c>
      <c r="C923"/>
      <c r="D923" t="b">
        <f>IFERROR(VLOOKUP(B923,PatData!$A$2:$A$2030,1,),"")&lt;&gt;""</f>
        <v>1</v>
      </c>
      <c r="E923"/>
      <c r="F923" t="b">
        <v>0</v>
      </c>
      <c r="G923" t="b">
        <v>1</v>
      </c>
      <c r="H923" t="b">
        <v>0</v>
      </c>
      <c r="I923" t="b">
        <v>0</v>
      </c>
    </row>
    <row r="924" spans="1:9" s="151" customFormat="1" x14ac:dyDescent="0.2">
      <c r="A924" t="s">
        <v>3113</v>
      </c>
      <c r="B924" t="s">
        <v>2148</v>
      </c>
      <c r="C924"/>
      <c r="D924" t="b">
        <f>IFERROR(VLOOKUP(B924,PatData!$A$2:$A$2030,1,),"")&lt;&gt;""</f>
        <v>1</v>
      </c>
      <c r="E924" t="s">
        <v>7511</v>
      </c>
      <c r="F924" t="b">
        <v>0</v>
      </c>
      <c r="G924" t="b">
        <v>1</v>
      </c>
      <c r="H924" t="b">
        <v>0</v>
      </c>
      <c r="I924" t="b">
        <v>0</v>
      </c>
    </row>
    <row r="925" spans="1:9" s="151" customFormat="1" x14ac:dyDescent="0.2">
      <c r="A925" t="s">
        <v>3114</v>
      </c>
      <c r="B925" t="s">
        <v>2149</v>
      </c>
      <c r="C925"/>
      <c r="D925" t="b">
        <f>IFERROR(VLOOKUP(B925,PatData!$A$2:$A$2030,1,),"")&lt;&gt;""</f>
        <v>1</v>
      </c>
      <c r="E925" t="s">
        <v>7511</v>
      </c>
      <c r="F925" t="b">
        <v>0</v>
      </c>
      <c r="G925" t="b">
        <v>1</v>
      </c>
      <c r="H925" t="b">
        <v>0</v>
      </c>
      <c r="I925" t="b">
        <v>0</v>
      </c>
    </row>
    <row r="926" spans="1:9" s="151" customFormat="1" x14ac:dyDescent="0.2">
      <c r="A926" t="s">
        <v>3115</v>
      </c>
      <c r="B926" t="s">
        <v>2150</v>
      </c>
      <c r="C926"/>
      <c r="D926" t="b">
        <f>IFERROR(VLOOKUP(B926,PatData!$A$2:$A$2030,1,),"")&lt;&gt;""</f>
        <v>1</v>
      </c>
      <c r="E926" t="s">
        <v>7672</v>
      </c>
      <c r="F926" t="b">
        <v>0</v>
      </c>
      <c r="G926" t="b">
        <v>1</v>
      </c>
      <c r="H926" t="b">
        <v>0</v>
      </c>
      <c r="I926" t="b">
        <v>0</v>
      </c>
    </row>
    <row r="927" spans="1:9" s="151" customFormat="1" x14ac:dyDescent="0.2">
      <c r="A927" t="s">
        <v>3116</v>
      </c>
      <c r="B927" t="s">
        <v>2151</v>
      </c>
      <c r="C927"/>
      <c r="D927" t="b">
        <f>IFERROR(VLOOKUP(B927,PatData!$A$2:$A$2030,1,),"")&lt;&gt;""</f>
        <v>1</v>
      </c>
      <c r="E927"/>
      <c r="F927" t="b">
        <v>0</v>
      </c>
      <c r="G927" t="b">
        <v>1</v>
      </c>
      <c r="H927" t="b">
        <v>0</v>
      </c>
      <c r="I927" t="b">
        <v>0</v>
      </c>
    </row>
    <row r="928" spans="1:9" s="151" customFormat="1" x14ac:dyDescent="0.2">
      <c r="A928" t="s">
        <v>3117</v>
      </c>
      <c r="B928" t="s">
        <v>2152</v>
      </c>
      <c r="C928"/>
      <c r="D928" t="b">
        <f>IFERROR(VLOOKUP(B928,PatData!$A$2:$A$2030,1,),"")&lt;&gt;""</f>
        <v>1</v>
      </c>
      <c r="E928"/>
      <c r="F928" t="b">
        <v>0</v>
      </c>
      <c r="G928" t="b">
        <v>1</v>
      </c>
      <c r="H928" t="b">
        <v>0</v>
      </c>
      <c r="I928" t="b">
        <v>0</v>
      </c>
    </row>
    <row r="929" spans="1:9" x14ac:dyDescent="0.2">
      <c r="A929" t="s">
        <v>3118</v>
      </c>
      <c r="B929" t="s">
        <v>2153</v>
      </c>
      <c r="D929" t="b">
        <f>IFERROR(VLOOKUP(B929,PatData!$A$2:$A$2030,1,),"")&lt;&gt;""</f>
        <v>1</v>
      </c>
      <c r="E929"/>
      <c r="F929" t="b">
        <v>0</v>
      </c>
      <c r="G929" t="b">
        <v>1</v>
      </c>
      <c r="H929" t="b">
        <v>0</v>
      </c>
      <c r="I929" t="b">
        <v>0</v>
      </c>
    </row>
    <row r="930" spans="1:9" x14ac:dyDescent="0.2">
      <c r="A930" t="s">
        <v>3119</v>
      </c>
      <c r="B930" t="s">
        <v>2154</v>
      </c>
      <c r="D930" t="b">
        <f>IFERROR(VLOOKUP(B930,PatData!$A$2:$A$2030,1,),"")&lt;&gt;""</f>
        <v>1</v>
      </c>
      <c r="E930"/>
      <c r="F930" t="b">
        <v>0</v>
      </c>
      <c r="G930" t="b">
        <v>1</v>
      </c>
      <c r="H930" t="b">
        <v>0</v>
      </c>
      <c r="I930" t="b">
        <v>0</v>
      </c>
    </row>
    <row r="931" spans="1:9" x14ac:dyDescent="0.2">
      <c r="A931" t="s">
        <v>3120</v>
      </c>
      <c r="B931" t="s">
        <v>2155</v>
      </c>
      <c r="D931" t="b">
        <f>IFERROR(VLOOKUP(B931,PatData!$A$2:$A$2030,1,),"")&lt;&gt;""</f>
        <v>1</v>
      </c>
      <c r="E931"/>
      <c r="F931" t="b">
        <v>0</v>
      </c>
      <c r="G931" t="b">
        <v>1</v>
      </c>
      <c r="H931" t="b">
        <v>0</v>
      </c>
      <c r="I931" t="b">
        <v>0</v>
      </c>
    </row>
    <row r="932" spans="1:9" x14ac:dyDescent="0.2">
      <c r="A932" t="s">
        <v>3121</v>
      </c>
      <c r="B932" t="s">
        <v>2156</v>
      </c>
      <c r="D932" t="b">
        <f>IFERROR(VLOOKUP(B932,PatData!$A$2:$A$2030,1,),"")&lt;&gt;""</f>
        <v>1</v>
      </c>
      <c r="E932"/>
      <c r="F932" t="b">
        <v>0</v>
      </c>
      <c r="G932" t="b">
        <v>1</v>
      </c>
      <c r="H932" t="b">
        <v>0</v>
      </c>
      <c r="I932" t="b">
        <v>0</v>
      </c>
    </row>
    <row r="933" spans="1:9" x14ac:dyDescent="0.2">
      <c r="A933" t="s">
        <v>3122</v>
      </c>
      <c r="B933" t="s">
        <v>2157</v>
      </c>
      <c r="D933" t="b">
        <f>IFERROR(VLOOKUP(B933,PatData!$A$2:$A$2030,1,),"")&lt;&gt;""</f>
        <v>1</v>
      </c>
      <c r="E933"/>
      <c r="F933" t="b">
        <v>0</v>
      </c>
      <c r="G933" t="b">
        <v>1</v>
      </c>
      <c r="H933" t="b">
        <v>0</v>
      </c>
      <c r="I933" t="b">
        <v>0</v>
      </c>
    </row>
    <row r="934" spans="1:9" x14ac:dyDescent="0.2">
      <c r="A934" t="s">
        <v>3123</v>
      </c>
      <c r="B934" t="s">
        <v>2158</v>
      </c>
      <c r="D934" t="b">
        <f>IFERROR(VLOOKUP(B934,PatData!$A$2:$A$2030,1,),"")&lt;&gt;""</f>
        <v>1</v>
      </c>
      <c r="E934"/>
      <c r="F934" t="b">
        <v>0</v>
      </c>
      <c r="G934" t="b">
        <v>1</v>
      </c>
      <c r="H934" t="b">
        <v>0</v>
      </c>
      <c r="I934" t="b">
        <v>0</v>
      </c>
    </row>
    <row r="935" spans="1:9" x14ac:dyDescent="0.2">
      <c r="A935" t="s">
        <v>3124</v>
      </c>
      <c r="B935" t="s">
        <v>2159</v>
      </c>
      <c r="D935" t="b">
        <f>IFERROR(VLOOKUP(B935,PatData!$A$2:$A$2030,1,),"")&lt;&gt;""</f>
        <v>1</v>
      </c>
      <c r="E935"/>
      <c r="F935" t="b">
        <v>0</v>
      </c>
      <c r="G935" t="b">
        <v>1</v>
      </c>
      <c r="H935" t="b">
        <v>0</v>
      </c>
      <c r="I935" t="b">
        <v>0</v>
      </c>
    </row>
    <row r="936" spans="1:9" x14ac:dyDescent="0.2">
      <c r="A936" t="s">
        <v>3125</v>
      </c>
      <c r="B936" t="s">
        <v>2160</v>
      </c>
      <c r="D936" t="b">
        <f>IFERROR(VLOOKUP(B936,PatData!$A$2:$A$2030,1,),"")&lt;&gt;""</f>
        <v>1</v>
      </c>
      <c r="E936"/>
      <c r="F936" t="b">
        <v>0</v>
      </c>
      <c r="G936" t="b">
        <v>1</v>
      </c>
      <c r="H936" t="b">
        <v>0</v>
      </c>
      <c r="I936" t="b">
        <v>0</v>
      </c>
    </row>
    <row r="937" spans="1:9" x14ac:dyDescent="0.2">
      <c r="A937" t="s">
        <v>3126</v>
      </c>
      <c r="B937" t="s">
        <v>2161</v>
      </c>
      <c r="D937" t="b">
        <f>IFERROR(VLOOKUP(B937,PatData!$A$2:$A$2030,1,),"")&lt;&gt;""</f>
        <v>1</v>
      </c>
      <c r="E937"/>
      <c r="F937" t="b">
        <v>0</v>
      </c>
      <c r="G937" t="b">
        <v>1</v>
      </c>
      <c r="H937" t="b">
        <v>0</v>
      </c>
      <c r="I937" t="b">
        <v>0</v>
      </c>
    </row>
    <row r="938" spans="1:9" x14ac:dyDescent="0.2">
      <c r="A938" t="s">
        <v>3127</v>
      </c>
      <c r="B938" t="s">
        <v>2162</v>
      </c>
      <c r="D938" t="b">
        <f>IFERROR(VLOOKUP(B938,PatData!$A$2:$A$2030,1,),"")&lt;&gt;""</f>
        <v>1</v>
      </c>
      <c r="E938"/>
      <c r="F938" t="b">
        <v>0</v>
      </c>
      <c r="G938" t="b">
        <v>1</v>
      </c>
      <c r="H938" t="b">
        <v>0</v>
      </c>
      <c r="I938" t="b">
        <v>0</v>
      </c>
    </row>
    <row r="939" spans="1:9" x14ac:dyDescent="0.2">
      <c r="A939" t="s">
        <v>3128</v>
      </c>
      <c r="B939" t="s">
        <v>2163</v>
      </c>
      <c r="D939" t="b">
        <f>IFERROR(VLOOKUP(B939,PatData!$A$2:$A$2030,1,),"")&lt;&gt;""</f>
        <v>1</v>
      </c>
      <c r="E939"/>
      <c r="F939" t="b">
        <v>0</v>
      </c>
      <c r="G939" t="b">
        <v>1</v>
      </c>
      <c r="H939" t="b">
        <v>0</v>
      </c>
      <c r="I939" t="b">
        <v>0</v>
      </c>
    </row>
    <row r="940" spans="1:9" x14ac:dyDescent="0.2">
      <c r="A940" t="s">
        <v>3129</v>
      </c>
      <c r="B940" t="s">
        <v>2164</v>
      </c>
      <c r="D940" t="b">
        <f>IFERROR(VLOOKUP(B940,PatData!$A$2:$A$2030,1,),"")&lt;&gt;""</f>
        <v>1</v>
      </c>
      <c r="E940"/>
      <c r="F940" t="b">
        <v>0</v>
      </c>
      <c r="G940" t="b">
        <v>1</v>
      </c>
      <c r="H940" t="b">
        <v>0</v>
      </c>
      <c r="I940" t="b">
        <v>0</v>
      </c>
    </row>
    <row r="941" spans="1:9" x14ac:dyDescent="0.2">
      <c r="A941" t="s">
        <v>3130</v>
      </c>
      <c r="B941" t="s">
        <v>2165</v>
      </c>
      <c r="D941" t="b">
        <f>IFERROR(VLOOKUP(B941,PatData!$A$2:$A$2030,1,),"")&lt;&gt;""</f>
        <v>1</v>
      </c>
      <c r="E941"/>
      <c r="F941" t="b">
        <v>0</v>
      </c>
      <c r="G941" t="b">
        <v>1</v>
      </c>
      <c r="H941" t="b">
        <v>0</v>
      </c>
      <c r="I941" t="b">
        <v>0</v>
      </c>
    </row>
    <row r="942" spans="1:9" x14ac:dyDescent="0.2">
      <c r="A942" t="s">
        <v>3131</v>
      </c>
      <c r="B942" t="s">
        <v>2166</v>
      </c>
      <c r="D942" t="b">
        <f>IFERROR(VLOOKUP(B942,PatData!$A$2:$A$2030,1,),"")&lt;&gt;""</f>
        <v>1</v>
      </c>
      <c r="E942"/>
      <c r="F942" t="b">
        <v>0</v>
      </c>
      <c r="G942" t="b">
        <v>1</v>
      </c>
      <c r="H942" t="b">
        <v>0</v>
      </c>
      <c r="I942" t="b">
        <v>0</v>
      </c>
    </row>
    <row r="943" spans="1:9" x14ac:dyDescent="0.2">
      <c r="A943" t="s">
        <v>3132</v>
      </c>
      <c r="B943" t="s">
        <v>2167</v>
      </c>
      <c r="D943" t="b">
        <f>IFERROR(VLOOKUP(B943,PatData!$A$2:$A$2030,1,),"")&lt;&gt;""</f>
        <v>1</v>
      </c>
      <c r="E943"/>
      <c r="F943" t="b">
        <v>0</v>
      </c>
      <c r="G943" t="b">
        <v>1</v>
      </c>
      <c r="H943" t="b">
        <v>0</v>
      </c>
      <c r="I943" t="b">
        <v>0</v>
      </c>
    </row>
    <row r="944" spans="1:9" x14ac:dyDescent="0.2">
      <c r="A944" t="s">
        <v>3133</v>
      </c>
      <c r="B944" t="s">
        <v>2168</v>
      </c>
      <c r="D944" t="b">
        <f>IFERROR(VLOOKUP(B944,PatData!$A$2:$A$2030,1,),"")&lt;&gt;""</f>
        <v>1</v>
      </c>
      <c r="E944"/>
      <c r="F944" t="b">
        <v>0</v>
      </c>
      <c r="G944" t="b">
        <v>1</v>
      </c>
      <c r="H944" t="b">
        <v>0</v>
      </c>
      <c r="I944" t="b">
        <v>0</v>
      </c>
    </row>
    <row r="945" spans="1:9" x14ac:dyDescent="0.2">
      <c r="A945" t="s">
        <v>3134</v>
      </c>
      <c r="B945" t="s">
        <v>2169</v>
      </c>
      <c r="D945" t="b">
        <f>IFERROR(VLOOKUP(B945,PatData!$A$2:$A$2030,1,),"")&lt;&gt;""</f>
        <v>1</v>
      </c>
      <c r="E945"/>
      <c r="F945" t="b">
        <v>0</v>
      </c>
      <c r="G945" t="b">
        <v>1</v>
      </c>
      <c r="H945" t="b">
        <v>0</v>
      </c>
      <c r="I945" t="b">
        <v>0</v>
      </c>
    </row>
    <row r="946" spans="1:9" x14ac:dyDescent="0.2">
      <c r="A946" t="s">
        <v>3135</v>
      </c>
      <c r="B946" t="s">
        <v>2170</v>
      </c>
      <c r="D946" t="b">
        <f>IFERROR(VLOOKUP(B946,PatData!$A$2:$A$2030,1,),"")&lt;&gt;""</f>
        <v>1</v>
      </c>
      <c r="E946"/>
      <c r="F946" t="b">
        <v>0</v>
      </c>
      <c r="G946" t="b">
        <v>1</v>
      </c>
      <c r="H946" t="b">
        <v>0</v>
      </c>
      <c r="I946" t="b">
        <v>0</v>
      </c>
    </row>
    <row r="947" spans="1:9" x14ac:dyDescent="0.2">
      <c r="A947" t="s">
        <v>3136</v>
      </c>
      <c r="B947" t="s">
        <v>2171</v>
      </c>
      <c r="D947" t="b">
        <f>IFERROR(VLOOKUP(B947,PatData!$A$2:$A$2030,1,),"")&lt;&gt;""</f>
        <v>1</v>
      </c>
      <c r="E947"/>
      <c r="F947" t="b">
        <v>0</v>
      </c>
      <c r="G947" t="b">
        <v>1</v>
      </c>
      <c r="H947" t="b">
        <v>0</v>
      </c>
      <c r="I947" t="b">
        <v>0</v>
      </c>
    </row>
    <row r="948" spans="1:9" x14ac:dyDescent="0.2">
      <c r="A948" t="s">
        <v>3137</v>
      </c>
      <c r="B948" t="s">
        <v>2172</v>
      </c>
      <c r="D948" t="b">
        <f>IFERROR(VLOOKUP(B948,PatData!$A$2:$A$2030,1,),"")&lt;&gt;""</f>
        <v>1</v>
      </c>
      <c r="E948"/>
      <c r="F948" t="b">
        <v>0</v>
      </c>
      <c r="G948" t="b">
        <v>1</v>
      </c>
      <c r="H948" t="b">
        <v>0</v>
      </c>
      <c r="I948" t="b">
        <v>0</v>
      </c>
    </row>
    <row r="949" spans="1:9" x14ac:dyDescent="0.2">
      <c r="A949" t="s">
        <v>3138</v>
      </c>
      <c r="B949" t="s">
        <v>2173</v>
      </c>
      <c r="D949" t="b">
        <f>IFERROR(VLOOKUP(B949,PatData!$A$2:$A$2030,1,),"")&lt;&gt;""</f>
        <v>1</v>
      </c>
      <c r="E949"/>
      <c r="F949" t="b">
        <v>0</v>
      </c>
      <c r="G949" t="b">
        <v>1</v>
      </c>
      <c r="H949" t="b">
        <v>0</v>
      </c>
      <c r="I949" t="b">
        <v>0</v>
      </c>
    </row>
    <row r="950" spans="1:9" x14ac:dyDescent="0.2">
      <c r="A950" t="s">
        <v>3139</v>
      </c>
      <c r="B950" t="s">
        <v>2174</v>
      </c>
      <c r="D950" t="b">
        <f>IFERROR(VLOOKUP(B950,PatData!$A$2:$A$2030,1,),"")&lt;&gt;""</f>
        <v>1</v>
      </c>
      <c r="E950"/>
      <c r="F950" t="b">
        <v>0</v>
      </c>
      <c r="G950" t="b">
        <v>1</v>
      </c>
      <c r="H950" t="b">
        <v>0</v>
      </c>
      <c r="I950" t="b">
        <v>0</v>
      </c>
    </row>
    <row r="951" spans="1:9" x14ac:dyDescent="0.2">
      <c r="A951" t="s">
        <v>3140</v>
      </c>
      <c r="B951" t="s">
        <v>2175</v>
      </c>
      <c r="D951" t="b">
        <f>IFERROR(VLOOKUP(B951,PatData!$A$2:$A$2030,1,),"")&lt;&gt;""</f>
        <v>1</v>
      </c>
      <c r="E951"/>
      <c r="F951" t="b">
        <v>0</v>
      </c>
      <c r="G951" t="b">
        <v>1</v>
      </c>
      <c r="H951" t="b">
        <v>0</v>
      </c>
      <c r="I951" t="b">
        <v>0</v>
      </c>
    </row>
    <row r="952" spans="1:9" x14ac:dyDescent="0.2">
      <c r="A952" t="s">
        <v>3141</v>
      </c>
      <c r="B952" t="s">
        <v>2176</v>
      </c>
      <c r="D952" t="b">
        <f>IFERROR(VLOOKUP(B952,PatData!$A$2:$A$2030,1,),"")&lt;&gt;""</f>
        <v>1</v>
      </c>
      <c r="E952"/>
      <c r="F952" t="b">
        <v>0</v>
      </c>
      <c r="G952" t="b">
        <v>1</v>
      </c>
      <c r="H952" t="b">
        <v>0</v>
      </c>
      <c r="I952" t="b">
        <v>0</v>
      </c>
    </row>
    <row r="953" spans="1:9" x14ac:dyDescent="0.2">
      <c r="A953" t="s">
        <v>3142</v>
      </c>
      <c r="B953" t="s">
        <v>2177</v>
      </c>
      <c r="D953" t="b">
        <f>IFERROR(VLOOKUP(B953,PatData!$A$2:$A$2030,1,),"")&lt;&gt;""</f>
        <v>1</v>
      </c>
      <c r="E953"/>
      <c r="F953" t="b">
        <v>0</v>
      </c>
      <c r="G953" t="b">
        <v>1</v>
      </c>
      <c r="H953" t="b">
        <v>0</v>
      </c>
      <c r="I953" t="b">
        <v>0</v>
      </c>
    </row>
    <row r="954" spans="1:9" x14ac:dyDescent="0.2">
      <c r="A954" t="s">
        <v>2963</v>
      </c>
      <c r="B954" t="s">
        <v>3425</v>
      </c>
      <c r="D954" t="b">
        <f>IFERROR(VLOOKUP(B954,PatData!$A$2:$A$2030,1,),"")&lt;&gt;""</f>
        <v>1</v>
      </c>
      <c r="E954" t="s">
        <v>7659</v>
      </c>
      <c r="F954" t="b">
        <v>0</v>
      </c>
      <c r="G954" t="b">
        <v>1</v>
      </c>
      <c r="H954" t="b">
        <v>0</v>
      </c>
      <c r="I954" t="b">
        <v>0</v>
      </c>
    </row>
    <row r="955" spans="1:9" x14ac:dyDescent="0.2">
      <c r="A955" t="s">
        <v>2964</v>
      </c>
      <c r="B955" t="s">
        <v>3426</v>
      </c>
      <c r="D955" t="b">
        <f>IFERROR(VLOOKUP(B955,PatData!$A$2:$A$2030,1,),"")&lt;&gt;""</f>
        <v>1</v>
      </c>
      <c r="E955" t="s">
        <v>7512</v>
      </c>
      <c r="F955" t="b">
        <v>0</v>
      </c>
      <c r="G955" t="b">
        <v>1</v>
      </c>
      <c r="H955" t="b">
        <v>0</v>
      </c>
      <c r="I955" t="b">
        <v>0</v>
      </c>
    </row>
    <row r="956" spans="1:9" x14ac:dyDescent="0.2">
      <c r="A956" t="s">
        <v>2965</v>
      </c>
      <c r="B956" t="s">
        <v>3427</v>
      </c>
      <c r="D956" t="b">
        <f>IFERROR(VLOOKUP(B956,PatData!$A$2:$A$2030,1,),"")&lt;&gt;""</f>
        <v>1</v>
      </c>
      <c r="E956" t="s">
        <v>7673</v>
      </c>
      <c r="F956" t="b">
        <v>0</v>
      </c>
      <c r="G956" t="b">
        <v>1</v>
      </c>
      <c r="H956" t="b">
        <v>0</v>
      </c>
      <c r="I956" t="b">
        <v>0</v>
      </c>
    </row>
    <row r="957" spans="1:9" x14ac:dyDescent="0.2">
      <c r="A957" t="s">
        <v>2966</v>
      </c>
      <c r="B957" t="s">
        <v>3428</v>
      </c>
      <c r="D957" t="b">
        <f>IFERROR(VLOOKUP(B957,PatData!$A$2:$A$2030,1,),"")&lt;&gt;""</f>
        <v>1</v>
      </c>
      <c r="E957"/>
      <c r="F957" t="b">
        <v>0</v>
      </c>
      <c r="G957" t="b">
        <v>1</v>
      </c>
      <c r="H957" t="b">
        <v>0</v>
      </c>
      <c r="I957" t="b">
        <v>0</v>
      </c>
    </row>
    <row r="958" spans="1:9" x14ac:dyDescent="0.2">
      <c r="A958" t="s">
        <v>2967</v>
      </c>
      <c r="B958" t="s">
        <v>3429</v>
      </c>
      <c r="D958" t="b">
        <f>IFERROR(VLOOKUP(B958,PatData!$A$2:$A$2030,1,),"")&lt;&gt;""</f>
        <v>1</v>
      </c>
      <c r="E958"/>
      <c r="F958" t="b">
        <v>0</v>
      </c>
      <c r="G958" t="b">
        <v>1</v>
      </c>
      <c r="H958" t="b">
        <v>0</v>
      </c>
      <c r="I958" t="b">
        <v>0</v>
      </c>
    </row>
    <row r="959" spans="1:9" x14ac:dyDescent="0.2">
      <c r="A959" t="s">
        <v>2968</v>
      </c>
      <c r="B959" t="s">
        <v>3430</v>
      </c>
      <c r="D959" t="b">
        <f>IFERROR(VLOOKUP(B959,PatData!$A$2:$A$2030,1,),"")&lt;&gt;""</f>
        <v>1</v>
      </c>
      <c r="E959"/>
      <c r="F959" t="b">
        <v>0</v>
      </c>
      <c r="G959" t="b">
        <v>1</v>
      </c>
      <c r="H959" t="b">
        <v>0</v>
      </c>
      <c r="I959" t="b">
        <v>0</v>
      </c>
    </row>
    <row r="960" spans="1:9" x14ac:dyDescent="0.2">
      <c r="A960" t="s">
        <v>2969</v>
      </c>
      <c r="B960" t="s">
        <v>3431</v>
      </c>
      <c r="D960" t="b">
        <f>IFERROR(VLOOKUP(B960,PatData!$A$2:$A$2030,1,),"")&lt;&gt;""</f>
        <v>1</v>
      </c>
      <c r="E960"/>
      <c r="F960" t="b">
        <v>0</v>
      </c>
      <c r="G960" t="b">
        <v>1</v>
      </c>
      <c r="H960" t="b">
        <v>0</v>
      </c>
      <c r="I960" t="b">
        <v>0</v>
      </c>
    </row>
    <row r="961" spans="1:9" x14ac:dyDescent="0.2">
      <c r="A961" t="s">
        <v>2970</v>
      </c>
      <c r="B961" t="s">
        <v>3432</v>
      </c>
      <c r="D961" t="b">
        <f>IFERROR(VLOOKUP(B961,PatData!$A$2:$A$2030,1,),"")&lt;&gt;""</f>
        <v>1</v>
      </c>
      <c r="E961"/>
      <c r="F961" t="b">
        <v>0</v>
      </c>
      <c r="G961" t="b">
        <v>1</v>
      </c>
      <c r="H961" t="b">
        <v>0</v>
      </c>
      <c r="I961" t="b">
        <v>0</v>
      </c>
    </row>
    <row r="962" spans="1:9" x14ac:dyDescent="0.2">
      <c r="A962" t="s">
        <v>2971</v>
      </c>
      <c r="B962" t="s">
        <v>3433</v>
      </c>
      <c r="D962" t="b">
        <f>IFERROR(VLOOKUP(B962,PatData!$A$2:$A$2030,1,),"")&lt;&gt;""</f>
        <v>1</v>
      </c>
      <c r="E962"/>
      <c r="F962" t="b">
        <v>0</v>
      </c>
      <c r="G962" t="b">
        <v>1</v>
      </c>
      <c r="H962" t="b">
        <v>0</v>
      </c>
      <c r="I962" t="b">
        <v>0</v>
      </c>
    </row>
    <row r="963" spans="1:9" x14ac:dyDescent="0.2">
      <c r="A963" t="s">
        <v>2972</v>
      </c>
      <c r="B963" t="s">
        <v>3434</v>
      </c>
      <c r="D963" t="b">
        <f>IFERROR(VLOOKUP(B963,PatData!$A$2:$A$2030,1,),"")&lt;&gt;""</f>
        <v>1</v>
      </c>
      <c r="E963"/>
      <c r="F963" t="b">
        <v>0</v>
      </c>
      <c r="G963" t="b">
        <v>1</v>
      </c>
      <c r="H963" t="b">
        <v>0</v>
      </c>
      <c r="I963" t="b">
        <v>0</v>
      </c>
    </row>
    <row r="964" spans="1:9" x14ac:dyDescent="0.2">
      <c r="A964" t="s">
        <v>2973</v>
      </c>
      <c r="B964" t="s">
        <v>3435</v>
      </c>
      <c r="D964" t="b">
        <f>IFERROR(VLOOKUP(B964,PatData!$A$2:$A$2030,1,),"")&lt;&gt;""</f>
        <v>1</v>
      </c>
      <c r="E964"/>
      <c r="F964" t="b">
        <v>0</v>
      </c>
      <c r="G964" t="b">
        <v>1</v>
      </c>
      <c r="H964" t="b">
        <v>0</v>
      </c>
      <c r="I964" t="b">
        <v>0</v>
      </c>
    </row>
    <row r="965" spans="1:9" x14ac:dyDescent="0.2">
      <c r="A965" t="s">
        <v>2974</v>
      </c>
      <c r="B965" t="s">
        <v>3436</v>
      </c>
      <c r="D965" t="b">
        <f>IFERROR(VLOOKUP(B965,PatData!$A$2:$A$2030,1,),"")&lt;&gt;""</f>
        <v>1</v>
      </c>
      <c r="E965"/>
      <c r="F965" t="b">
        <v>0</v>
      </c>
      <c r="G965" t="b">
        <v>1</v>
      </c>
      <c r="H965" t="b">
        <v>0</v>
      </c>
      <c r="I965" t="b">
        <v>0</v>
      </c>
    </row>
    <row r="966" spans="1:9" x14ac:dyDescent="0.2">
      <c r="A966" t="s">
        <v>2975</v>
      </c>
      <c r="B966" t="s">
        <v>3437</v>
      </c>
      <c r="D966" t="b">
        <f>IFERROR(VLOOKUP(B966,PatData!$A$2:$A$2030,1,),"")&lt;&gt;""</f>
        <v>1</v>
      </c>
      <c r="E966"/>
      <c r="F966" t="b">
        <v>0</v>
      </c>
      <c r="G966" t="b">
        <v>1</v>
      </c>
      <c r="H966" t="b">
        <v>0</v>
      </c>
      <c r="I966" t="b">
        <v>0</v>
      </c>
    </row>
    <row r="967" spans="1:9" x14ac:dyDescent="0.2">
      <c r="A967" t="s">
        <v>2976</v>
      </c>
      <c r="B967" t="s">
        <v>3438</v>
      </c>
      <c r="D967" t="b">
        <f>IFERROR(VLOOKUP(B967,PatData!$A$2:$A$2030,1,),"")&lt;&gt;""</f>
        <v>1</v>
      </c>
      <c r="E967"/>
      <c r="F967" t="b">
        <v>0</v>
      </c>
      <c r="G967" t="b">
        <v>1</v>
      </c>
      <c r="H967" t="b">
        <v>0</v>
      </c>
      <c r="I967" t="b">
        <v>0</v>
      </c>
    </row>
    <row r="968" spans="1:9" x14ac:dyDescent="0.2">
      <c r="A968" t="s">
        <v>2977</v>
      </c>
      <c r="B968" t="s">
        <v>3439</v>
      </c>
      <c r="D968" t="b">
        <f>IFERROR(VLOOKUP(B968,PatData!$A$2:$A$2030,1,),"")&lt;&gt;""</f>
        <v>1</v>
      </c>
      <c r="E968"/>
      <c r="F968" t="b">
        <v>0</v>
      </c>
      <c r="G968" t="b">
        <v>1</v>
      </c>
      <c r="H968" t="b">
        <v>0</v>
      </c>
      <c r="I968" t="b">
        <v>0</v>
      </c>
    </row>
    <row r="969" spans="1:9" x14ac:dyDescent="0.2">
      <c r="A969" t="s">
        <v>2978</v>
      </c>
      <c r="B969" t="s">
        <v>3440</v>
      </c>
      <c r="D969" t="b">
        <f>IFERROR(VLOOKUP(B969,PatData!$A$2:$A$2030,1,),"")&lt;&gt;""</f>
        <v>1</v>
      </c>
      <c r="E969"/>
      <c r="F969" t="b">
        <v>0</v>
      </c>
      <c r="G969" t="b">
        <v>1</v>
      </c>
      <c r="H969" t="b">
        <v>0</v>
      </c>
      <c r="I969" t="b">
        <v>0</v>
      </c>
    </row>
    <row r="970" spans="1:9" x14ac:dyDescent="0.2">
      <c r="A970" t="s">
        <v>2979</v>
      </c>
      <c r="B970" t="s">
        <v>3441</v>
      </c>
      <c r="D970" t="b">
        <f>IFERROR(VLOOKUP(B970,PatData!$A$2:$A$2030,1,),"")&lt;&gt;""</f>
        <v>1</v>
      </c>
      <c r="E970"/>
      <c r="F970" t="b">
        <v>0</v>
      </c>
      <c r="G970" t="b">
        <v>1</v>
      </c>
      <c r="H970" t="b">
        <v>0</v>
      </c>
      <c r="I970" t="b">
        <v>0</v>
      </c>
    </row>
    <row r="971" spans="1:9" x14ac:dyDescent="0.2">
      <c r="A971" t="s">
        <v>2980</v>
      </c>
      <c r="B971" t="s">
        <v>3442</v>
      </c>
      <c r="D971" t="b">
        <f>IFERROR(VLOOKUP(B971,PatData!$A$2:$A$2030,1,),"")&lt;&gt;""</f>
        <v>1</v>
      </c>
      <c r="E971"/>
      <c r="F971" t="b">
        <v>0</v>
      </c>
      <c r="G971" t="b">
        <v>1</v>
      </c>
      <c r="H971" t="b">
        <v>0</v>
      </c>
      <c r="I971" t="b">
        <v>0</v>
      </c>
    </row>
    <row r="972" spans="1:9" x14ac:dyDescent="0.2">
      <c r="A972" t="s">
        <v>2981</v>
      </c>
      <c r="B972" t="s">
        <v>3443</v>
      </c>
      <c r="D972" t="b">
        <f>IFERROR(VLOOKUP(B972,PatData!$A$2:$A$2030,1,),"")&lt;&gt;""</f>
        <v>1</v>
      </c>
      <c r="E972"/>
      <c r="F972" t="b">
        <v>0</v>
      </c>
      <c r="G972" t="b">
        <v>1</v>
      </c>
      <c r="H972" t="b">
        <v>0</v>
      </c>
      <c r="I972" t="b">
        <v>0</v>
      </c>
    </row>
    <row r="973" spans="1:9" x14ac:dyDescent="0.2">
      <c r="A973" t="s">
        <v>2982</v>
      </c>
      <c r="B973" t="s">
        <v>3444</v>
      </c>
      <c r="D973" t="b">
        <f>IFERROR(VLOOKUP(B973,PatData!$A$2:$A$2030,1,),"")&lt;&gt;""</f>
        <v>1</v>
      </c>
      <c r="E973"/>
      <c r="F973" t="b">
        <v>0</v>
      </c>
      <c r="G973" t="b">
        <v>1</v>
      </c>
      <c r="H973" t="b">
        <v>0</v>
      </c>
      <c r="I973" t="b">
        <v>0</v>
      </c>
    </row>
    <row r="974" spans="1:9" x14ac:dyDescent="0.2">
      <c r="A974" t="s">
        <v>2983</v>
      </c>
      <c r="B974" t="s">
        <v>3445</v>
      </c>
      <c r="D974" t="b">
        <f>IFERROR(VLOOKUP(B974,PatData!$A$2:$A$2030,1,),"")&lt;&gt;""</f>
        <v>1</v>
      </c>
      <c r="E974"/>
      <c r="F974" t="b">
        <v>0</v>
      </c>
      <c r="G974" t="b">
        <v>1</v>
      </c>
      <c r="H974" t="b">
        <v>0</v>
      </c>
      <c r="I974" t="b">
        <v>0</v>
      </c>
    </row>
    <row r="975" spans="1:9" x14ac:dyDescent="0.2">
      <c r="A975" t="s">
        <v>2984</v>
      </c>
      <c r="B975" t="s">
        <v>3446</v>
      </c>
      <c r="D975" t="b">
        <f>IFERROR(VLOOKUP(B975,PatData!$A$2:$A$2030,1,),"")&lt;&gt;""</f>
        <v>1</v>
      </c>
      <c r="E975"/>
      <c r="F975" t="b">
        <v>0</v>
      </c>
      <c r="G975" t="b">
        <v>1</v>
      </c>
      <c r="H975" t="b">
        <v>0</v>
      </c>
      <c r="I975" t="b">
        <v>0</v>
      </c>
    </row>
    <row r="976" spans="1:9" x14ac:dyDescent="0.2">
      <c r="A976" t="s">
        <v>2985</v>
      </c>
      <c r="B976" t="s">
        <v>3447</v>
      </c>
      <c r="D976" t="b">
        <f>IFERROR(VLOOKUP(B976,PatData!$A$2:$A$2030,1,),"")&lt;&gt;""</f>
        <v>1</v>
      </c>
      <c r="E976"/>
      <c r="F976" t="b">
        <v>0</v>
      </c>
      <c r="G976" t="b">
        <v>1</v>
      </c>
      <c r="H976" t="b">
        <v>0</v>
      </c>
      <c r="I976" t="b">
        <v>0</v>
      </c>
    </row>
    <row r="977" spans="1:9" x14ac:dyDescent="0.2">
      <c r="A977" t="s">
        <v>2986</v>
      </c>
      <c r="B977" t="s">
        <v>3448</v>
      </c>
      <c r="D977" t="b">
        <f>IFERROR(VLOOKUP(B977,PatData!$A$2:$A$2030,1,),"")&lt;&gt;""</f>
        <v>1</v>
      </c>
      <c r="E977"/>
      <c r="F977" t="b">
        <v>0</v>
      </c>
      <c r="G977" t="b">
        <v>1</v>
      </c>
      <c r="H977" t="b">
        <v>0</v>
      </c>
      <c r="I977" t="b">
        <v>0</v>
      </c>
    </row>
    <row r="978" spans="1:9" x14ac:dyDescent="0.2">
      <c r="A978" t="s">
        <v>2987</v>
      </c>
      <c r="B978" t="s">
        <v>3449</v>
      </c>
      <c r="D978" t="b">
        <f>IFERROR(VLOOKUP(B978,PatData!$A$2:$A$2030,1,),"")&lt;&gt;""</f>
        <v>1</v>
      </c>
      <c r="E978"/>
      <c r="F978" t="b">
        <v>0</v>
      </c>
      <c r="G978" t="b">
        <v>1</v>
      </c>
      <c r="H978" t="b">
        <v>0</v>
      </c>
      <c r="I978" t="b">
        <v>0</v>
      </c>
    </row>
    <row r="979" spans="1:9" x14ac:dyDescent="0.2">
      <c r="A979" t="s">
        <v>2988</v>
      </c>
      <c r="B979" t="s">
        <v>3450</v>
      </c>
      <c r="D979" t="b">
        <f>IFERROR(VLOOKUP(B979,PatData!$A$2:$A$2030,1,),"")&lt;&gt;""</f>
        <v>1</v>
      </c>
      <c r="E979"/>
      <c r="F979" t="b">
        <v>0</v>
      </c>
      <c r="G979" t="b">
        <v>1</v>
      </c>
      <c r="H979" t="b">
        <v>0</v>
      </c>
      <c r="I979" t="b">
        <v>0</v>
      </c>
    </row>
    <row r="980" spans="1:9" x14ac:dyDescent="0.2">
      <c r="A980" t="s">
        <v>2989</v>
      </c>
      <c r="B980" t="s">
        <v>3451</v>
      </c>
      <c r="D980" t="b">
        <f>IFERROR(VLOOKUP(B980,PatData!$A$2:$A$2030,1,),"")&lt;&gt;""</f>
        <v>1</v>
      </c>
      <c r="E980"/>
      <c r="F980" t="b">
        <v>0</v>
      </c>
      <c r="G980" t="b">
        <v>1</v>
      </c>
      <c r="H980" t="b">
        <v>0</v>
      </c>
      <c r="I980" t="b">
        <v>0</v>
      </c>
    </row>
    <row r="981" spans="1:9" x14ac:dyDescent="0.2">
      <c r="A981" t="s">
        <v>2990</v>
      </c>
      <c r="B981" t="s">
        <v>3452</v>
      </c>
      <c r="D981" t="b">
        <f>IFERROR(VLOOKUP(B981,PatData!$A$2:$A$2030,1,),"")&lt;&gt;""</f>
        <v>1</v>
      </c>
      <c r="E981"/>
      <c r="F981" t="b">
        <v>0</v>
      </c>
      <c r="G981" t="b">
        <v>1</v>
      </c>
      <c r="H981" t="b">
        <v>0</v>
      </c>
      <c r="I981" t="b">
        <v>0</v>
      </c>
    </row>
    <row r="982" spans="1:9" x14ac:dyDescent="0.2">
      <c r="A982" t="s">
        <v>2991</v>
      </c>
      <c r="B982" t="s">
        <v>3453</v>
      </c>
      <c r="D982" t="b">
        <f>IFERROR(VLOOKUP(B982,PatData!$A$2:$A$2030,1,),"")&lt;&gt;""</f>
        <v>1</v>
      </c>
      <c r="E982"/>
      <c r="F982" t="b">
        <v>0</v>
      </c>
      <c r="G982" t="b">
        <v>1</v>
      </c>
      <c r="H982" t="b">
        <v>0</v>
      </c>
      <c r="I982" t="b">
        <v>0</v>
      </c>
    </row>
    <row r="983" spans="1:9" x14ac:dyDescent="0.2">
      <c r="A983" t="s">
        <v>2992</v>
      </c>
      <c r="B983" t="s">
        <v>3454</v>
      </c>
      <c r="D983" t="b">
        <f>IFERROR(VLOOKUP(B983,PatData!$A$2:$A$2030,1,),"")&lt;&gt;""</f>
        <v>1</v>
      </c>
      <c r="E983"/>
      <c r="F983" t="b">
        <v>0</v>
      </c>
      <c r="G983" t="b">
        <v>1</v>
      </c>
      <c r="H983" t="b">
        <v>0</v>
      </c>
      <c r="I983" t="b">
        <v>0</v>
      </c>
    </row>
    <row r="984" spans="1:9" x14ac:dyDescent="0.2">
      <c r="A984" t="s">
        <v>4089</v>
      </c>
      <c r="B984" t="s">
        <v>4090</v>
      </c>
      <c r="D984" t="b">
        <f>IFERROR(VLOOKUP(B984,PatData!$A$2:$A$2030,1,),"")&lt;&gt;""</f>
        <v>1</v>
      </c>
      <c r="E984">
        <v>0</v>
      </c>
      <c r="F984" t="b">
        <v>0</v>
      </c>
      <c r="G984" t="b">
        <v>1</v>
      </c>
      <c r="H984" t="b">
        <v>0</v>
      </c>
      <c r="I984" t="b">
        <v>0</v>
      </c>
    </row>
    <row r="985" spans="1:9" x14ac:dyDescent="0.2">
      <c r="A985" t="s">
        <v>4091</v>
      </c>
      <c r="B985" t="s">
        <v>4092</v>
      </c>
      <c r="D985" t="b">
        <f>IFERROR(VLOOKUP(B985,PatData!$A$2:$A$2030,1,),"")&lt;&gt;""</f>
        <v>1</v>
      </c>
      <c r="E985">
        <v>0</v>
      </c>
      <c r="F985" t="b">
        <v>0</v>
      </c>
      <c r="G985" t="b">
        <v>1</v>
      </c>
      <c r="H985" t="b">
        <v>0</v>
      </c>
      <c r="I985" t="b">
        <v>0</v>
      </c>
    </row>
    <row r="986" spans="1:9" x14ac:dyDescent="0.2">
      <c r="A986" t="s">
        <v>4093</v>
      </c>
      <c r="B986" t="s">
        <v>4094</v>
      </c>
      <c r="D986" t="b">
        <f>IFERROR(VLOOKUP(B986,PatData!$A$2:$A$2030,1,),"")&lt;&gt;""</f>
        <v>1</v>
      </c>
      <c r="E986">
        <v>0</v>
      </c>
      <c r="F986" t="b">
        <v>0</v>
      </c>
      <c r="G986" t="b">
        <v>1</v>
      </c>
      <c r="H986" t="b">
        <v>0</v>
      </c>
      <c r="I986" t="b">
        <v>0</v>
      </c>
    </row>
    <row r="987" spans="1:9" x14ac:dyDescent="0.2">
      <c r="A987" t="s">
        <v>4095</v>
      </c>
      <c r="B987" t="s">
        <v>4096</v>
      </c>
      <c r="D987" t="b">
        <f>IFERROR(VLOOKUP(B987,PatData!$A$2:$A$2030,1,),"")&lt;&gt;""</f>
        <v>1</v>
      </c>
      <c r="E987">
        <v>0</v>
      </c>
      <c r="F987" t="b">
        <v>0</v>
      </c>
      <c r="G987" t="b">
        <v>1</v>
      </c>
      <c r="H987" t="b">
        <v>0</v>
      </c>
      <c r="I987" t="b">
        <v>0</v>
      </c>
    </row>
    <row r="988" spans="1:9" x14ac:dyDescent="0.2">
      <c r="A988" t="s">
        <v>4097</v>
      </c>
      <c r="B988" t="s">
        <v>4098</v>
      </c>
      <c r="D988" t="b">
        <f>IFERROR(VLOOKUP(B988,PatData!$A$2:$A$2030,1,),"")&lt;&gt;""</f>
        <v>1</v>
      </c>
      <c r="E988">
        <v>0</v>
      </c>
      <c r="F988" t="b">
        <v>0</v>
      </c>
      <c r="G988" t="b">
        <v>1</v>
      </c>
      <c r="H988" t="b">
        <v>0</v>
      </c>
      <c r="I988" t="b">
        <v>0</v>
      </c>
    </row>
    <row r="989" spans="1:9" x14ac:dyDescent="0.2">
      <c r="A989" t="s">
        <v>4099</v>
      </c>
      <c r="B989" t="s">
        <v>4100</v>
      </c>
      <c r="D989" t="b">
        <f>IFERROR(VLOOKUP(B989,PatData!$A$2:$A$2030,1,),"")&lt;&gt;""</f>
        <v>1</v>
      </c>
      <c r="E989">
        <v>0</v>
      </c>
      <c r="F989" t="b">
        <v>0</v>
      </c>
      <c r="G989" t="b">
        <v>1</v>
      </c>
      <c r="H989" t="b">
        <v>0</v>
      </c>
      <c r="I989" t="b">
        <v>0</v>
      </c>
    </row>
    <row r="990" spans="1:9" x14ac:dyDescent="0.2">
      <c r="A990" t="s">
        <v>4101</v>
      </c>
      <c r="B990" t="s">
        <v>4102</v>
      </c>
      <c r="D990" t="b">
        <f>IFERROR(VLOOKUP(B990,PatData!$A$2:$A$2030,1,),"")&lt;&gt;""</f>
        <v>1</v>
      </c>
      <c r="E990">
        <v>0</v>
      </c>
      <c r="F990" t="b">
        <v>0</v>
      </c>
      <c r="G990" t="b">
        <v>1</v>
      </c>
      <c r="H990" t="b">
        <v>0</v>
      </c>
      <c r="I990" t="b">
        <v>0</v>
      </c>
    </row>
    <row r="991" spans="1:9" x14ac:dyDescent="0.2">
      <c r="A991" t="s">
        <v>4103</v>
      </c>
      <c r="B991" t="s">
        <v>4104</v>
      </c>
      <c r="D991" t="b">
        <f>IFERROR(VLOOKUP(B991,PatData!$A$2:$A$2030,1,),"")&lt;&gt;""</f>
        <v>1</v>
      </c>
      <c r="E991">
        <v>0</v>
      </c>
      <c r="F991" t="b">
        <v>0</v>
      </c>
      <c r="G991" t="b">
        <v>1</v>
      </c>
      <c r="H991" t="b">
        <v>0</v>
      </c>
      <c r="I991" t="b">
        <v>0</v>
      </c>
    </row>
    <row r="992" spans="1:9" x14ac:dyDescent="0.2">
      <c r="A992" t="s">
        <v>4105</v>
      </c>
      <c r="B992" t="s">
        <v>4106</v>
      </c>
      <c r="D992" t="b">
        <f>IFERROR(VLOOKUP(B992,PatData!$A$2:$A$2030,1,),"")&lt;&gt;""</f>
        <v>1</v>
      </c>
      <c r="E992">
        <v>0</v>
      </c>
      <c r="F992" t="b">
        <v>0</v>
      </c>
      <c r="G992" t="b">
        <v>1</v>
      </c>
      <c r="H992" t="b">
        <v>0</v>
      </c>
      <c r="I992" t="b">
        <v>0</v>
      </c>
    </row>
    <row r="993" spans="1:9" x14ac:dyDescent="0.2">
      <c r="A993" t="s">
        <v>4107</v>
      </c>
      <c r="B993" t="s">
        <v>4108</v>
      </c>
      <c r="D993" t="b">
        <f>IFERROR(VLOOKUP(B993,PatData!$A$2:$A$2030,1,),"")&lt;&gt;""</f>
        <v>1</v>
      </c>
      <c r="E993">
        <v>0</v>
      </c>
      <c r="F993" t="b">
        <v>0</v>
      </c>
      <c r="G993" t="b">
        <v>1</v>
      </c>
      <c r="H993" t="b">
        <v>0</v>
      </c>
      <c r="I993" t="b">
        <v>0</v>
      </c>
    </row>
    <row r="994" spans="1:9" x14ac:dyDescent="0.2">
      <c r="A994" t="s">
        <v>4109</v>
      </c>
      <c r="B994" t="s">
        <v>4110</v>
      </c>
      <c r="D994" t="b">
        <f>IFERROR(VLOOKUP(B994,PatData!$A$2:$A$2030,1,),"")&lt;&gt;""</f>
        <v>1</v>
      </c>
      <c r="E994">
        <v>0</v>
      </c>
      <c r="F994" t="b">
        <v>0</v>
      </c>
      <c r="G994" t="b">
        <v>1</v>
      </c>
      <c r="H994" t="b">
        <v>0</v>
      </c>
      <c r="I994" t="b">
        <v>0</v>
      </c>
    </row>
    <row r="995" spans="1:9" x14ac:dyDescent="0.2">
      <c r="A995" t="s">
        <v>4111</v>
      </c>
      <c r="B995" t="s">
        <v>4112</v>
      </c>
      <c r="D995" t="b">
        <f>IFERROR(VLOOKUP(B995,PatData!$A$2:$A$2030,1,),"")&lt;&gt;""</f>
        <v>1</v>
      </c>
      <c r="E995">
        <v>0</v>
      </c>
      <c r="F995" t="b">
        <v>0</v>
      </c>
      <c r="G995" t="b">
        <v>1</v>
      </c>
      <c r="H995" t="b">
        <v>0</v>
      </c>
      <c r="I995" t="b">
        <v>0</v>
      </c>
    </row>
    <row r="996" spans="1:9" x14ac:dyDescent="0.2">
      <c r="A996" t="s">
        <v>3505</v>
      </c>
      <c r="B996" t="s">
        <v>3806</v>
      </c>
      <c r="D996" t="b">
        <f>IFERROR(VLOOKUP(B996,PatData!$A$2:$A$2030,1,),"")&lt;&gt;""</f>
        <v>1</v>
      </c>
      <c r="E996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4113</v>
      </c>
      <c r="B997" t="s">
        <v>4447</v>
      </c>
      <c r="D997" t="b">
        <f>IFERROR(VLOOKUP(B997,PatData!$A$2:$A$2030,1,),"")&lt;&gt;""</f>
        <v>1</v>
      </c>
      <c r="E997">
        <v>1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3506</v>
      </c>
      <c r="B998" t="s">
        <v>4448</v>
      </c>
      <c r="D998" t="b">
        <f>IFERROR(VLOOKUP(B998,PatData!$A$2:$A$2030,1,),"")&lt;&gt;""</f>
        <v>1</v>
      </c>
      <c r="E998">
        <v>1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3507</v>
      </c>
      <c r="B999" t="s">
        <v>4449</v>
      </c>
      <c r="D999" t="b">
        <f>IFERROR(VLOOKUP(B999,PatData!$A$2:$A$2030,1,),"")&lt;&gt;""</f>
        <v>1</v>
      </c>
      <c r="E999">
        <v>1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3508</v>
      </c>
      <c r="B1000" t="s">
        <v>4450</v>
      </c>
      <c r="D1000" t="b">
        <f>IFERROR(VLOOKUP(B1000,PatData!$A$2:$A$2030,1,),"")&lt;&gt;""</f>
        <v>1</v>
      </c>
      <c r="E1000">
        <v>1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3509</v>
      </c>
      <c r="B1001" t="s">
        <v>4451</v>
      </c>
      <c r="D1001" t="b">
        <f>IFERROR(VLOOKUP(B1001,PatData!$A$2:$A$2030,1,),"")&lt;&gt;""</f>
        <v>1</v>
      </c>
      <c r="E1001">
        <v>1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3510</v>
      </c>
      <c r="B1002" t="s">
        <v>4452</v>
      </c>
      <c r="D1002" t="b">
        <f>IFERROR(VLOOKUP(B1002,PatData!$A$2:$A$2030,1,),"")&lt;&gt;""</f>
        <v>1</v>
      </c>
      <c r="E1002">
        <v>1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3511</v>
      </c>
      <c r="B1003" t="s">
        <v>4453</v>
      </c>
      <c r="D1003" t="b">
        <f>IFERROR(VLOOKUP(B1003,PatData!$A$2:$A$2030,1,),"")&lt;&gt;""</f>
        <v>1</v>
      </c>
      <c r="E1003">
        <v>1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3512</v>
      </c>
      <c r="B1004" t="s">
        <v>4454</v>
      </c>
      <c r="D1004" t="b">
        <f>IFERROR(VLOOKUP(B1004,PatData!$A$2:$A$2030,1,),"")&lt;&gt;""</f>
        <v>1</v>
      </c>
      <c r="E1004">
        <v>1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3513</v>
      </c>
      <c r="B1005" t="s">
        <v>4455</v>
      </c>
      <c r="D1005" t="b">
        <f>IFERROR(VLOOKUP(B1005,PatData!$A$2:$A$2030,1,),"")&lt;&gt;""</f>
        <v>1</v>
      </c>
      <c r="E1005">
        <v>1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3514</v>
      </c>
      <c r="B1006" t="s">
        <v>4456</v>
      </c>
      <c r="D1006" t="b">
        <f>IFERROR(VLOOKUP(B1006,PatData!$A$2:$A$2030,1,),"")&lt;&gt;""</f>
        <v>1</v>
      </c>
      <c r="E1006">
        <v>1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3515</v>
      </c>
      <c r="B1007" t="s">
        <v>4263</v>
      </c>
      <c r="D1007" t="b">
        <f>IFERROR(VLOOKUP(B1007,PatData!$A$2:$A$2030,1,),"")&lt;&gt;""</f>
        <v>1</v>
      </c>
      <c r="E1007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3516</v>
      </c>
      <c r="B1008" t="s">
        <v>4264</v>
      </c>
      <c r="D1008" t="b">
        <f>IFERROR(VLOOKUP(B1008,PatData!$A$2:$A$2030,1,),"")&lt;&gt;""</f>
        <v>1</v>
      </c>
      <c r="E1008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3517</v>
      </c>
      <c r="B1009" t="s">
        <v>4265</v>
      </c>
      <c r="D1009" t="b">
        <f>IFERROR(VLOOKUP(B1009,PatData!$A$2:$A$2030,1,),"")&lt;&gt;""</f>
        <v>1</v>
      </c>
      <c r="E1009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3518</v>
      </c>
      <c r="B1010" t="s">
        <v>4266</v>
      </c>
      <c r="D1010" t="b">
        <f>IFERROR(VLOOKUP(B1010,PatData!$A$2:$A$2030,1,),"")&lt;&gt;""</f>
        <v>1</v>
      </c>
      <c r="E1010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3519</v>
      </c>
      <c r="B1011" t="s">
        <v>4267</v>
      </c>
      <c r="D1011" t="b">
        <f>IFERROR(VLOOKUP(B1011,PatData!$A$2:$A$2030,1,),"")&lt;&gt;""</f>
        <v>1</v>
      </c>
      <c r="E1011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3520</v>
      </c>
      <c r="B1012" t="s">
        <v>4268</v>
      </c>
      <c r="D1012" t="b">
        <f>IFERROR(VLOOKUP(B1012,PatData!$A$2:$A$2030,1,),"")&lt;&gt;""</f>
        <v>1</v>
      </c>
      <c r="E1012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3521</v>
      </c>
      <c r="B1013" t="s">
        <v>4269</v>
      </c>
      <c r="D1013" t="b">
        <f>IFERROR(VLOOKUP(B1013,PatData!$A$2:$A$2030,1,),"")&lt;&gt;""</f>
        <v>1</v>
      </c>
      <c r="E1013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3522</v>
      </c>
      <c r="B1014" t="s">
        <v>4270</v>
      </c>
      <c r="D1014" t="b">
        <f>IFERROR(VLOOKUP(B1014,PatData!$A$2:$A$2030,1,),"")&lt;&gt;""</f>
        <v>1</v>
      </c>
      <c r="E1014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3523</v>
      </c>
      <c r="B1015" t="s">
        <v>4271</v>
      </c>
      <c r="D1015" t="b">
        <f>IFERROR(VLOOKUP(B1015,PatData!$A$2:$A$2030,1,),"")&lt;&gt;""</f>
        <v>1</v>
      </c>
      <c r="E1015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3524</v>
      </c>
      <c r="B1016" t="s">
        <v>4272</v>
      </c>
      <c r="D1016" t="b">
        <f>IFERROR(VLOOKUP(B1016,PatData!$A$2:$A$2030,1,),"")&lt;&gt;""</f>
        <v>1</v>
      </c>
      <c r="E1016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3525</v>
      </c>
      <c r="B1017" t="s">
        <v>3807</v>
      </c>
      <c r="D1017" t="b">
        <f>IFERROR(VLOOKUP(B1017,PatData!$A$2:$A$2030,1,),"")&lt;&gt;""</f>
        <v>1</v>
      </c>
      <c r="E1017"/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3526</v>
      </c>
      <c r="B1018" t="s">
        <v>3808</v>
      </c>
      <c r="D1018" t="b">
        <f>IFERROR(VLOOKUP(B1018,PatData!$A$2:$A$2030,1,),"")&lt;&gt;""</f>
        <v>1</v>
      </c>
      <c r="E1018"/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3527</v>
      </c>
      <c r="B1019" t="s">
        <v>4273</v>
      </c>
      <c r="D1019" t="b">
        <f>IFERROR(VLOOKUP(B1019,PatData!$A$2:$A$2030,1,),"")&lt;&gt;""</f>
        <v>1</v>
      </c>
      <c r="E1019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3528</v>
      </c>
      <c r="B1020" t="s">
        <v>4274</v>
      </c>
      <c r="D1020" t="b">
        <f>IFERROR(VLOOKUP(B1020,PatData!$A$2:$A$2030,1,),"")&lt;&gt;""</f>
        <v>1</v>
      </c>
      <c r="E1020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3529</v>
      </c>
      <c r="B1021" t="s">
        <v>4275</v>
      </c>
      <c r="D1021" t="b">
        <f>IFERROR(VLOOKUP(B1021,PatData!$A$2:$A$2030,1,),"")&lt;&gt;""</f>
        <v>1</v>
      </c>
      <c r="E1021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3530</v>
      </c>
      <c r="B1022" t="s">
        <v>4276</v>
      </c>
      <c r="D1022" t="b">
        <f>IFERROR(VLOOKUP(B1022,PatData!$A$2:$A$2030,1,),"")&lt;&gt;""</f>
        <v>1</v>
      </c>
      <c r="E1022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3531</v>
      </c>
      <c r="B1023" t="s">
        <v>4277</v>
      </c>
      <c r="D1023" t="b">
        <f>IFERROR(VLOOKUP(B1023,PatData!$A$2:$A$2030,1,),"")&lt;&gt;""</f>
        <v>1</v>
      </c>
      <c r="E1023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3532</v>
      </c>
      <c r="B1024" t="s">
        <v>4278</v>
      </c>
      <c r="D1024" t="b">
        <f>IFERROR(VLOOKUP(B1024,PatData!$A$2:$A$2030,1,),"")&lt;&gt;""</f>
        <v>1</v>
      </c>
      <c r="E1024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3533</v>
      </c>
      <c r="B1025" t="s">
        <v>4279</v>
      </c>
      <c r="D1025" t="b">
        <f>IFERROR(VLOOKUP(B1025,PatData!$A$2:$A$2030,1,),"")&lt;&gt;""</f>
        <v>1</v>
      </c>
      <c r="E1025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3534</v>
      </c>
      <c r="B1026" t="s">
        <v>4280</v>
      </c>
      <c r="D1026" t="b">
        <f>IFERROR(VLOOKUP(B1026,PatData!$A$2:$A$2030,1,),"")&lt;&gt;""</f>
        <v>1</v>
      </c>
      <c r="E1026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3535</v>
      </c>
      <c r="B1027" t="s">
        <v>4281</v>
      </c>
      <c r="D1027" t="b">
        <f>IFERROR(VLOOKUP(B1027,PatData!$A$2:$A$2030,1,),"")&lt;&gt;""</f>
        <v>1</v>
      </c>
      <c r="E1027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3536</v>
      </c>
      <c r="B1028" t="s">
        <v>4282</v>
      </c>
      <c r="D1028" t="b">
        <f>IFERROR(VLOOKUP(B1028,PatData!$A$2:$A$2030,1,),"")&lt;&gt;""</f>
        <v>1</v>
      </c>
      <c r="E1028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3537</v>
      </c>
      <c r="B1029" t="s">
        <v>3809</v>
      </c>
      <c r="D1029" t="b">
        <f>IFERROR(VLOOKUP(B1029,PatData!$A$2:$A$2030,1,),"")&lt;&gt;""</f>
        <v>1</v>
      </c>
      <c r="E1029">
        <v>1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3538</v>
      </c>
      <c r="B1030" t="s">
        <v>3810</v>
      </c>
      <c r="D1030" t="b">
        <f>IFERROR(VLOOKUP(B1030,PatData!$A$2:$A$2030,1,),"")&lt;&gt;""</f>
        <v>1</v>
      </c>
      <c r="E1030">
        <v>1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3539</v>
      </c>
      <c r="B1031" t="s">
        <v>3811</v>
      </c>
      <c r="D1031" t="b">
        <f>IFERROR(VLOOKUP(B1031,PatData!$A$2:$A$2030,1,),"")&lt;&gt;""</f>
        <v>1</v>
      </c>
      <c r="E1031">
        <v>1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3540</v>
      </c>
      <c r="B1032" t="s">
        <v>3812</v>
      </c>
      <c r="D1032" t="b">
        <f>IFERROR(VLOOKUP(B1032,PatData!$A$2:$A$2030,1,),"")&lt;&gt;""</f>
        <v>1</v>
      </c>
      <c r="E1032">
        <v>1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3541</v>
      </c>
      <c r="B1033" t="s">
        <v>3813</v>
      </c>
      <c r="D1033" t="b">
        <f>IFERROR(VLOOKUP(B1033,PatData!$A$2:$A$2030,1,),"")&lt;&gt;""</f>
        <v>1</v>
      </c>
      <c r="E1033">
        <v>1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3542</v>
      </c>
      <c r="B1034" t="s">
        <v>3814</v>
      </c>
      <c r="D1034" t="b">
        <f>IFERROR(VLOOKUP(B1034,PatData!$A$2:$A$2030,1,),"")&lt;&gt;""</f>
        <v>1</v>
      </c>
      <c r="E1034">
        <v>1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3543</v>
      </c>
      <c r="B1035" t="s">
        <v>3815</v>
      </c>
      <c r="D1035" t="b">
        <f>IFERROR(VLOOKUP(B1035,PatData!$A$2:$A$2030,1,),"")&lt;&gt;""</f>
        <v>1</v>
      </c>
      <c r="E1035">
        <v>1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3544</v>
      </c>
      <c r="B1036" t="s">
        <v>3816</v>
      </c>
      <c r="D1036" t="b">
        <f>IFERROR(VLOOKUP(B1036,PatData!$A$2:$A$2030,1,),"")&lt;&gt;""</f>
        <v>1</v>
      </c>
      <c r="E1036">
        <v>1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3545</v>
      </c>
      <c r="B1037" t="s">
        <v>3817</v>
      </c>
      <c r="D1037" t="b">
        <f>IFERROR(VLOOKUP(B1037,PatData!$A$2:$A$2030,1,),"")&lt;&gt;""</f>
        <v>1</v>
      </c>
      <c r="E1037">
        <v>1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3546</v>
      </c>
      <c r="B1038" t="s">
        <v>3818</v>
      </c>
      <c r="D1038" t="b">
        <f>IFERROR(VLOOKUP(B1038,PatData!$A$2:$A$2030,1,),"")&lt;&gt;""</f>
        <v>1</v>
      </c>
      <c r="E1038">
        <v>1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3547</v>
      </c>
      <c r="B1039" t="s">
        <v>3819</v>
      </c>
      <c r="D1039" t="b">
        <f>IFERROR(VLOOKUP(B1039,PatData!$A$2:$A$2030,1,),"")&lt;&gt;""</f>
        <v>1</v>
      </c>
      <c r="E1039">
        <v>1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3548</v>
      </c>
      <c r="B1040" t="s">
        <v>3820</v>
      </c>
      <c r="D1040" t="b">
        <f>IFERROR(VLOOKUP(B1040,PatData!$A$2:$A$2030,1,),"")&lt;&gt;""</f>
        <v>1</v>
      </c>
      <c r="E1040">
        <v>1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3549</v>
      </c>
      <c r="B1041" t="s">
        <v>4283</v>
      </c>
      <c r="D1041" t="b">
        <f>IFERROR(VLOOKUP(B1041,PatData!$A$2:$A$2030,1,),"")&lt;&gt;""</f>
        <v>1</v>
      </c>
      <c r="E1041">
        <v>1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3550</v>
      </c>
      <c r="B1042" t="s">
        <v>3821</v>
      </c>
      <c r="D1042" t="b">
        <f>IFERROR(VLOOKUP(B1042,PatData!$A$2:$A$2030,1,),"")&lt;&gt;""</f>
        <v>1</v>
      </c>
      <c r="E1042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3551</v>
      </c>
      <c r="B1043" t="s">
        <v>3822</v>
      </c>
      <c r="D1043" t="b">
        <f>IFERROR(VLOOKUP(B1043,PatData!$A$2:$A$2030,1,),"")&lt;&gt;""</f>
        <v>1</v>
      </c>
      <c r="E1043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3552</v>
      </c>
      <c r="B1044" t="s">
        <v>3823</v>
      </c>
      <c r="D1044" t="b">
        <f>IFERROR(VLOOKUP(B1044,PatData!$A$2:$A$2030,1,),"")&lt;&gt;""</f>
        <v>1</v>
      </c>
      <c r="E1044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3553</v>
      </c>
      <c r="B1045" t="s">
        <v>3824</v>
      </c>
      <c r="D1045" t="b">
        <f>IFERROR(VLOOKUP(B1045,PatData!$A$2:$A$2030,1,),"")&lt;&gt;""</f>
        <v>1</v>
      </c>
      <c r="E1045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3554</v>
      </c>
      <c r="B1046" t="s">
        <v>3825</v>
      </c>
      <c r="D1046" t="b">
        <f>IFERROR(VLOOKUP(B1046,PatData!$A$2:$A$2030,1,),"")&lt;&gt;""</f>
        <v>1</v>
      </c>
      <c r="E1046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3555</v>
      </c>
      <c r="B1047" t="s">
        <v>3826</v>
      </c>
      <c r="D1047" t="b">
        <f>IFERROR(VLOOKUP(B1047,PatData!$A$2:$A$2030,1,),"")&lt;&gt;""</f>
        <v>1</v>
      </c>
      <c r="E1047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3556</v>
      </c>
      <c r="B1048" t="s">
        <v>3827</v>
      </c>
      <c r="D1048" t="b">
        <f>IFERROR(VLOOKUP(B1048,PatData!$A$2:$A$2030,1,),"")&lt;&gt;""</f>
        <v>1</v>
      </c>
      <c r="E1048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3557</v>
      </c>
      <c r="B1049" t="s">
        <v>3828</v>
      </c>
      <c r="D1049" t="b">
        <f>IFERROR(VLOOKUP(B1049,PatData!$A$2:$A$2030,1,),"")&lt;&gt;""</f>
        <v>1</v>
      </c>
      <c r="E1049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3558</v>
      </c>
      <c r="B1050" t="s">
        <v>3829</v>
      </c>
      <c r="D1050" t="b">
        <f>IFERROR(VLOOKUP(B1050,PatData!$A$2:$A$2030,1,),"")&lt;&gt;""</f>
        <v>1</v>
      </c>
      <c r="E1050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3559</v>
      </c>
      <c r="B1051" t="s">
        <v>3830</v>
      </c>
      <c r="D1051" t="b">
        <f>IFERROR(VLOOKUP(B1051,PatData!$A$2:$A$2030,1,),"")&lt;&gt;""</f>
        <v>1</v>
      </c>
      <c r="E1051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3560</v>
      </c>
      <c r="B1052" t="s">
        <v>3831</v>
      </c>
      <c r="D1052" t="b">
        <f>IFERROR(VLOOKUP(B1052,PatData!$A$2:$A$2030,1,),"")&lt;&gt;""</f>
        <v>1</v>
      </c>
      <c r="E1052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3561</v>
      </c>
      <c r="B1053" t="s">
        <v>3832</v>
      </c>
      <c r="D1053" t="b">
        <f>IFERROR(VLOOKUP(B1053,PatData!$A$2:$A$2030,1,),"")&lt;&gt;""</f>
        <v>1</v>
      </c>
      <c r="E1053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3562</v>
      </c>
      <c r="B1054" t="s">
        <v>4284</v>
      </c>
      <c r="D1054" t="b">
        <f>IFERROR(VLOOKUP(B1054,PatData!$A$2:$A$2030,1,),"")&lt;&gt;""</f>
        <v>1</v>
      </c>
      <c r="E1054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3563</v>
      </c>
      <c r="B1055" t="s">
        <v>3833</v>
      </c>
      <c r="D1055" t="b">
        <f>IFERROR(VLOOKUP(B1055,PatData!$A$2:$A$2030,1,),"")&lt;&gt;""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3564</v>
      </c>
      <c r="B1056" t="s">
        <v>3834</v>
      </c>
      <c r="D1056" t="b">
        <f>IFERROR(VLOOKUP(B1056,PatData!$A$2:$A$2030,1,),"")&lt;&gt;""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3565</v>
      </c>
      <c r="B1057" t="s">
        <v>3835</v>
      </c>
      <c r="D1057" t="b">
        <f>IFERROR(VLOOKUP(B1057,PatData!$A$2:$A$2030,1,),"")&lt;&gt;""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3566</v>
      </c>
      <c r="B1058" t="s">
        <v>3836</v>
      </c>
      <c r="D1058" t="b">
        <f>IFERROR(VLOOKUP(B1058,PatData!$A$2:$A$2030,1,),"")&lt;&gt;""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3567</v>
      </c>
      <c r="B1059" t="s">
        <v>3837</v>
      </c>
      <c r="D1059" t="b">
        <f>IFERROR(VLOOKUP(B1059,PatData!$A$2:$A$2030,1,),"")&lt;&gt;""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3568</v>
      </c>
      <c r="B1060" t="s">
        <v>3838</v>
      </c>
      <c r="D1060" t="b">
        <f>IFERROR(VLOOKUP(B1060,PatData!$A$2:$A$2030,1,),"")&lt;&gt;""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3569</v>
      </c>
      <c r="B1061" t="s">
        <v>3839</v>
      </c>
      <c r="D1061" t="b">
        <f>IFERROR(VLOOKUP(B1061,PatData!$A$2:$A$2030,1,),"")&lt;&gt;""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3570</v>
      </c>
      <c r="B1062" t="s">
        <v>3840</v>
      </c>
      <c r="D1062" t="b">
        <f>IFERROR(VLOOKUP(B1062,PatData!$A$2:$A$2030,1,),"")&lt;&gt;""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3571</v>
      </c>
      <c r="B1063" t="s">
        <v>3841</v>
      </c>
      <c r="D1063" t="b">
        <f>IFERROR(VLOOKUP(B1063,PatData!$A$2:$A$2030,1,),"")&lt;&gt;""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3572</v>
      </c>
      <c r="B1064" t="s">
        <v>3842</v>
      </c>
      <c r="D1064" t="b">
        <f>IFERROR(VLOOKUP(B1064,PatData!$A$2:$A$2030,1,),"")&lt;&gt;""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3573</v>
      </c>
      <c r="B1065" t="s">
        <v>3843</v>
      </c>
      <c r="D1065" t="b">
        <f>IFERROR(VLOOKUP(B1065,PatData!$A$2:$A$2030,1,),"")&lt;&gt;""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3574</v>
      </c>
      <c r="B1066" t="s">
        <v>3844</v>
      </c>
      <c r="D1066" t="b">
        <f>IFERROR(VLOOKUP(B1066,PatData!$A$2:$A$2030,1,),"")&lt;&gt;""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3575</v>
      </c>
      <c r="B1067" t="s">
        <v>3845</v>
      </c>
      <c r="D1067" t="b">
        <f>IFERROR(VLOOKUP(B1067,PatData!$A$2:$A$2030,1,),"")&lt;&gt;""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3576</v>
      </c>
      <c r="B1068" t="s">
        <v>3846</v>
      </c>
      <c r="D1068" t="b">
        <f>IFERROR(VLOOKUP(B1068,PatData!$A$2:$A$2030,1,),"")&lt;&gt;""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3577</v>
      </c>
      <c r="B1069" t="s">
        <v>4457</v>
      </c>
      <c r="D1069" t="b">
        <f>IFERROR(VLOOKUP(B1069,PatData!$A$2:$A$2030,1,),"")&lt;&gt;""</f>
        <v>1</v>
      </c>
      <c r="E1069">
        <v>2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3578</v>
      </c>
      <c r="B1070" t="s">
        <v>3847</v>
      </c>
      <c r="D1070" t="b">
        <f>IFERROR(VLOOKUP(B1070,PatData!$A$2:$A$2030,1,),"")&lt;&gt;""</f>
        <v>1</v>
      </c>
      <c r="E1070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3579</v>
      </c>
      <c r="B1071" t="s">
        <v>3848</v>
      </c>
      <c r="D1071" t="b">
        <f>IFERROR(VLOOKUP(B1071,PatData!$A$2:$A$2030,1,),"")&lt;&gt;""</f>
        <v>1</v>
      </c>
      <c r="E1071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3580</v>
      </c>
      <c r="B1072" t="s">
        <v>3849</v>
      </c>
      <c r="D1072" t="b">
        <f>IFERROR(VLOOKUP(B1072,PatData!$A$2:$A$2030,1,),"")&lt;&gt;""</f>
        <v>1</v>
      </c>
      <c r="E1072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3581</v>
      </c>
      <c r="B1073" t="s">
        <v>3850</v>
      </c>
      <c r="D1073" t="b">
        <f>IFERROR(VLOOKUP(B1073,PatData!$A$2:$A$2030,1,),"")&lt;&gt;""</f>
        <v>1</v>
      </c>
      <c r="E1073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3582</v>
      </c>
      <c r="B1074" t="s">
        <v>3851</v>
      </c>
      <c r="D1074" t="b">
        <f>IFERROR(VLOOKUP(B1074,PatData!$A$2:$A$2030,1,),"")&lt;&gt;""</f>
        <v>1</v>
      </c>
      <c r="E1074">
        <v>1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3583</v>
      </c>
      <c r="B1075" t="s">
        <v>3852</v>
      </c>
      <c r="D1075" t="b">
        <f>IFERROR(VLOOKUP(B1075,PatData!$A$2:$A$2030,1,),"")&lt;&gt;""</f>
        <v>1</v>
      </c>
      <c r="E1075">
        <v>1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3584</v>
      </c>
      <c r="B1076" t="s">
        <v>3853</v>
      </c>
      <c r="D1076" t="b">
        <f>IFERROR(VLOOKUP(B1076,PatData!$A$2:$A$2030,1,),"")&lt;&gt;""</f>
        <v>1</v>
      </c>
      <c r="E1076">
        <v>1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4114</v>
      </c>
      <c r="B1077" t="s">
        <v>3854</v>
      </c>
      <c r="D1077" t="b">
        <f>IFERROR(VLOOKUP(B1077,PatData!$A$2:$A$2030,1,),"")&lt;&gt;""</f>
        <v>1</v>
      </c>
      <c r="E1077">
        <v>1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4115</v>
      </c>
      <c r="B1078" t="s">
        <v>3855</v>
      </c>
      <c r="D1078" t="b">
        <f>IFERROR(VLOOKUP(B1078,PatData!$A$2:$A$2030,1,),"")&lt;&gt;""</f>
        <v>1</v>
      </c>
      <c r="E1078">
        <v>1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3585</v>
      </c>
      <c r="B1079" t="s">
        <v>3856</v>
      </c>
      <c r="D1079" t="b">
        <f>IFERROR(VLOOKUP(B1079,PatData!$A$2:$A$2030,1,),"")&lt;&gt;""</f>
        <v>1</v>
      </c>
      <c r="E1079">
        <v>1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3586</v>
      </c>
      <c r="B1080" t="s">
        <v>3857</v>
      </c>
      <c r="D1080" t="b">
        <f>IFERROR(VLOOKUP(B1080,PatData!$A$2:$A$2030,1,),"")&lt;&gt;""</f>
        <v>1</v>
      </c>
      <c r="E1080">
        <v>1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3587</v>
      </c>
      <c r="B1081" t="s">
        <v>3858</v>
      </c>
      <c r="D1081" t="b">
        <f>IFERROR(VLOOKUP(B1081,PatData!$A$2:$A$2030,1,),"")&lt;&gt;""</f>
        <v>1</v>
      </c>
      <c r="E1081">
        <v>1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3588</v>
      </c>
      <c r="B1082" t="s">
        <v>3859</v>
      </c>
      <c r="D1082" t="b">
        <f>IFERROR(VLOOKUP(B1082,PatData!$A$2:$A$2030,1,),"")&lt;&gt;""</f>
        <v>1</v>
      </c>
      <c r="E1082">
        <v>1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3589</v>
      </c>
      <c r="B1083" t="s">
        <v>3860</v>
      </c>
      <c r="D1083" t="b">
        <f>IFERROR(VLOOKUP(B1083,PatData!$A$2:$A$2030,1,),"")&lt;&gt;""</f>
        <v>1</v>
      </c>
      <c r="E1083">
        <v>1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3590</v>
      </c>
      <c r="B1084" t="s">
        <v>3861</v>
      </c>
      <c r="D1084" t="b">
        <f>IFERROR(VLOOKUP(B1084,PatData!$A$2:$A$2030,1,),"")&lt;&gt;""</f>
        <v>1</v>
      </c>
      <c r="E1084">
        <v>1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3591</v>
      </c>
      <c r="B1085" t="s">
        <v>3862</v>
      </c>
      <c r="D1085" t="b">
        <f>IFERROR(VLOOKUP(B1085,PatData!$A$2:$A$2030,1,),"")&lt;&gt;""</f>
        <v>1</v>
      </c>
      <c r="E1085">
        <v>1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3592</v>
      </c>
      <c r="B1086" t="s">
        <v>3863</v>
      </c>
      <c r="D1086" t="b">
        <f>IFERROR(VLOOKUP(B1086,PatData!$A$2:$A$2030,1,),"")&lt;&gt;""</f>
        <v>1</v>
      </c>
      <c r="E1086">
        <v>1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3593</v>
      </c>
      <c r="B1087" t="s">
        <v>3864</v>
      </c>
      <c r="D1087" t="b">
        <f>IFERROR(VLOOKUP(B1087,PatData!$A$2:$A$2030,1,),"")&lt;&gt;""</f>
        <v>1</v>
      </c>
      <c r="E1087">
        <v>1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3594</v>
      </c>
      <c r="B1088" t="s">
        <v>3865</v>
      </c>
      <c r="D1088" t="b">
        <f>IFERROR(VLOOKUP(B1088,PatData!$A$2:$A$2030,1,),"")&lt;&gt;""</f>
        <v>1</v>
      </c>
      <c r="E1088">
        <v>1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3595</v>
      </c>
      <c r="B1089" t="s">
        <v>3866</v>
      </c>
      <c r="D1089" t="b">
        <f>IFERROR(VLOOKUP(B1089,PatData!$A$2:$A$2030,1,),"")&lt;&gt;""</f>
        <v>1</v>
      </c>
      <c r="E1089">
        <v>1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3596</v>
      </c>
      <c r="B1090" t="s">
        <v>3867</v>
      </c>
      <c r="D1090" t="b">
        <f>IFERROR(VLOOKUP(B1090,PatData!$A$2:$A$2030,1,),"")&lt;&gt;""</f>
        <v>1</v>
      </c>
      <c r="E1090">
        <v>1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3597</v>
      </c>
      <c r="B1091" t="s">
        <v>3868</v>
      </c>
      <c r="D1091" t="b">
        <f>IFERROR(VLOOKUP(B1091,PatData!$A$2:$A$2030,1,),"")&lt;&gt;""</f>
        <v>1</v>
      </c>
      <c r="E1091">
        <v>1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3598</v>
      </c>
      <c r="B1092" t="s">
        <v>3869</v>
      </c>
      <c r="D1092" t="b">
        <f>IFERROR(VLOOKUP(B1092,PatData!$A$2:$A$2030,1,),"")&lt;&gt;""</f>
        <v>1</v>
      </c>
      <c r="E1092">
        <v>5000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3599</v>
      </c>
      <c r="B1093" t="s">
        <v>3870</v>
      </c>
      <c r="D1093" t="b">
        <f>IFERROR(VLOOKUP(B1093,PatData!$A$2:$A$2030,1,),"")&lt;&gt;""</f>
        <v>1</v>
      </c>
      <c r="E1093">
        <v>1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3600</v>
      </c>
      <c r="B1094" t="s">
        <v>3871</v>
      </c>
      <c r="D1094" t="b">
        <f>IFERROR(VLOOKUP(B1094,PatData!$A$2:$A$2030,1,),"")&lt;&gt;""</f>
        <v>1</v>
      </c>
      <c r="E1094">
        <v>2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3601</v>
      </c>
      <c r="B1095" t="s">
        <v>3872</v>
      </c>
      <c r="D1095" t="b">
        <f>IFERROR(VLOOKUP(B1095,PatData!$A$2:$A$2030,1,),"")&lt;&gt;""</f>
        <v>1</v>
      </c>
      <c r="E1095">
        <v>2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3602</v>
      </c>
      <c r="B1096" t="s">
        <v>3873</v>
      </c>
      <c r="D1096" t="b">
        <f>IFERROR(VLOOKUP(B1096,PatData!$A$2:$A$2030,1,),"")&lt;&gt;""</f>
        <v>1</v>
      </c>
      <c r="E1096">
        <v>0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3603</v>
      </c>
      <c r="B1097" t="s">
        <v>3874</v>
      </c>
      <c r="D1097" t="b">
        <f>IFERROR(VLOOKUP(B1097,PatData!$A$2:$A$2030,1,),"")&lt;&gt;""</f>
        <v>1</v>
      </c>
      <c r="E1097">
        <v>5000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3604</v>
      </c>
      <c r="B1098" t="s">
        <v>3875</v>
      </c>
      <c r="D1098" t="b">
        <f>IFERROR(VLOOKUP(B1098,PatData!$A$2:$A$2030,1,),"")&lt;&gt;""</f>
        <v>1</v>
      </c>
      <c r="E1098">
        <v>1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3605</v>
      </c>
      <c r="B1099" t="s">
        <v>3876</v>
      </c>
      <c r="D1099" t="b">
        <f>IFERROR(VLOOKUP(B1099,PatData!$A$2:$A$2030,1,),"")&lt;&gt;""</f>
        <v>1</v>
      </c>
      <c r="E1099">
        <v>5000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3606</v>
      </c>
      <c r="B1100" t="s">
        <v>3877</v>
      </c>
      <c r="D1100" t="b">
        <f>IFERROR(VLOOKUP(B1100,PatData!$A$2:$A$2030,1,),"")&lt;&gt;""</f>
        <v>1</v>
      </c>
      <c r="E1100">
        <v>5000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4285</v>
      </c>
      <c r="B1101" t="s">
        <v>4688</v>
      </c>
      <c r="D1101" t="b">
        <f>IFERROR(VLOOKUP(B1101,PatData!$A$2:$A$2030,1,),"")&lt;&gt;""</f>
        <v>1</v>
      </c>
      <c r="E1101">
        <v>5000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4286</v>
      </c>
      <c r="B1102" t="s">
        <v>3878</v>
      </c>
      <c r="D1102" t="b">
        <f>IFERROR(VLOOKUP(B1102,PatData!$A$2:$A$2030,1,),"")&lt;&gt;""</f>
        <v>1</v>
      </c>
      <c r="E1102">
        <v>5000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4287</v>
      </c>
      <c r="B1103" t="s">
        <v>3879</v>
      </c>
      <c r="D1103" t="b">
        <f>IFERROR(VLOOKUP(B1103,PatData!$A$2:$A$2030,1,),"")&lt;&gt;""</f>
        <v>1</v>
      </c>
      <c r="E1103" t="b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4288</v>
      </c>
      <c r="B1104" t="s">
        <v>3880</v>
      </c>
      <c r="D1104" t="b">
        <f>IFERROR(VLOOKUP(B1104,PatData!$A$2:$A$2030,1,),"")&lt;&gt;""</f>
        <v>1</v>
      </c>
      <c r="E1104">
        <v>5000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4289</v>
      </c>
      <c r="B1105" t="s">
        <v>4689</v>
      </c>
      <c r="D1105" t="b">
        <f>IFERROR(VLOOKUP(B1105,PatData!$A$2:$A$2030,1,),"")&lt;&gt;""</f>
        <v>1</v>
      </c>
      <c r="E1105">
        <v>5000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4458</v>
      </c>
      <c r="B1106" t="s">
        <v>3881</v>
      </c>
      <c r="D1106" t="b">
        <f>IFERROR(VLOOKUP(B1106,PatData!$A$2:$A$2030,1,),"")&lt;&gt;""</f>
        <v>1</v>
      </c>
      <c r="E1106">
        <v>5000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1116</v>
      </c>
      <c r="B1107" t="s">
        <v>1525</v>
      </c>
      <c r="D1107" t="b">
        <f>IFERROR(VLOOKUP(B1107,PatData!$A$2:$A$2030,1,),"")&lt;&gt;""</f>
        <v>1</v>
      </c>
      <c r="E1107" t="b">
        <v>0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1117</v>
      </c>
      <c r="B1108" t="s">
        <v>1526</v>
      </c>
      <c r="D1108" t="b">
        <f>IFERROR(VLOOKUP(B1108,PatData!$A$2:$A$2030,1,),"")&lt;&gt;""</f>
        <v>1</v>
      </c>
      <c r="E1108" t="b">
        <v>0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1118</v>
      </c>
      <c r="B1109" t="s">
        <v>1527</v>
      </c>
      <c r="D1109" t="b">
        <f>IFERROR(VLOOKUP(B1109,PatData!$A$2:$A$2030,1,),"")&lt;&gt;""</f>
        <v>1</v>
      </c>
      <c r="E1109" t="b">
        <v>0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1119</v>
      </c>
      <c r="B1110" t="s">
        <v>1528</v>
      </c>
      <c r="D1110" t="b">
        <f>IFERROR(VLOOKUP(B1110,PatData!$A$2:$A$2030,1,),"")&lt;&gt;""</f>
        <v>1</v>
      </c>
      <c r="E1110" t="b">
        <v>0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1120</v>
      </c>
      <c r="B1111" t="s">
        <v>1529</v>
      </c>
      <c r="D1111" t="b">
        <f>IFERROR(VLOOKUP(B1111,PatData!$A$2:$A$2030,1,),"")&lt;&gt;""</f>
        <v>1</v>
      </c>
      <c r="E1111" t="b">
        <v>0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1121</v>
      </c>
      <c r="B1112" t="s">
        <v>1530</v>
      </c>
      <c r="D1112" t="b">
        <f>IFERROR(VLOOKUP(B1112,PatData!$A$2:$A$2030,1,),"")&lt;&gt;""</f>
        <v>1</v>
      </c>
      <c r="E1112" t="b">
        <v>0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1122</v>
      </c>
      <c r="B1113" t="s">
        <v>1531</v>
      </c>
      <c r="D1113" t="b">
        <f>IFERROR(VLOOKUP(B1113,PatData!$A$2:$A$2030,1,),"")&lt;&gt;""</f>
        <v>1</v>
      </c>
      <c r="E1113" t="b">
        <v>0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1123</v>
      </c>
      <c r="B1114" t="s">
        <v>1532</v>
      </c>
      <c r="D1114" t="b">
        <f>IFERROR(VLOOKUP(B1114,PatData!$A$2:$A$2030,1,),"")&lt;&gt;""</f>
        <v>1</v>
      </c>
      <c r="E1114" t="b">
        <v>0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1124</v>
      </c>
      <c r="B1115" t="s">
        <v>1533</v>
      </c>
      <c r="D1115" t="b">
        <f>IFERROR(VLOOKUP(B1115,PatData!$A$2:$A$2030,1,),"")&lt;&gt;""</f>
        <v>1</v>
      </c>
      <c r="E1115" t="b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1125</v>
      </c>
      <c r="B1116" t="s">
        <v>1534</v>
      </c>
      <c r="D1116" t="b">
        <f>IFERROR(VLOOKUP(B1116,PatData!$A$2:$A$2030,1,),"")&lt;&gt;""</f>
        <v>1</v>
      </c>
      <c r="E1116" t="b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1126</v>
      </c>
      <c r="B1117" t="s">
        <v>1535</v>
      </c>
      <c r="D1117" t="b">
        <f>IFERROR(VLOOKUP(B1117,PatData!$A$2:$A$2030,1,),"")&lt;&gt;""</f>
        <v>1</v>
      </c>
      <c r="E1117" t="b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1127</v>
      </c>
      <c r="B1118" t="s">
        <v>1536</v>
      </c>
      <c r="D1118" t="b">
        <f>IFERROR(VLOOKUP(B1118,PatData!$A$2:$A$2030,1,),"")&lt;&gt;""</f>
        <v>1</v>
      </c>
      <c r="E1118" t="b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1128</v>
      </c>
      <c r="B1119" t="s">
        <v>1537</v>
      </c>
      <c r="D1119" t="b">
        <f>IFERROR(VLOOKUP(B1119,PatData!$A$2:$A$2030,1,),"")&lt;&gt;""</f>
        <v>1</v>
      </c>
      <c r="E1119" t="b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1129</v>
      </c>
      <c r="B1120" t="s">
        <v>1538</v>
      </c>
      <c r="D1120" t="b">
        <f>IFERROR(VLOOKUP(B1120,PatData!$A$2:$A$2030,1,),"")&lt;&gt;""</f>
        <v>1</v>
      </c>
      <c r="E1120" t="b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1130</v>
      </c>
      <c r="B1121" t="s">
        <v>1539</v>
      </c>
      <c r="D1121" t="b">
        <f>IFERROR(VLOOKUP(B1121,PatData!$A$2:$A$2030,1,),"")&lt;&gt;""</f>
        <v>1</v>
      </c>
      <c r="E1121" t="b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1131</v>
      </c>
      <c r="B1122" t="s">
        <v>1540</v>
      </c>
      <c r="D1122" t="b">
        <f>IFERROR(VLOOKUP(B1122,PatData!$A$2:$A$2030,1,),"")&lt;&gt;""</f>
        <v>1</v>
      </c>
      <c r="E1122" t="b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1132</v>
      </c>
      <c r="B1123" t="s">
        <v>1541</v>
      </c>
      <c r="D1123" t="b">
        <f>IFERROR(VLOOKUP(B1123,PatData!$A$2:$A$2030,1,),"")&lt;&gt;""</f>
        <v>1</v>
      </c>
      <c r="E1123" t="b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7044</v>
      </c>
      <c r="B1124" t="s">
        <v>1542</v>
      </c>
      <c r="D1124" t="b">
        <f>IFERROR(VLOOKUP(B1124,PatData!$A$2:$A$2030,1,),"")&lt;&gt;""</f>
        <v>1</v>
      </c>
      <c r="E1124" t="b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1133</v>
      </c>
      <c r="B1125" t="s">
        <v>1543</v>
      </c>
      <c r="D1125" t="b">
        <f>IFERROR(VLOOKUP(B1125,PatData!$A$2:$A$2030,1,),"")&lt;&gt;""</f>
        <v>1</v>
      </c>
      <c r="E1125" t="b">
        <v>0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1134</v>
      </c>
      <c r="B1126" t="s">
        <v>1544</v>
      </c>
      <c r="D1126" t="b">
        <f>IFERROR(VLOOKUP(B1126,PatData!$A$2:$A$2030,1,),"")&lt;&gt;""</f>
        <v>1</v>
      </c>
      <c r="E1126" t="b">
        <v>0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1135</v>
      </c>
      <c r="B1127" t="s">
        <v>1545</v>
      </c>
      <c r="D1127" t="b">
        <f>IFERROR(VLOOKUP(B1127,PatData!$A$2:$A$2030,1,),"")&lt;&gt;""</f>
        <v>1</v>
      </c>
      <c r="E1127" t="b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1136</v>
      </c>
      <c r="B1128" t="s">
        <v>1546</v>
      </c>
      <c r="D1128" t="b">
        <f>IFERROR(VLOOKUP(B1128,PatData!$A$2:$A$2030,1,),"")&lt;&gt;""</f>
        <v>1</v>
      </c>
      <c r="E1128" t="b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1137</v>
      </c>
      <c r="B1129" t="s">
        <v>1547</v>
      </c>
      <c r="D1129" t="b">
        <f>IFERROR(VLOOKUP(B1129,PatData!$A$2:$A$2030,1,),"")&lt;&gt;""</f>
        <v>1</v>
      </c>
      <c r="E1129" t="b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1138</v>
      </c>
      <c r="B1130" t="s">
        <v>1548</v>
      </c>
      <c r="D1130" t="b">
        <f>IFERROR(VLOOKUP(B1130,PatData!$A$2:$A$2030,1,),"")&lt;&gt;""</f>
        <v>1</v>
      </c>
      <c r="E1130" t="b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1139</v>
      </c>
      <c r="B1131" t="s">
        <v>1549</v>
      </c>
      <c r="D1131" t="b">
        <f>IFERROR(VLOOKUP(B1131,PatData!$A$2:$A$2030,1,),"")&lt;&gt;""</f>
        <v>1</v>
      </c>
      <c r="E1131" t="b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1140</v>
      </c>
      <c r="B1132" t="s">
        <v>1550</v>
      </c>
      <c r="D1132" t="b">
        <f>IFERROR(VLOOKUP(B1132,PatData!$A$2:$A$2030,1,),"")&lt;&gt;""</f>
        <v>1</v>
      </c>
      <c r="E1132" t="b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1141</v>
      </c>
      <c r="B1133" t="s">
        <v>7045</v>
      </c>
      <c r="D1133" t="b">
        <f>IFERROR(VLOOKUP(B1133,PatData!$A$2:$A$2030,1,),"")&lt;&gt;""</f>
        <v>1</v>
      </c>
      <c r="E1133" t="b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1152</v>
      </c>
      <c r="B1134" t="s">
        <v>1551</v>
      </c>
      <c r="D1134" t="b">
        <f>IFERROR(VLOOKUP(B1134,PatData!$A$2:$A$2030,1,),"")&lt;&gt;""</f>
        <v>1</v>
      </c>
      <c r="E1134" t="b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1142</v>
      </c>
      <c r="B1135" t="s">
        <v>1552</v>
      </c>
      <c r="D1135" t="b">
        <f>IFERROR(VLOOKUP(B1135,PatData!$A$2:$A$2030,1,),"")&lt;&gt;""</f>
        <v>1</v>
      </c>
      <c r="E1135" t="b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1143</v>
      </c>
      <c r="B1136" t="s">
        <v>1553</v>
      </c>
      <c r="D1136" t="b">
        <f>IFERROR(VLOOKUP(B1136,PatData!$A$2:$A$2030,1,),"")&lt;&gt;""</f>
        <v>1</v>
      </c>
      <c r="E1136" t="b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1144</v>
      </c>
      <c r="B1137" t="s">
        <v>1554</v>
      </c>
      <c r="D1137" t="b">
        <f>IFERROR(VLOOKUP(B1137,PatData!$A$2:$A$2030,1,),"")&lt;&gt;""</f>
        <v>1</v>
      </c>
      <c r="E1137" t="b">
        <v>0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1145</v>
      </c>
      <c r="B1138" t="s">
        <v>1555</v>
      </c>
      <c r="D1138" t="b">
        <f>IFERROR(VLOOKUP(B1138,PatData!$A$2:$A$2030,1,),"")&lt;&gt;""</f>
        <v>1</v>
      </c>
      <c r="E1138" t="b">
        <v>0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1146</v>
      </c>
      <c r="B1139" t="s">
        <v>1556</v>
      </c>
      <c r="D1139" t="b">
        <f>IFERROR(VLOOKUP(B1139,PatData!$A$2:$A$2030,1,),"")&lt;&gt;""</f>
        <v>1</v>
      </c>
      <c r="E1139" t="b">
        <v>0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1147</v>
      </c>
      <c r="B1140" t="s">
        <v>1557</v>
      </c>
      <c r="D1140" t="b">
        <f>IFERROR(VLOOKUP(B1140,PatData!$A$2:$A$2030,1,),"")&lt;&gt;""</f>
        <v>1</v>
      </c>
      <c r="E1140" t="b">
        <v>0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1148</v>
      </c>
      <c r="B1141" t="s">
        <v>1558</v>
      </c>
      <c r="D1141" t="b">
        <f>IFERROR(VLOOKUP(B1141,PatData!$A$2:$A$2030,1,),"")&lt;&gt;""</f>
        <v>1</v>
      </c>
      <c r="E1141" t="b">
        <v>0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1149</v>
      </c>
      <c r="B1142" t="s">
        <v>1559</v>
      </c>
      <c r="D1142" t="b">
        <f>IFERROR(VLOOKUP(B1142,PatData!$A$2:$A$2030,1,),"")&lt;&gt;""</f>
        <v>1</v>
      </c>
      <c r="E1142" t="b">
        <v>0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1150</v>
      </c>
      <c r="B1143" t="s">
        <v>1560</v>
      </c>
      <c r="D1143" t="b">
        <f>IFERROR(VLOOKUP(B1143,PatData!$A$2:$A$2030,1,),"")&lt;&gt;""</f>
        <v>1</v>
      </c>
      <c r="E1143" t="b">
        <v>0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1158</v>
      </c>
      <c r="B1144" t="s">
        <v>1561</v>
      </c>
      <c r="D1144" t="b">
        <f>IFERROR(VLOOKUP(B1144,PatData!$A$2:$A$2030,1,),"")&lt;&gt;""</f>
        <v>1</v>
      </c>
      <c r="E1144" t="b">
        <v>0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1153</v>
      </c>
      <c r="B1145" t="s">
        <v>1562</v>
      </c>
      <c r="D1145" t="b">
        <f>IFERROR(VLOOKUP(B1145,PatData!$A$2:$A$2030,1,),"")&lt;&gt;""</f>
        <v>1</v>
      </c>
      <c r="E1145" t="b">
        <v>0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1151</v>
      </c>
      <c r="B1146" t="s">
        <v>1563</v>
      </c>
      <c r="D1146" t="b">
        <f>IFERROR(VLOOKUP(B1146,PatData!$A$2:$A$2030,1,),"")&lt;&gt;""</f>
        <v>1</v>
      </c>
      <c r="E1146" t="b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1154</v>
      </c>
      <c r="B1147" t="s">
        <v>1564</v>
      </c>
      <c r="D1147" t="b">
        <f>IFERROR(VLOOKUP(B1147,PatData!$A$2:$A$2030,1,),"")&lt;&gt;""</f>
        <v>1</v>
      </c>
      <c r="E1147" t="b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1155</v>
      </c>
      <c r="B1148" t="s">
        <v>1565</v>
      </c>
      <c r="D1148" t="b">
        <f>IFERROR(VLOOKUP(B1148,PatData!$A$2:$A$2030,1,),"")&lt;&gt;""</f>
        <v>1</v>
      </c>
      <c r="E1148" t="b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1156</v>
      </c>
      <c r="B1149" t="s">
        <v>1566</v>
      </c>
      <c r="D1149" t="b">
        <f>IFERROR(VLOOKUP(B1149,PatData!$A$2:$A$2030,1,),"")&lt;&gt;""</f>
        <v>1</v>
      </c>
      <c r="E1149" t="b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1157</v>
      </c>
      <c r="B1150" t="s">
        <v>1567</v>
      </c>
      <c r="D1150" t="b">
        <f>IFERROR(VLOOKUP(B1150,PatData!$A$2:$A$2030,1,),"")&lt;&gt;""</f>
        <v>1</v>
      </c>
      <c r="E1150" t="b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1165</v>
      </c>
      <c r="B1151" t="s">
        <v>1568</v>
      </c>
      <c r="D1151" t="b">
        <f>IFERROR(VLOOKUP(B1151,PatData!$A$2:$A$2030,1,),"")&lt;&gt;""</f>
        <v>1</v>
      </c>
      <c r="E1151" t="b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1159</v>
      </c>
      <c r="B1152" t="s">
        <v>1569</v>
      </c>
      <c r="D1152" t="b">
        <f>IFERROR(VLOOKUP(B1152,PatData!$A$2:$A$2030,1,),"")&lt;&gt;""</f>
        <v>1</v>
      </c>
      <c r="E1152" t="b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1160</v>
      </c>
      <c r="B1153" t="s">
        <v>1570</v>
      </c>
      <c r="D1153" t="b">
        <f>IFERROR(VLOOKUP(B1153,PatData!$A$2:$A$2030,1,),"")&lt;&gt;""</f>
        <v>1</v>
      </c>
      <c r="E1153" t="b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1161</v>
      </c>
      <c r="B1154" t="s">
        <v>1571</v>
      </c>
      <c r="D1154" t="b">
        <f>IFERROR(VLOOKUP(B1154,PatData!$A$2:$A$2030,1,),"")&lt;&gt;""</f>
        <v>1</v>
      </c>
      <c r="E1154" t="b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1162</v>
      </c>
      <c r="B1155" t="s">
        <v>1572</v>
      </c>
      <c r="D1155" t="b">
        <f>IFERROR(VLOOKUP(B1155,PatData!$A$2:$A$2030,1,),"")&lt;&gt;""</f>
        <v>1</v>
      </c>
      <c r="E1155" t="b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1163</v>
      </c>
      <c r="B1156" t="s">
        <v>1573</v>
      </c>
      <c r="D1156" t="b">
        <f>IFERROR(VLOOKUP(B1156,PatData!$A$2:$A$2030,1,),"")&lt;&gt;""</f>
        <v>1</v>
      </c>
      <c r="E1156" t="b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1164</v>
      </c>
      <c r="B1157" t="s">
        <v>1574</v>
      </c>
      <c r="D1157" t="b">
        <f>IFERROR(VLOOKUP(B1157,PatData!$A$2:$A$2030,1,),"")&lt;&gt;""</f>
        <v>1</v>
      </c>
      <c r="E1157" t="b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1166</v>
      </c>
      <c r="B1158" t="s">
        <v>1575</v>
      </c>
      <c r="D1158" t="b">
        <f>IFERROR(VLOOKUP(B1158,PatData!$A$2:$A$2030,1,),"")&lt;&gt;""</f>
        <v>1</v>
      </c>
      <c r="E1158" t="b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1190</v>
      </c>
      <c r="B1159" t="s">
        <v>1576</v>
      </c>
      <c r="D1159" t="b">
        <f>IFERROR(VLOOKUP(B1159,PatData!$A$2:$A$2030,1,),"")&lt;&gt;""</f>
        <v>1</v>
      </c>
      <c r="E1159" t="b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1167</v>
      </c>
      <c r="B1160" t="s">
        <v>1577</v>
      </c>
      <c r="D1160" t="b">
        <f>IFERROR(VLOOKUP(B1160,PatData!$A$2:$A$2030,1,),"")&lt;&gt;""</f>
        <v>1</v>
      </c>
      <c r="E1160" t="b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1168</v>
      </c>
      <c r="B1161" t="s">
        <v>1578</v>
      </c>
      <c r="D1161" t="b">
        <f>IFERROR(VLOOKUP(B1161,PatData!$A$2:$A$2030,1,),"")&lt;&gt;""</f>
        <v>1</v>
      </c>
      <c r="E1161" t="b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1169</v>
      </c>
      <c r="B1162" t="s">
        <v>1579</v>
      </c>
      <c r="D1162" t="b">
        <f>IFERROR(VLOOKUP(B1162,PatData!$A$2:$A$2030,1,),"")&lt;&gt;""</f>
        <v>1</v>
      </c>
      <c r="E1162" t="b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1170</v>
      </c>
      <c r="B1163" t="s">
        <v>1580</v>
      </c>
      <c r="D1163" t="b">
        <f>IFERROR(VLOOKUP(B1163,PatData!$A$2:$A$2030,1,),"")&lt;&gt;""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1171</v>
      </c>
      <c r="B1164" t="s">
        <v>1581</v>
      </c>
      <c r="D1164" t="b">
        <f>IFERROR(VLOOKUP(B1164,PatData!$A$2:$A$2030,1,),"")&lt;&gt;""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1172</v>
      </c>
      <c r="B1165" t="s">
        <v>1582</v>
      </c>
      <c r="D1165" t="b">
        <f>IFERROR(VLOOKUP(B1165,PatData!$A$2:$A$2030,1,),"")&lt;&gt;""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1173</v>
      </c>
      <c r="B1166" t="s">
        <v>1583</v>
      </c>
      <c r="D1166" t="b">
        <f>IFERROR(VLOOKUP(B1166,PatData!$A$2:$A$2030,1,),"")&lt;&gt;""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1174</v>
      </c>
      <c r="B1167" t="s">
        <v>1584</v>
      </c>
      <c r="D1167" t="b">
        <f>IFERROR(VLOOKUP(B1167,PatData!$A$2:$A$2030,1,),"")&lt;&gt;""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1175</v>
      </c>
      <c r="B1168" t="s">
        <v>1585</v>
      </c>
      <c r="D1168" t="b">
        <f>IFERROR(VLOOKUP(B1168,PatData!$A$2:$A$2030,1,),"")&lt;&gt;""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1176</v>
      </c>
      <c r="B1169" t="s">
        <v>1586</v>
      </c>
      <c r="D1169" t="b">
        <f>IFERROR(VLOOKUP(B1169,PatData!$A$2:$A$2030,1,),"")&lt;&gt;""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1177</v>
      </c>
      <c r="B1170" t="s">
        <v>1587</v>
      </c>
      <c r="D1170" t="b">
        <f>IFERROR(VLOOKUP(B1170,PatData!$A$2:$A$2030,1,),"")&lt;&gt;""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1178</v>
      </c>
      <c r="B1171" t="s">
        <v>1588</v>
      </c>
      <c r="D1171" t="b">
        <f>IFERROR(VLOOKUP(B1171,PatData!$A$2:$A$2030,1,),"")&lt;&gt;""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1179</v>
      </c>
      <c r="B1172" t="s">
        <v>1589</v>
      </c>
      <c r="D1172" t="b">
        <f>IFERROR(VLOOKUP(B1172,PatData!$A$2:$A$2030,1,),"")&lt;&gt;""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1180</v>
      </c>
      <c r="B1173" t="s">
        <v>1590</v>
      </c>
      <c r="D1173" t="b">
        <f>IFERROR(VLOOKUP(B1173,PatData!$A$2:$A$2030,1,),"")&lt;&gt;""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1181</v>
      </c>
      <c r="B1174" t="s">
        <v>1591</v>
      </c>
      <c r="D1174" t="b">
        <f>IFERROR(VLOOKUP(B1174,PatData!$A$2:$A$2030,1,),"")&lt;&gt;""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1182</v>
      </c>
      <c r="B1175" t="s">
        <v>1592</v>
      </c>
      <c r="D1175" t="b">
        <f>IFERROR(VLOOKUP(B1175,PatData!$A$2:$A$2030,1,),"")&lt;&gt;""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1183</v>
      </c>
      <c r="B1176" t="s">
        <v>1593</v>
      </c>
      <c r="D1176" t="b">
        <f>IFERROR(VLOOKUP(B1176,PatData!$A$2:$A$2030,1,),"")&lt;&gt;""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1184</v>
      </c>
      <c r="B1177" t="s">
        <v>1594</v>
      </c>
      <c r="D1177" t="b">
        <f>IFERROR(VLOOKUP(B1177,PatData!$A$2:$A$2030,1,),"")&lt;&gt;""</f>
        <v>1</v>
      </c>
      <c r="E1177" t="b">
        <v>0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1185</v>
      </c>
      <c r="B1178" t="s">
        <v>1595</v>
      </c>
      <c r="D1178" t="b">
        <f>IFERROR(VLOOKUP(B1178,PatData!$A$2:$A$2030,1,),"")&lt;&gt;""</f>
        <v>1</v>
      </c>
      <c r="E1178" t="b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1186</v>
      </c>
      <c r="B1179" t="s">
        <v>1596</v>
      </c>
      <c r="D1179" t="b">
        <f>IFERROR(VLOOKUP(B1179,PatData!$A$2:$A$2030,1,),"")&lt;&gt;""</f>
        <v>1</v>
      </c>
      <c r="E1179" t="b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1187</v>
      </c>
      <c r="B1180" t="s">
        <v>1597</v>
      </c>
      <c r="D1180" t="b">
        <f>IFERROR(VLOOKUP(B1180,PatData!$A$2:$A$2030,1,),"")&lt;&gt;""</f>
        <v>1</v>
      </c>
      <c r="E1180" t="b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1188</v>
      </c>
      <c r="B1181" t="s">
        <v>1598</v>
      </c>
      <c r="D1181" t="b">
        <f>IFERROR(VLOOKUP(B1181,PatData!$A$2:$A$2030,1,),"")&lt;&gt;""</f>
        <v>1</v>
      </c>
      <c r="E1181" t="b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1189</v>
      </c>
      <c r="B1182" t="s">
        <v>1599</v>
      </c>
      <c r="D1182" t="b">
        <f>IFERROR(VLOOKUP(B1182,PatData!$A$2:$A$2030,1,),"")&lt;&gt;""</f>
        <v>1</v>
      </c>
      <c r="E1182" t="b">
        <v>0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1191</v>
      </c>
      <c r="B1183" t="s">
        <v>1600</v>
      </c>
      <c r="D1183" t="b">
        <f>IFERROR(VLOOKUP(B1183,PatData!$A$2:$A$2030,1,),"")&lt;&gt;""</f>
        <v>1</v>
      </c>
      <c r="E1183" t="b">
        <v>0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7046</v>
      </c>
      <c r="B1184" t="s">
        <v>1601</v>
      </c>
      <c r="D1184" t="b">
        <f>IFERROR(VLOOKUP(B1184,PatData!$A$2:$A$2030,1,),"")&lt;&gt;""</f>
        <v>1</v>
      </c>
      <c r="E1184" t="b">
        <v>0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1194</v>
      </c>
      <c r="B1185" t="s">
        <v>1602</v>
      </c>
      <c r="D1185" t="b">
        <f>IFERROR(VLOOKUP(B1185,PatData!$A$2:$A$2030,1,),"")&lt;&gt;""</f>
        <v>1</v>
      </c>
      <c r="E1185" t="b">
        <v>0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1192</v>
      </c>
      <c r="B1186" t="s">
        <v>1603</v>
      </c>
      <c r="D1186" t="b">
        <f>IFERROR(VLOOKUP(B1186,PatData!$A$2:$A$2030,1,),"")&lt;&gt;""</f>
        <v>1</v>
      </c>
      <c r="E1186" t="b">
        <v>0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1193</v>
      </c>
      <c r="B1187" t="s">
        <v>1604</v>
      </c>
      <c r="D1187" t="b">
        <f>IFERROR(VLOOKUP(B1187,PatData!$A$2:$A$2030,1,),"")&lt;&gt;""</f>
        <v>1</v>
      </c>
      <c r="E1187" t="b">
        <v>0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7047</v>
      </c>
      <c r="B1188" t="s">
        <v>1605</v>
      </c>
      <c r="D1188" t="b">
        <f>IFERROR(VLOOKUP(B1188,PatData!$A$2:$A$2030,1,),"")&lt;&gt;""</f>
        <v>1</v>
      </c>
      <c r="E1188" t="b">
        <v>0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1195</v>
      </c>
      <c r="B1189" t="s">
        <v>1606</v>
      </c>
      <c r="D1189" t="b">
        <f>IFERROR(VLOOKUP(B1189,PatData!$A$2:$A$2030,1,),"")&lt;&gt;""</f>
        <v>1</v>
      </c>
      <c r="E1189" t="b">
        <v>0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1196</v>
      </c>
      <c r="B1190" t="s">
        <v>1607</v>
      </c>
      <c r="D1190" t="b">
        <f>IFERROR(VLOOKUP(B1190,PatData!$A$2:$A$2030,1,),"")&lt;&gt;""</f>
        <v>1</v>
      </c>
      <c r="E1190" t="b">
        <v>0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1197</v>
      </c>
      <c r="B1191" t="s">
        <v>1608</v>
      </c>
      <c r="D1191" t="b">
        <f>IFERROR(VLOOKUP(B1191,PatData!$A$2:$A$2030,1,),"")&lt;&gt;""</f>
        <v>1</v>
      </c>
      <c r="E1191" t="b">
        <v>0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7048</v>
      </c>
      <c r="B1192" t="s">
        <v>1609</v>
      </c>
      <c r="D1192" t="b">
        <f>IFERROR(VLOOKUP(B1192,PatData!$A$2:$A$2030,1,),"")&lt;&gt;""</f>
        <v>1</v>
      </c>
      <c r="E1192" t="b">
        <v>0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1198</v>
      </c>
      <c r="B1193" t="s">
        <v>1610</v>
      </c>
      <c r="D1193" t="b">
        <f>IFERROR(VLOOKUP(B1193,PatData!$A$2:$A$2030,1,),"")&lt;&gt;""</f>
        <v>1</v>
      </c>
      <c r="E1193" t="b">
        <v>0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4766</v>
      </c>
      <c r="B1194" t="s">
        <v>4767</v>
      </c>
      <c r="D1194" t="b">
        <f>IFERROR(VLOOKUP(B1194,PatData!$A$2:$A$2030,1,),"")&lt;&gt;""</f>
        <v>1</v>
      </c>
      <c r="E1194" t="b">
        <v>0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1199</v>
      </c>
      <c r="B1195" t="s">
        <v>1611</v>
      </c>
      <c r="D1195" t="b">
        <f>IFERROR(VLOOKUP(B1195,PatData!$A$2:$A$2030,1,),"")&lt;&gt;""</f>
        <v>1</v>
      </c>
      <c r="E1195" t="b">
        <v>0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1200</v>
      </c>
      <c r="B1196" t="s">
        <v>1612</v>
      </c>
      <c r="D1196" t="b">
        <f>IFERROR(VLOOKUP(B1196,PatData!$A$2:$A$2030,1,),"")&lt;&gt;""</f>
        <v>1</v>
      </c>
      <c r="E1196" t="b">
        <v>0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7049</v>
      </c>
      <c r="B1197" t="s">
        <v>1613</v>
      </c>
      <c r="D1197" t="b">
        <f>IFERROR(VLOOKUP(B1197,PatData!$A$2:$A$2030,1,),"")&lt;&gt;""</f>
        <v>1</v>
      </c>
      <c r="E1197">
        <v>0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1201</v>
      </c>
      <c r="B1198" t="s">
        <v>1614</v>
      </c>
      <c r="D1198" t="b">
        <f>IFERROR(VLOOKUP(B1198,PatData!$A$2:$A$2030,1,),"")&lt;&gt;""</f>
        <v>1</v>
      </c>
      <c r="E1198">
        <v>1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1202</v>
      </c>
      <c r="B1199" t="s">
        <v>1615</v>
      </c>
      <c r="D1199" t="b">
        <f>IFERROR(VLOOKUP(B1199,PatData!$A$2:$A$2030,1,),"")&lt;&gt;""</f>
        <v>1</v>
      </c>
      <c r="E1199">
        <v>0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1203</v>
      </c>
      <c r="B1200" t="s">
        <v>1616</v>
      </c>
      <c r="D1200" t="b">
        <f>IFERROR(VLOOKUP(B1200,PatData!$A$2:$A$2030,1,),"")&lt;&gt;""</f>
        <v>1</v>
      </c>
      <c r="E1200">
        <v>1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1204</v>
      </c>
      <c r="B1201" t="s">
        <v>1617</v>
      </c>
      <c r="D1201" t="b">
        <f>IFERROR(VLOOKUP(B1201,PatData!$A$2:$A$2030,1,),"")&lt;&gt;""</f>
        <v>1</v>
      </c>
      <c r="E1201">
        <v>0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1205</v>
      </c>
      <c r="B1202" t="s">
        <v>1618</v>
      </c>
      <c r="D1202" t="b">
        <f>IFERROR(VLOOKUP(B1202,PatData!$A$2:$A$2030,1,),"")&lt;&gt;""</f>
        <v>1</v>
      </c>
      <c r="E1202">
        <v>1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1206</v>
      </c>
      <c r="B1203" t="s">
        <v>1619</v>
      </c>
      <c r="D1203" t="b">
        <f>IFERROR(VLOOKUP(B1203,PatData!$A$2:$A$2030,1,),"")&lt;&gt;""</f>
        <v>1</v>
      </c>
      <c r="E1203">
        <v>0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1207</v>
      </c>
      <c r="B1204" t="s">
        <v>1620</v>
      </c>
      <c r="D1204" t="b">
        <f>IFERROR(VLOOKUP(B1204,PatData!$A$2:$A$2030,1,),"")&lt;&gt;""</f>
        <v>1</v>
      </c>
      <c r="E1204">
        <v>1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1208</v>
      </c>
      <c r="B1205" t="s">
        <v>1621</v>
      </c>
      <c r="D1205" t="b">
        <f>IFERROR(VLOOKUP(B1205,PatData!$A$2:$A$2030,1,),"")&lt;&gt;""</f>
        <v>1</v>
      </c>
      <c r="E1205">
        <v>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7050</v>
      </c>
      <c r="B1206" t="s">
        <v>7051</v>
      </c>
      <c r="D1206" t="b">
        <f>IFERROR(VLOOKUP(B1206,PatData!$A$2:$A$2030,1,),"")&lt;&gt;""</f>
        <v>1</v>
      </c>
      <c r="E1206"/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7052</v>
      </c>
      <c r="B1207" t="s">
        <v>1622</v>
      </c>
      <c r="D1207" t="b">
        <f>IFERROR(VLOOKUP(B1207,PatData!$A$2:$A$2030,1,),"")&lt;&gt;""</f>
        <v>1</v>
      </c>
      <c r="E1207">
        <v>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7053</v>
      </c>
      <c r="B1208" t="s">
        <v>1623</v>
      </c>
      <c r="D1208" t="b">
        <f>IFERROR(VLOOKUP(B1208,PatData!$A$2:$A$2030,1,),"")&lt;&gt;""</f>
        <v>1</v>
      </c>
      <c r="E1208">
        <v>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1209</v>
      </c>
      <c r="B1209" t="s">
        <v>1624</v>
      </c>
      <c r="D1209" t="b">
        <f>IFERROR(VLOOKUP(B1209,PatData!$A$2:$A$2030,1,),"")&lt;&gt;""</f>
        <v>1</v>
      </c>
      <c r="E1209">
        <v>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1210</v>
      </c>
      <c r="B1210" t="s">
        <v>1625</v>
      </c>
      <c r="D1210" t="b">
        <f>IFERROR(VLOOKUP(B1210,PatData!$A$2:$A$2030,1,),"")&lt;&gt;""</f>
        <v>1</v>
      </c>
      <c r="E1210">
        <v>1</v>
      </c>
      <c r="F1210" t="b">
        <v>0</v>
      </c>
      <c r="G1210" t="b">
        <v>1</v>
      </c>
      <c r="H1210" t="b">
        <v>1</v>
      </c>
      <c r="I1210" t="b">
        <v>0</v>
      </c>
    </row>
    <row r="1211" spans="1:9" x14ac:dyDescent="0.2">
      <c r="A1211" t="s">
        <v>1211</v>
      </c>
      <c r="B1211" t="s">
        <v>1626</v>
      </c>
      <c r="D1211" t="b">
        <f>IFERROR(VLOOKUP(B1211,PatData!$A$2:$A$2030,1,),"")&lt;&gt;""</f>
        <v>1</v>
      </c>
      <c r="E1211">
        <v>1</v>
      </c>
      <c r="F1211" t="b">
        <v>0</v>
      </c>
      <c r="G1211" t="b">
        <v>1</v>
      </c>
      <c r="H1211" t="b">
        <v>1</v>
      </c>
      <c r="I1211" t="b">
        <v>0</v>
      </c>
    </row>
    <row r="1212" spans="1:9" x14ac:dyDescent="0.2">
      <c r="A1212" t="s">
        <v>1212</v>
      </c>
      <c r="B1212" t="s">
        <v>1627</v>
      </c>
      <c r="D1212" t="b">
        <f>IFERROR(VLOOKUP(B1212,PatData!$A$2:$A$2030,1,),"")&lt;&gt;""</f>
        <v>1</v>
      </c>
      <c r="E1212">
        <v>1</v>
      </c>
      <c r="F1212" t="b">
        <v>0</v>
      </c>
      <c r="G1212" t="b">
        <v>1</v>
      </c>
      <c r="H1212" t="b">
        <v>1</v>
      </c>
      <c r="I1212" t="b">
        <v>0</v>
      </c>
    </row>
    <row r="1213" spans="1:9" x14ac:dyDescent="0.2">
      <c r="A1213" t="s">
        <v>1213</v>
      </c>
      <c r="B1213" t="s">
        <v>1628</v>
      </c>
      <c r="D1213" t="b">
        <f>IFERROR(VLOOKUP(B1213,PatData!$A$2:$A$2030,1,),"")&lt;&gt;""</f>
        <v>1</v>
      </c>
      <c r="E1213">
        <v>1</v>
      </c>
      <c r="F1213" t="b">
        <v>0</v>
      </c>
      <c r="G1213" t="b">
        <v>1</v>
      </c>
      <c r="H1213" t="b">
        <v>1</v>
      </c>
      <c r="I1213" t="b">
        <v>0</v>
      </c>
    </row>
    <row r="1214" spans="1:9" x14ac:dyDescent="0.2">
      <c r="A1214" t="s">
        <v>1214</v>
      </c>
      <c r="B1214" t="s">
        <v>1629</v>
      </c>
      <c r="D1214" t="b">
        <f>IFERROR(VLOOKUP(B1214,PatData!$A$2:$A$2030,1,),"")&lt;&gt;""</f>
        <v>1</v>
      </c>
      <c r="E1214">
        <v>1</v>
      </c>
      <c r="F1214" t="b">
        <v>0</v>
      </c>
      <c r="G1214" t="b">
        <v>1</v>
      </c>
      <c r="H1214" t="b">
        <v>1</v>
      </c>
      <c r="I1214" t="b">
        <v>0</v>
      </c>
    </row>
    <row r="1215" spans="1:9" x14ac:dyDescent="0.2">
      <c r="A1215" t="s">
        <v>1215</v>
      </c>
      <c r="B1215" t="s">
        <v>1630</v>
      </c>
      <c r="D1215" t="b">
        <f>IFERROR(VLOOKUP(B1215,PatData!$A$2:$A$2030,1,),"")&lt;&gt;""</f>
        <v>1</v>
      </c>
      <c r="E1215">
        <v>1</v>
      </c>
      <c r="F1215" t="b">
        <v>0</v>
      </c>
      <c r="G1215" t="b">
        <v>1</v>
      </c>
      <c r="H1215" t="b">
        <v>1</v>
      </c>
      <c r="I1215" t="b">
        <v>0</v>
      </c>
    </row>
    <row r="1216" spans="1:9" x14ac:dyDescent="0.2">
      <c r="A1216" t="s">
        <v>1216</v>
      </c>
      <c r="B1216" t="s">
        <v>1631</v>
      </c>
      <c r="D1216" t="b">
        <f>IFERROR(VLOOKUP(B1216,PatData!$A$2:$A$2030,1,),"")&lt;&gt;""</f>
        <v>1</v>
      </c>
      <c r="E1216">
        <v>1</v>
      </c>
      <c r="F1216" t="b">
        <v>0</v>
      </c>
      <c r="G1216" t="b">
        <v>1</v>
      </c>
      <c r="H1216" t="b">
        <v>1</v>
      </c>
      <c r="I1216" t="b">
        <v>0</v>
      </c>
    </row>
    <row r="1217" spans="1:9" x14ac:dyDescent="0.2">
      <c r="A1217" t="s">
        <v>1217</v>
      </c>
      <c r="B1217" t="s">
        <v>1632</v>
      </c>
      <c r="D1217" t="b">
        <f>IFERROR(VLOOKUP(B1217,PatData!$A$2:$A$2030,1,),"")&lt;&gt;""</f>
        <v>1</v>
      </c>
      <c r="E1217">
        <v>1</v>
      </c>
      <c r="F1217" t="b">
        <v>0</v>
      </c>
      <c r="G1217" t="b">
        <v>1</v>
      </c>
      <c r="H1217" t="b">
        <v>1</v>
      </c>
      <c r="I1217" t="b">
        <v>0</v>
      </c>
    </row>
    <row r="1218" spans="1:9" x14ac:dyDescent="0.2">
      <c r="A1218" t="s">
        <v>1218</v>
      </c>
      <c r="B1218" t="s">
        <v>1633</v>
      </c>
      <c r="D1218" t="b">
        <f>IFERROR(VLOOKUP(B1218,PatData!$A$2:$A$2030,1,),"")&lt;&gt;""</f>
        <v>1</v>
      </c>
      <c r="E1218">
        <v>1</v>
      </c>
      <c r="F1218" t="b">
        <v>0</v>
      </c>
      <c r="G1218" t="b">
        <v>1</v>
      </c>
      <c r="H1218" t="b">
        <v>1</v>
      </c>
      <c r="I1218" t="b">
        <v>0</v>
      </c>
    </row>
    <row r="1219" spans="1:9" x14ac:dyDescent="0.2">
      <c r="A1219" t="s">
        <v>1219</v>
      </c>
      <c r="B1219" t="s">
        <v>1634</v>
      </c>
      <c r="D1219" t="b">
        <f>IFERROR(VLOOKUP(B1219,PatData!$A$2:$A$2030,1,),"")&lt;&gt;""</f>
        <v>1</v>
      </c>
      <c r="E1219">
        <v>1</v>
      </c>
      <c r="F1219" t="b">
        <v>0</v>
      </c>
      <c r="G1219" t="b">
        <v>1</v>
      </c>
      <c r="H1219" t="b">
        <v>1</v>
      </c>
      <c r="I1219" t="b">
        <v>0</v>
      </c>
    </row>
    <row r="1220" spans="1:9" x14ac:dyDescent="0.2">
      <c r="A1220" t="s">
        <v>7054</v>
      </c>
      <c r="B1220" t="s">
        <v>1635</v>
      </c>
      <c r="D1220" t="b">
        <f>IFERROR(VLOOKUP(B1220,PatData!$A$2:$A$2030,1,),"")&lt;&gt;""</f>
        <v>1</v>
      </c>
      <c r="E1220">
        <v>0</v>
      </c>
      <c r="F1220" t="b">
        <v>0</v>
      </c>
      <c r="G1220" t="b">
        <v>1</v>
      </c>
      <c r="H1220" t="b">
        <v>1</v>
      </c>
      <c r="I1220" t="b">
        <v>0</v>
      </c>
    </row>
    <row r="1221" spans="1:9" x14ac:dyDescent="0.2">
      <c r="A1221" t="s">
        <v>922</v>
      </c>
      <c r="B1221" t="s">
        <v>1636</v>
      </c>
      <c r="D1221" t="b">
        <f>IFERROR(VLOOKUP(B1221,PatData!$A$2:$A$2030,1,),"")&lt;&gt;""</f>
        <v>1</v>
      </c>
      <c r="E1221">
        <v>50</v>
      </c>
      <c r="F1221" t="b">
        <v>0</v>
      </c>
      <c r="G1221" t="b">
        <v>1</v>
      </c>
      <c r="H1221" t="b">
        <v>1</v>
      </c>
      <c r="I1221" t="b">
        <v>0</v>
      </c>
    </row>
    <row r="1222" spans="1:9" x14ac:dyDescent="0.2">
      <c r="A1222" t="s">
        <v>1115</v>
      </c>
      <c r="B1222" t="s">
        <v>1637</v>
      </c>
      <c r="D1222" t="b">
        <f>IFERROR(VLOOKUP(B1222,PatData!$A$2:$A$2030,1,),"")&lt;&gt;""</f>
        <v>1</v>
      </c>
      <c r="E1222"/>
      <c r="F1222" t="b">
        <v>0</v>
      </c>
      <c r="G1222" t="b">
        <v>1</v>
      </c>
      <c r="H1222" t="b">
        <v>1</v>
      </c>
      <c r="I1222" t="b">
        <v>0</v>
      </c>
    </row>
    <row r="1223" spans="1:9" x14ac:dyDescent="0.2">
      <c r="A1223" t="s">
        <v>922</v>
      </c>
      <c r="B1223" t="s">
        <v>1522</v>
      </c>
      <c r="D1223" t="b">
        <f>IFERROR(VLOOKUP(B1223,PatData!$A$2:$A$2030,1,),"")&lt;&gt;""</f>
        <v>1</v>
      </c>
      <c r="E1223">
        <v>50</v>
      </c>
      <c r="F1223" t="b">
        <v>0</v>
      </c>
      <c r="G1223" t="b">
        <v>1</v>
      </c>
      <c r="H1223" t="b">
        <v>1</v>
      </c>
      <c r="I1223" t="b">
        <v>0</v>
      </c>
    </row>
    <row r="1224" spans="1:9" x14ac:dyDescent="0.2">
      <c r="A1224" t="s">
        <v>3607</v>
      </c>
      <c r="B1224" t="s">
        <v>3882</v>
      </c>
      <c r="D1224" t="b">
        <f>IFERROR(VLOOKUP(B1224,PatData!$A$2:$A$2030,1,),"")&lt;&gt;""</f>
        <v>1</v>
      </c>
      <c r="E1224">
        <v>0</v>
      </c>
      <c r="F1224" t="b">
        <v>0</v>
      </c>
      <c r="G1224" t="b">
        <v>1</v>
      </c>
      <c r="H1224" t="b">
        <v>1</v>
      </c>
      <c r="I1224" t="b">
        <v>0</v>
      </c>
    </row>
    <row r="1225" spans="1:9" x14ac:dyDescent="0.2">
      <c r="A1225" t="s">
        <v>4116</v>
      </c>
      <c r="B1225" t="s">
        <v>4290</v>
      </c>
      <c r="D1225" t="b">
        <f>IFERROR(VLOOKUP(B1225,PatData!$A$2:$A$2030,1,),"")&lt;&gt;""</f>
        <v>1</v>
      </c>
      <c r="E1225">
        <v>1</v>
      </c>
      <c r="F1225" t="b">
        <v>0</v>
      </c>
      <c r="G1225" t="b">
        <v>1</v>
      </c>
      <c r="H1225" t="b">
        <v>1</v>
      </c>
      <c r="I1225" t="b">
        <v>0</v>
      </c>
    </row>
    <row r="1226" spans="1:9" x14ac:dyDescent="0.2">
      <c r="A1226" t="s">
        <v>3608</v>
      </c>
      <c r="B1226" t="s">
        <v>4291</v>
      </c>
      <c r="D1226" t="b">
        <f>IFERROR(VLOOKUP(B1226,PatData!$A$2:$A$2030,1,),"")&lt;&gt;""</f>
        <v>1</v>
      </c>
      <c r="E1226">
        <v>1</v>
      </c>
      <c r="F1226" t="b">
        <v>0</v>
      </c>
      <c r="G1226" t="b">
        <v>1</v>
      </c>
      <c r="H1226" t="b">
        <v>1</v>
      </c>
      <c r="I1226" t="b">
        <v>0</v>
      </c>
    </row>
    <row r="1227" spans="1:9" x14ac:dyDescent="0.2">
      <c r="A1227" t="s">
        <v>3609</v>
      </c>
      <c r="B1227" t="s">
        <v>4292</v>
      </c>
      <c r="D1227" t="b">
        <f>IFERROR(VLOOKUP(B1227,PatData!$A$2:$A$2030,1,),"")&lt;&gt;""</f>
        <v>1</v>
      </c>
      <c r="E1227">
        <v>1</v>
      </c>
      <c r="F1227" t="b">
        <v>0</v>
      </c>
      <c r="G1227" t="b">
        <v>1</v>
      </c>
      <c r="H1227" t="b">
        <v>1</v>
      </c>
      <c r="I1227" t="b">
        <v>0</v>
      </c>
    </row>
    <row r="1228" spans="1:9" x14ac:dyDescent="0.2">
      <c r="A1228" t="s">
        <v>3610</v>
      </c>
      <c r="B1228" t="s">
        <v>4293</v>
      </c>
      <c r="D1228" t="b">
        <f>IFERROR(VLOOKUP(B1228,PatData!$A$2:$A$2030,1,),"")&lt;&gt;""</f>
        <v>1</v>
      </c>
      <c r="E1228">
        <v>1</v>
      </c>
      <c r="F1228" t="b">
        <v>0</v>
      </c>
      <c r="G1228" t="b">
        <v>1</v>
      </c>
      <c r="H1228" t="b">
        <v>1</v>
      </c>
      <c r="I1228" t="b">
        <v>0</v>
      </c>
    </row>
    <row r="1229" spans="1:9" x14ac:dyDescent="0.2">
      <c r="A1229" t="s">
        <v>3611</v>
      </c>
      <c r="B1229" t="s">
        <v>4294</v>
      </c>
      <c r="D1229" t="b">
        <f>IFERROR(VLOOKUP(B1229,PatData!$A$2:$A$2030,1,),"")&lt;&gt;""</f>
        <v>1</v>
      </c>
      <c r="E1229">
        <v>1</v>
      </c>
      <c r="F1229" t="b">
        <v>0</v>
      </c>
      <c r="G1229" t="b">
        <v>1</v>
      </c>
      <c r="H1229" t="b">
        <v>1</v>
      </c>
      <c r="I1229" t="b">
        <v>0</v>
      </c>
    </row>
    <row r="1230" spans="1:9" x14ac:dyDescent="0.2">
      <c r="A1230" t="s">
        <v>3612</v>
      </c>
      <c r="B1230" t="s">
        <v>4295</v>
      </c>
      <c r="D1230" t="b">
        <f>IFERROR(VLOOKUP(B1230,PatData!$A$2:$A$2030,1,),"")&lt;&gt;""</f>
        <v>1</v>
      </c>
      <c r="E1230">
        <v>1</v>
      </c>
      <c r="F1230" t="b">
        <v>0</v>
      </c>
      <c r="G1230" t="b">
        <v>1</v>
      </c>
      <c r="H1230" t="b">
        <v>1</v>
      </c>
      <c r="I1230" t="b">
        <v>0</v>
      </c>
    </row>
    <row r="1231" spans="1:9" x14ac:dyDescent="0.2">
      <c r="A1231" t="s">
        <v>3613</v>
      </c>
      <c r="B1231" t="s">
        <v>4296</v>
      </c>
      <c r="D1231" t="b">
        <f>IFERROR(VLOOKUP(B1231,PatData!$A$2:$A$2030,1,),"")&lt;&gt;""</f>
        <v>1</v>
      </c>
      <c r="E1231">
        <v>1</v>
      </c>
      <c r="F1231" t="b">
        <v>0</v>
      </c>
      <c r="G1231" t="b">
        <v>1</v>
      </c>
      <c r="H1231" t="b">
        <v>1</v>
      </c>
      <c r="I1231" t="b">
        <v>0</v>
      </c>
    </row>
    <row r="1232" spans="1:9" x14ac:dyDescent="0.2">
      <c r="A1232" t="s">
        <v>3614</v>
      </c>
      <c r="B1232" t="s">
        <v>4297</v>
      </c>
      <c r="D1232" t="b">
        <f>IFERROR(VLOOKUP(B1232,PatData!$A$2:$A$2030,1,),"")&lt;&gt;""</f>
        <v>1</v>
      </c>
      <c r="E1232">
        <v>1</v>
      </c>
      <c r="F1232" t="b">
        <v>0</v>
      </c>
      <c r="G1232" t="b">
        <v>1</v>
      </c>
      <c r="H1232" t="b">
        <v>1</v>
      </c>
      <c r="I1232" t="b">
        <v>0</v>
      </c>
    </row>
    <row r="1233" spans="1:9" x14ac:dyDescent="0.2">
      <c r="A1233" t="s">
        <v>3615</v>
      </c>
      <c r="B1233" t="s">
        <v>4298</v>
      </c>
      <c r="D1233" t="b">
        <f>IFERROR(VLOOKUP(B1233,PatData!$A$2:$A$2030,1,),"")&lt;&gt;""</f>
        <v>1</v>
      </c>
      <c r="E1233">
        <v>1</v>
      </c>
      <c r="F1233" t="b">
        <v>0</v>
      </c>
      <c r="G1233" t="b">
        <v>1</v>
      </c>
      <c r="H1233" t="b">
        <v>1</v>
      </c>
      <c r="I1233" t="b">
        <v>0</v>
      </c>
    </row>
    <row r="1234" spans="1:9" x14ac:dyDescent="0.2">
      <c r="A1234" t="s">
        <v>3616</v>
      </c>
      <c r="B1234" t="s">
        <v>4299</v>
      </c>
      <c r="D1234" t="b">
        <f>IFERROR(VLOOKUP(B1234,PatData!$A$2:$A$2030,1,),"")&lt;&gt;""</f>
        <v>1</v>
      </c>
      <c r="E1234">
        <v>1</v>
      </c>
      <c r="F1234" t="b">
        <v>0</v>
      </c>
      <c r="G1234" t="b">
        <v>1</v>
      </c>
      <c r="H1234" t="b">
        <v>1</v>
      </c>
      <c r="I1234" t="b">
        <v>0</v>
      </c>
    </row>
    <row r="1235" spans="1:9" x14ac:dyDescent="0.2">
      <c r="A1235" t="s">
        <v>3617</v>
      </c>
      <c r="B1235" t="s">
        <v>4300</v>
      </c>
      <c r="D1235" t="b">
        <f>IFERROR(VLOOKUP(B1235,PatData!$A$2:$A$2030,1,),"")&lt;&gt;""</f>
        <v>1</v>
      </c>
      <c r="E1235">
        <v>0</v>
      </c>
      <c r="F1235" t="b">
        <v>0</v>
      </c>
      <c r="G1235" t="b">
        <v>1</v>
      </c>
      <c r="H1235" t="b">
        <v>1</v>
      </c>
      <c r="I1235" t="b">
        <v>0</v>
      </c>
    </row>
    <row r="1236" spans="1:9" x14ac:dyDescent="0.2">
      <c r="A1236" t="s">
        <v>3618</v>
      </c>
      <c r="B1236" t="s">
        <v>4301</v>
      </c>
      <c r="D1236" t="b">
        <f>IFERROR(VLOOKUP(B1236,PatData!$A$2:$A$2030,1,),"")&lt;&gt;""</f>
        <v>1</v>
      </c>
      <c r="E1236">
        <v>0</v>
      </c>
      <c r="F1236" t="b">
        <v>0</v>
      </c>
      <c r="G1236" t="b">
        <v>1</v>
      </c>
      <c r="H1236" t="b">
        <v>1</v>
      </c>
      <c r="I1236" t="b">
        <v>0</v>
      </c>
    </row>
    <row r="1237" spans="1:9" x14ac:dyDescent="0.2">
      <c r="A1237" t="s">
        <v>3619</v>
      </c>
      <c r="B1237" t="s">
        <v>4302</v>
      </c>
      <c r="D1237" t="b">
        <f>IFERROR(VLOOKUP(B1237,PatData!$A$2:$A$2030,1,),"")&lt;&gt;""</f>
        <v>1</v>
      </c>
      <c r="E1237">
        <v>0</v>
      </c>
      <c r="F1237" t="b">
        <v>0</v>
      </c>
      <c r="G1237" t="b">
        <v>1</v>
      </c>
      <c r="H1237" t="b">
        <v>1</v>
      </c>
      <c r="I1237" t="b">
        <v>0</v>
      </c>
    </row>
    <row r="1238" spans="1:9" x14ac:dyDescent="0.2">
      <c r="A1238" t="s">
        <v>3620</v>
      </c>
      <c r="B1238" t="s">
        <v>4303</v>
      </c>
      <c r="D1238" t="b">
        <f>IFERROR(VLOOKUP(B1238,PatData!$A$2:$A$2030,1,),"")&lt;&gt;""</f>
        <v>1</v>
      </c>
      <c r="E1238">
        <v>0</v>
      </c>
      <c r="F1238" t="b">
        <v>0</v>
      </c>
      <c r="G1238" t="b">
        <v>1</v>
      </c>
      <c r="H1238" t="b">
        <v>1</v>
      </c>
      <c r="I1238" t="b">
        <v>0</v>
      </c>
    </row>
    <row r="1239" spans="1:9" x14ac:dyDescent="0.2">
      <c r="A1239" t="s">
        <v>3621</v>
      </c>
      <c r="B1239" t="s">
        <v>4304</v>
      </c>
      <c r="D1239" t="b">
        <f>IFERROR(VLOOKUP(B1239,PatData!$A$2:$A$2030,1,),"")&lt;&gt;""</f>
        <v>1</v>
      </c>
      <c r="E1239">
        <v>0</v>
      </c>
      <c r="F1239" t="b">
        <v>0</v>
      </c>
      <c r="G1239" t="b">
        <v>1</v>
      </c>
      <c r="H1239" t="b">
        <v>1</v>
      </c>
      <c r="I1239" t="b">
        <v>0</v>
      </c>
    </row>
    <row r="1240" spans="1:9" x14ac:dyDescent="0.2">
      <c r="A1240" t="s">
        <v>3622</v>
      </c>
      <c r="B1240" t="s">
        <v>4305</v>
      </c>
      <c r="D1240" t="b">
        <f>IFERROR(VLOOKUP(B1240,PatData!$A$2:$A$2030,1,),"")&lt;&gt;""</f>
        <v>1</v>
      </c>
      <c r="E1240">
        <v>0</v>
      </c>
      <c r="F1240" t="b">
        <v>0</v>
      </c>
      <c r="G1240" t="b">
        <v>1</v>
      </c>
      <c r="H1240" t="b">
        <v>1</v>
      </c>
      <c r="I1240" t="b">
        <v>0</v>
      </c>
    </row>
    <row r="1241" spans="1:9" x14ac:dyDescent="0.2">
      <c r="A1241" t="s">
        <v>3623</v>
      </c>
      <c r="B1241" t="s">
        <v>4306</v>
      </c>
      <c r="D1241" t="b">
        <f>IFERROR(VLOOKUP(B1241,PatData!$A$2:$A$2030,1,),"")&lt;&gt;""</f>
        <v>1</v>
      </c>
      <c r="E1241">
        <v>0</v>
      </c>
      <c r="F1241" t="b">
        <v>0</v>
      </c>
      <c r="G1241" t="b">
        <v>1</v>
      </c>
      <c r="H1241" t="b">
        <v>1</v>
      </c>
      <c r="I1241" t="b">
        <v>0</v>
      </c>
    </row>
    <row r="1242" spans="1:9" x14ac:dyDescent="0.2">
      <c r="A1242" t="s">
        <v>3624</v>
      </c>
      <c r="B1242" t="s">
        <v>4307</v>
      </c>
      <c r="D1242" t="b">
        <f>IFERROR(VLOOKUP(B1242,PatData!$A$2:$A$2030,1,),"")&lt;&gt;""</f>
        <v>1</v>
      </c>
      <c r="E1242">
        <v>0</v>
      </c>
      <c r="F1242" t="b">
        <v>0</v>
      </c>
      <c r="G1242" t="b">
        <v>1</v>
      </c>
      <c r="H1242" t="b">
        <v>1</v>
      </c>
      <c r="I1242" t="b">
        <v>0</v>
      </c>
    </row>
    <row r="1243" spans="1:9" x14ac:dyDescent="0.2">
      <c r="A1243" t="s">
        <v>3625</v>
      </c>
      <c r="B1243" t="s">
        <v>4308</v>
      </c>
      <c r="D1243" t="b">
        <f>IFERROR(VLOOKUP(B1243,PatData!$A$2:$A$2030,1,),"")&lt;&gt;""</f>
        <v>1</v>
      </c>
      <c r="E1243">
        <v>0</v>
      </c>
      <c r="F1243" t="b">
        <v>0</v>
      </c>
      <c r="G1243" t="b">
        <v>1</v>
      </c>
      <c r="H1243" t="b">
        <v>1</v>
      </c>
      <c r="I1243" t="b">
        <v>0</v>
      </c>
    </row>
    <row r="1244" spans="1:9" x14ac:dyDescent="0.2">
      <c r="A1244" t="s">
        <v>3626</v>
      </c>
      <c r="B1244" t="s">
        <v>4309</v>
      </c>
      <c r="D1244" t="b">
        <f>IFERROR(VLOOKUP(B1244,PatData!$A$2:$A$2030,1,),"")&lt;&gt;""</f>
        <v>1</v>
      </c>
      <c r="E1244">
        <v>0</v>
      </c>
      <c r="F1244" t="b">
        <v>0</v>
      </c>
      <c r="G1244" t="b">
        <v>1</v>
      </c>
      <c r="H1244" t="b">
        <v>1</v>
      </c>
      <c r="I1244" t="b">
        <v>0</v>
      </c>
    </row>
    <row r="1245" spans="1:9" x14ac:dyDescent="0.2">
      <c r="A1245" t="s">
        <v>3627</v>
      </c>
      <c r="B1245" t="s">
        <v>3883</v>
      </c>
      <c r="D1245" t="b">
        <f>IFERROR(VLOOKUP(B1245,PatData!$A$2:$A$2030,1,),"")&lt;&gt;""</f>
        <v>1</v>
      </c>
      <c r="E1245"/>
      <c r="F1245" t="b">
        <v>0</v>
      </c>
      <c r="G1245" t="b">
        <v>1</v>
      </c>
      <c r="H1245" t="b">
        <v>1</v>
      </c>
      <c r="I1245" t="b">
        <v>0</v>
      </c>
    </row>
    <row r="1246" spans="1:9" x14ac:dyDescent="0.2">
      <c r="A1246" t="s">
        <v>3628</v>
      </c>
      <c r="B1246" t="s">
        <v>3884</v>
      </c>
      <c r="D1246" t="b">
        <f>IFERROR(VLOOKUP(B1246,PatData!$A$2:$A$2030,1,),"")&lt;&gt;""</f>
        <v>1</v>
      </c>
      <c r="E1246"/>
      <c r="F1246" t="b">
        <v>0</v>
      </c>
      <c r="G1246" t="b">
        <v>1</v>
      </c>
      <c r="H1246" t="b">
        <v>1</v>
      </c>
      <c r="I1246" t="b">
        <v>0</v>
      </c>
    </row>
    <row r="1247" spans="1:9" x14ac:dyDescent="0.2">
      <c r="A1247" t="s">
        <v>3629</v>
      </c>
      <c r="B1247" t="s">
        <v>4310</v>
      </c>
      <c r="D1247" t="b">
        <f>IFERROR(VLOOKUP(B1247,PatData!$A$2:$A$2030,1,),"")&lt;&gt;""</f>
        <v>1</v>
      </c>
      <c r="E1247">
        <v>0</v>
      </c>
      <c r="F1247" t="b">
        <v>0</v>
      </c>
      <c r="G1247" t="b">
        <v>1</v>
      </c>
      <c r="H1247" t="b">
        <v>1</v>
      </c>
      <c r="I1247" t="b">
        <v>0</v>
      </c>
    </row>
    <row r="1248" spans="1:9" x14ac:dyDescent="0.2">
      <c r="A1248" t="s">
        <v>3630</v>
      </c>
      <c r="B1248" t="s">
        <v>4311</v>
      </c>
      <c r="D1248" t="b">
        <f>IFERROR(VLOOKUP(B1248,PatData!$A$2:$A$2030,1,),"")&lt;&gt;""</f>
        <v>1</v>
      </c>
      <c r="E1248">
        <v>0</v>
      </c>
      <c r="F1248" t="b">
        <v>0</v>
      </c>
      <c r="G1248" t="b">
        <v>1</v>
      </c>
      <c r="H1248" t="b">
        <v>1</v>
      </c>
      <c r="I1248" t="b">
        <v>0</v>
      </c>
    </row>
    <row r="1249" spans="1:9" x14ac:dyDescent="0.2">
      <c r="A1249" t="s">
        <v>3631</v>
      </c>
      <c r="B1249" t="s">
        <v>4312</v>
      </c>
      <c r="D1249" t="b">
        <f>IFERROR(VLOOKUP(B1249,PatData!$A$2:$A$2030,1,),"")&lt;&gt;""</f>
        <v>1</v>
      </c>
      <c r="E1249">
        <v>0</v>
      </c>
      <c r="F1249" t="b">
        <v>0</v>
      </c>
      <c r="G1249" t="b">
        <v>1</v>
      </c>
      <c r="H1249" t="b">
        <v>1</v>
      </c>
      <c r="I1249" t="b">
        <v>0</v>
      </c>
    </row>
    <row r="1250" spans="1:9" x14ac:dyDescent="0.2">
      <c r="A1250" t="s">
        <v>3632</v>
      </c>
      <c r="B1250" t="s">
        <v>4313</v>
      </c>
      <c r="D1250" t="b">
        <f>IFERROR(VLOOKUP(B1250,PatData!$A$2:$A$2030,1,),"")&lt;&gt;""</f>
        <v>1</v>
      </c>
      <c r="E1250">
        <v>0</v>
      </c>
      <c r="F1250" t="b">
        <v>0</v>
      </c>
      <c r="G1250" t="b">
        <v>1</v>
      </c>
      <c r="H1250" t="b">
        <v>1</v>
      </c>
      <c r="I1250" t="b">
        <v>0</v>
      </c>
    </row>
    <row r="1251" spans="1:9" x14ac:dyDescent="0.2">
      <c r="A1251" t="s">
        <v>3633</v>
      </c>
      <c r="B1251" t="s">
        <v>4314</v>
      </c>
      <c r="D1251" t="b">
        <f>IFERROR(VLOOKUP(B1251,PatData!$A$2:$A$2030,1,),"")&lt;&gt;""</f>
        <v>1</v>
      </c>
      <c r="E1251">
        <v>0</v>
      </c>
      <c r="F1251" t="b">
        <v>0</v>
      </c>
      <c r="G1251" t="b">
        <v>1</v>
      </c>
      <c r="H1251" t="b">
        <v>1</v>
      </c>
      <c r="I1251" t="b">
        <v>0</v>
      </c>
    </row>
    <row r="1252" spans="1:9" x14ac:dyDescent="0.2">
      <c r="A1252" t="s">
        <v>3634</v>
      </c>
      <c r="B1252" t="s">
        <v>4315</v>
      </c>
      <c r="D1252" t="b">
        <f>IFERROR(VLOOKUP(B1252,PatData!$A$2:$A$2030,1,),"")&lt;&gt;""</f>
        <v>1</v>
      </c>
      <c r="E1252">
        <v>0</v>
      </c>
      <c r="F1252" t="b">
        <v>0</v>
      </c>
      <c r="G1252" t="b">
        <v>1</v>
      </c>
      <c r="H1252" t="b">
        <v>1</v>
      </c>
      <c r="I1252" t="b">
        <v>0</v>
      </c>
    </row>
    <row r="1253" spans="1:9" x14ac:dyDescent="0.2">
      <c r="A1253" t="s">
        <v>3635</v>
      </c>
      <c r="B1253" t="s">
        <v>4316</v>
      </c>
      <c r="D1253" t="b">
        <f>IFERROR(VLOOKUP(B1253,PatData!$A$2:$A$2030,1,),"")&lt;&gt;""</f>
        <v>1</v>
      </c>
      <c r="E1253">
        <v>0</v>
      </c>
      <c r="F1253" t="b">
        <v>0</v>
      </c>
      <c r="G1253" t="b">
        <v>1</v>
      </c>
      <c r="H1253" t="b">
        <v>1</v>
      </c>
      <c r="I1253" t="b">
        <v>0</v>
      </c>
    </row>
    <row r="1254" spans="1:9" x14ac:dyDescent="0.2">
      <c r="A1254" t="s">
        <v>3636</v>
      </c>
      <c r="B1254" t="s">
        <v>4317</v>
      </c>
      <c r="D1254" t="b">
        <f>IFERROR(VLOOKUP(B1254,PatData!$A$2:$A$2030,1,),"")&lt;&gt;""</f>
        <v>1</v>
      </c>
      <c r="E1254">
        <v>0</v>
      </c>
      <c r="F1254" t="b">
        <v>0</v>
      </c>
      <c r="G1254" t="b">
        <v>1</v>
      </c>
      <c r="H1254" t="b">
        <v>1</v>
      </c>
      <c r="I1254" t="b">
        <v>0</v>
      </c>
    </row>
    <row r="1255" spans="1:9" x14ac:dyDescent="0.2">
      <c r="A1255" t="s">
        <v>3637</v>
      </c>
      <c r="B1255" t="s">
        <v>4318</v>
      </c>
      <c r="D1255" t="b">
        <f>IFERROR(VLOOKUP(B1255,PatData!$A$2:$A$2030,1,),"")&lt;&gt;""</f>
        <v>1</v>
      </c>
      <c r="E1255">
        <v>0</v>
      </c>
      <c r="F1255" t="b">
        <v>0</v>
      </c>
      <c r="G1255" t="b">
        <v>1</v>
      </c>
      <c r="H1255" t="b">
        <v>1</v>
      </c>
      <c r="I1255" t="b">
        <v>0</v>
      </c>
    </row>
    <row r="1256" spans="1:9" x14ac:dyDescent="0.2">
      <c r="A1256" t="s">
        <v>3638</v>
      </c>
      <c r="B1256" t="s">
        <v>4319</v>
      </c>
      <c r="D1256" t="b">
        <f>IFERROR(VLOOKUP(B1256,PatData!$A$2:$A$2030,1,),"")&lt;&gt;""</f>
        <v>1</v>
      </c>
      <c r="E1256">
        <v>0</v>
      </c>
      <c r="F1256" t="b">
        <v>0</v>
      </c>
      <c r="G1256" t="b">
        <v>1</v>
      </c>
      <c r="H1256" t="b">
        <v>1</v>
      </c>
      <c r="I1256" t="b">
        <v>0</v>
      </c>
    </row>
    <row r="1257" spans="1:9" x14ac:dyDescent="0.2">
      <c r="A1257" t="s">
        <v>3639</v>
      </c>
      <c r="B1257" t="s">
        <v>3885</v>
      </c>
      <c r="D1257" t="b">
        <f>IFERROR(VLOOKUP(B1257,PatData!$A$2:$A$2030,1,),"")&lt;&gt;""</f>
        <v>1</v>
      </c>
      <c r="E1257">
        <v>1</v>
      </c>
      <c r="F1257" t="b">
        <v>0</v>
      </c>
      <c r="G1257" t="b">
        <v>1</v>
      </c>
      <c r="H1257" t="b">
        <v>1</v>
      </c>
      <c r="I1257" t="b">
        <v>0</v>
      </c>
    </row>
    <row r="1258" spans="1:9" x14ac:dyDescent="0.2">
      <c r="A1258" t="s">
        <v>3640</v>
      </c>
      <c r="B1258" t="s">
        <v>3886</v>
      </c>
      <c r="D1258" t="b">
        <f>IFERROR(VLOOKUP(B1258,PatData!$A$2:$A$2030,1,),"")&lt;&gt;""</f>
        <v>1</v>
      </c>
      <c r="E1258">
        <v>1</v>
      </c>
      <c r="F1258" t="b">
        <v>0</v>
      </c>
      <c r="G1258" t="b">
        <v>1</v>
      </c>
      <c r="H1258" t="b">
        <v>1</v>
      </c>
      <c r="I1258" t="b">
        <v>0</v>
      </c>
    </row>
    <row r="1259" spans="1:9" x14ac:dyDescent="0.2">
      <c r="A1259" t="s">
        <v>3641</v>
      </c>
      <c r="B1259" t="s">
        <v>3887</v>
      </c>
      <c r="D1259" t="b">
        <f>IFERROR(VLOOKUP(B1259,PatData!$A$2:$A$2030,1,),"")&lt;&gt;""</f>
        <v>1</v>
      </c>
      <c r="E1259">
        <v>1</v>
      </c>
      <c r="F1259" t="b">
        <v>0</v>
      </c>
      <c r="G1259" t="b">
        <v>1</v>
      </c>
      <c r="H1259" t="b">
        <v>1</v>
      </c>
      <c r="I1259" t="b">
        <v>0</v>
      </c>
    </row>
    <row r="1260" spans="1:9" x14ac:dyDescent="0.2">
      <c r="A1260" t="s">
        <v>3642</v>
      </c>
      <c r="B1260" t="s">
        <v>3888</v>
      </c>
      <c r="D1260" t="b">
        <f>IFERROR(VLOOKUP(B1260,PatData!$A$2:$A$2030,1,),"")&lt;&gt;""</f>
        <v>1</v>
      </c>
      <c r="E1260">
        <v>1</v>
      </c>
      <c r="F1260" t="b">
        <v>0</v>
      </c>
      <c r="G1260" t="b">
        <v>1</v>
      </c>
      <c r="H1260" t="b">
        <v>1</v>
      </c>
      <c r="I1260" t="b">
        <v>0</v>
      </c>
    </row>
    <row r="1261" spans="1:9" x14ac:dyDescent="0.2">
      <c r="A1261" t="s">
        <v>3643</v>
      </c>
      <c r="B1261" t="s">
        <v>3889</v>
      </c>
      <c r="D1261" t="b">
        <f>IFERROR(VLOOKUP(B1261,PatData!$A$2:$A$2030,1,),"")&lt;&gt;""</f>
        <v>1</v>
      </c>
      <c r="E1261">
        <v>1</v>
      </c>
      <c r="F1261" t="b">
        <v>0</v>
      </c>
      <c r="G1261" t="b">
        <v>1</v>
      </c>
      <c r="H1261" t="b">
        <v>1</v>
      </c>
      <c r="I1261" t="b">
        <v>0</v>
      </c>
    </row>
    <row r="1262" spans="1:9" x14ac:dyDescent="0.2">
      <c r="A1262" t="s">
        <v>3644</v>
      </c>
      <c r="B1262" t="s">
        <v>3890</v>
      </c>
      <c r="D1262" t="b">
        <f>IFERROR(VLOOKUP(B1262,PatData!$A$2:$A$2030,1,),"")&lt;&gt;""</f>
        <v>1</v>
      </c>
      <c r="E1262">
        <v>1</v>
      </c>
      <c r="F1262" t="b">
        <v>0</v>
      </c>
      <c r="G1262" t="b">
        <v>1</v>
      </c>
      <c r="H1262" t="b">
        <v>1</v>
      </c>
      <c r="I1262" t="b">
        <v>0</v>
      </c>
    </row>
    <row r="1263" spans="1:9" x14ac:dyDescent="0.2">
      <c r="A1263" t="s">
        <v>3645</v>
      </c>
      <c r="B1263" t="s">
        <v>3891</v>
      </c>
      <c r="D1263" t="b">
        <f>IFERROR(VLOOKUP(B1263,PatData!$A$2:$A$2030,1,),"")&lt;&gt;""</f>
        <v>1</v>
      </c>
      <c r="E1263">
        <v>1</v>
      </c>
      <c r="F1263" t="b">
        <v>0</v>
      </c>
      <c r="G1263" t="b">
        <v>1</v>
      </c>
      <c r="H1263" t="b">
        <v>1</v>
      </c>
      <c r="I1263" t="b">
        <v>0</v>
      </c>
    </row>
    <row r="1264" spans="1:9" x14ac:dyDescent="0.2">
      <c r="A1264" t="s">
        <v>3646</v>
      </c>
      <c r="B1264" t="s">
        <v>3892</v>
      </c>
      <c r="D1264" t="b">
        <f>IFERROR(VLOOKUP(B1264,PatData!$A$2:$A$2030,1,),"")&lt;&gt;""</f>
        <v>1</v>
      </c>
      <c r="E1264">
        <v>1</v>
      </c>
      <c r="F1264" t="b">
        <v>0</v>
      </c>
      <c r="G1264" t="b">
        <v>1</v>
      </c>
      <c r="H1264" t="b">
        <v>1</v>
      </c>
      <c r="I1264" t="b">
        <v>0</v>
      </c>
    </row>
    <row r="1265" spans="1:9" x14ac:dyDescent="0.2">
      <c r="A1265" t="s">
        <v>3647</v>
      </c>
      <c r="B1265" t="s">
        <v>3893</v>
      </c>
      <c r="D1265" t="b">
        <f>IFERROR(VLOOKUP(B1265,PatData!$A$2:$A$2030,1,),"")&lt;&gt;""</f>
        <v>1</v>
      </c>
      <c r="E1265">
        <v>1</v>
      </c>
      <c r="F1265" t="b">
        <v>0</v>
      </c>
      <c r="G1265" t="b">
        <v>1</v>
      </c>
      <c r="H1265" t="b">
        <v>1</v>
      </c>
      <c r="I1265" t="b">
        <v>0</v>
      </c>
    </row>
    <row r="1266" spans="1:9" x14ac:dyDescent="0.2">
      <c r="A1266" t="s">
        <v>3648</v>
      </c>
      <c r="B1266" t="s">
        <v>3894</v>
      </c>
      <c r="D1266" t="b">
        <f>IFERROR(VLOOKUP(B1266,PatData!$A$2:$A$2030,1,),"")&lt;&gt;""</f>
        <v>1</v>
      </c>
      <c r="E1266">
        <v>1</v>
      </c>
      <c r="F1266" t="b">
        <v>0</v>
      </c>
      <c r="G1266" t="b">
        <v>1</v>
      </c>
      <c r="H1266" t="b">
        <v>1</v>
      </c>
      <c r="I1266" t="b">
        <v>0</v>
      </c>
    </row>
    <row r="1267" spans="1:9" x14ac:dyDescent="0.2">
      <c r="A1267" t="s">
        <v>3649</v>
      </c>
      <c r="B1267" t="s">
        <v>3895</v>
      </c>
      <c r="D1267" t="b">
        <f>IFERROR(VLOOKUP(B1267,PatData!$A$2:$A$2030,1,),"")&lt;&gt;""</f>
        <v>1</v>
      </c>
      <c r="E1267">
        <v>1</v>
      </c>
      <c r="F1267" t="b">
        <v>0</v>
      </c>
      <c r="G1267" t="b">
        <v>1</v>
      </c>
      <c r="H1267" t="b">
        <v>1</v>
      </c>
      <c r="I1267" t="b">
        <v>0</v>
      </c>
    </row>
    <row r="1268" spans="1:9" x14ac:dyDescent="0.2">
      <c r="A1268" t="s">
        <v>3650</v>
      </c>
      <c r="B1268" t="s">
        <v>3896</v>
      </c>
      <c r="D1268" t="b">
        <f>IFERROR(VLOOKUP(B1268,PatData!$A$2:$A$2030,1,),"")&lt;&gt;""</f>
        <v>1</v>
      </c>
      <c r="E1268">
        <v>1</v>
      </c>
      <c r="F1268" t="b">
        <v>0</v>
      </c>
      <c r="G1268" t="b">
        <v>1</v>
      </c>
      <c r="H1268" t="b">
        <v>1</v>
      </c>
      <c r="I1268" t="b">
        <v>0</v>
      </c>
    </row>
    <row r="1269" spans="1:9" x14ac:dyDescent="0.2">
      <c r="A1269" t="s">
        <v>3651</v>
      </c>
      <c r="B1269" t="s">
        <v>4320</v>
      </c>
      <c r="D1269" t="b">
        <f>IFERROR(VLOOKUP(B1269,PatData!$A$2:$A$2030,1,),"")&lt;&gt;""</f>
        <v>1</v>
      </c>
      <c r="E1269">
        <v>1</v>
      </c>
      <c r="F1269" t="b">
        <v>0</v>
      </c>
      <c r="G1269" t="b">
        <v>1</v>
      </c>
      <c r="H1269" t="b">
        <v>1</v>
      </c>
      <c r="I1269" t="b">
        <v>0</v>
      </c>
    </row>
    <row r="1270" spans="1:9" x14ac:dyDescent="0.2">
      <c r="A1270" t="s">
        <v>3652</v>
      </c>
      <c r="B1270" t="s">
        <v>3897</v>
      </c>
      <c r="D1270" t="b">
        <f>IFERROR(VLOOKUP(B1270,PatData!$A$2:$A$2030,1,),"")&lt;&gt;""</f>
        <v>1</v>
      </c>
      <c r="E1270">
        <v>0</v>
      </c>
      <c r="F1270" t="b">
        <v>0</v>
      </c>
      <c r="G1270" t="b">
        <v>1</v>
      </c>
      <c r="H1270" t="b">
        <v>1</v>
      </c>
      <c r="I1270" t="b">
        <v>0</v>
      </c>
    </row>
    <row r="1271" spans="1:9" x14ac:dyDescent="0.2">
      <c r="A1271" t="s">
        <v>3653</v>
      </c>
      <c r="B1271" t="s">
        <v>3898</v>
      </c>
      <c r="D1271" t="b">
        <f>IFERROR(VLOOKUP(B1271,PatData!$A$2:$A$2030,1,),"")&lt;&gt;""</f>
        <v>1</v>
      </c>
      <c r="E1271">
        <v>0</v>
      </c>
      <c r="F1271" t="b">
        <v>0</v>
      </c>
      <c r="G1271" t="b">
        <v>1</v>
      </c>
      <c r="H1271" t="b">
        <v>1</v>
      </c>
      <c r="I1271" t="b">
        <v>0</v>
      </c>
    </row>
    <row r="1272" spans="1:9" x14ac:dyDescent="0.2">
      <c r="A1272" t="s">
        <v>3654</v>
      </c>
      <c r="B1272" t="s">
        <v>3899</v>
      </c>
      <c r="D1272" t="b">
        <f>IFERROR(VLOOKUP(B1272,PatData!$A$2:$A$2030,1,),"")&lt;&gt;""</f>
        <v>1</v>
      </c>
      <c r="E1272">
        <v>0</v>
      </c>
      <c r="F1272" t="b">
        <v>0</v>
      </c>
      <c r="G1272" t="b">
        <v>1</v>
      </c>
      <c r="H1272" t="b">
        <v>1</v>
      </c>
      <c r="I1272" t="b">
        <v>0</v>
      </c>
    </row>
    <row r="1273" spans="1:9" x14ac:dyDescent="0.2">
      <c r="A1273" t="s">
        <v>3655</v>
      </c>
      <c r="B1273" t="s">
        <v>3900</v>
      </c>
      <c r="D1273" t="b">
        <f>IFERROR(VLOOKUP(B1273,PatData!$A$2:$A$2030,1,),"")&lt;&gt;""</f>
        <v>1</v>
      </c>
      <c r="E1273">
        <v>0</v>
      </c>
      <c r="F1273" t="b">
        <v>0</v>
      </c>
      <c r="G1273" t="b">
        <v>1</v>
      </c>
      <c r="H1273" t="b">
        <v>1</v>
      </c>
      <c r="I1273" t="b">
        <v>0</v>
      </c>
    </row>
    <row r="1274" spans="1:9" x14ac:dyDescent="0.2">
      <c r="A1274" t="s">
        <v>3656</v>
      </c>
      <c r="B1274" t="s">
        <v>3901</v>
      </c>
      <c r="D1274" t="b">
        <f>IFERROR(VLOOKUP(B1274,PatData!$A$2:$A$2030,1,),"")&lt;&gt;""</f>
        <v>1</v>
      </c>
      <c r="E1274">
        <v>0</v>
      </c>
      <c r="F1274" t="b">
        <v>0</v>
      </c>
      <c r="G1274" t="b">
        <v>1</v>
      </c>
      <c r="H1274" t="b">
        <v>1</v>
      </c>
      <c r="I1274" t="b">
        <v>0</v>
      </c>
    </row>
    <row r="1275" spans="1:9" x14ac:dyDescent="0.2">
      <c r="A1275" t="s">
        <v>3657</v>
      </c>
      <c r="B1275" t="s">
        <v>3902</v>
      </c>
      <c r="D1275" t="b">
        <f>IFERROR(VLOOKUP(B1275,PatData!$A$2:$A$2030,1,),"")&lt;&gt;""</f>
        <v>1</v>
      </c>
      <c r="E1275">
        <v>0</v>
      </c>
      <c r="F1275" t="b">
        <v>0</v>
      </c>
      <c r="G1275" t="b">
        <v>1</v>
      </c>
      <c r="H1275" t="b">
        <v>1</v>
      </c>
      <c r="I1275" t="b">
        <v>0</v>
      </c>
    </row>
    <row r="1276" spans="1:9" x14ac:dyDescent="0.2">
      <c r="A1276" t="s">
        <v>3658</v>
      </c>
      <c r="B1276" t="s">
        <v>3903</v>
      </c>
      <c r="D1276" t="b">
        <f>IFERROR(VLOOKUP(B1276,PatData!$A$2:$A$2030,1,),"")&lt;&gt;""</f>
        <v>1</v>
      </c>
      <c r="E1276">
        <v>0</v>
      </c>
      <c r="F1276" t="b">
        <v>0</v>
      </c>
      <c r="G1276" t="b">
        <v>1</v>
      </c>
      <c r="H1276" t="b">
        <v>1</v>
      </c>
      <c r="I1276" t="b">
        <v>0</v>
      </c>
    </row>
    <row r="1277" spans="1:9" x14ac:dyDescent="0.2">
      <c r="A1277" t="s">
        <v>3659</v>
      </c>
      <c r="B1277" t="s">
        <v>3904</v>
      </c>
      <c r="D1277" t="b">
        <f>IFERROR(VLOOKUP(B1277,PatData!$A$2:$A$2030,1,),"")&lt;&gt;""</f>
        <v>1</v>
      </c>
      <c r="E1277">
        <v>0</v>
      </c>
      <c r="F1277" t="b">
        <v>0</v>
      </c>
      <c r="G1277" t="b">
        <v>1</v>
      </c>
      <c r="H1277" t="b">
        <v>1</v>
      </c>
      <c r="I1277" t="b">
        <v>0</v>
      </c>
    </row>
    <row r="1278" spans="1:9" x14ac:dyDescent="0.2">
      <c r="A1278" t="s">
        <v>3660</v>
      </c>
      <c r="B1278" t="s">
        <v>3905</v>
      </c>
      <c r="D1278" t="b">
        <f>IFERROR(VLOOKUP(B1278,PatData!$A$2:$A$2030,1,),"")&lt;&gt;""</f>
        <v>1</v>
      </c>
      <c r="E1278">
        <v>0</v>
      </c>
      <c r="F1278" t="b">
        <v>0</v>
      </c>
      <c r="G1278" t="b">
        <v>1</v>
      </c>
      <c r="H1278" t="b">
        <v>1</v>
      </c>
      <c r="I1278" t="b">
        <v>0</v>
      </c>
    </row>
    <row r="1279" spans="1:9" x14ac:dyDescent="0.2">
      <c r="A1279" t="s">
        <v>3661</v>
      </c>
      <c r="B1279" t="s">
        <v>3906</v>
      </c>
      <c r="D1279" t="b">
        <f>IFERROR(VLOOKUP(B1279,PatData!$A$2:$A$2030,1,),"")&lt;&gt;""</f>
        <v>1</v>
      </c>
      <c r="E1279">
        <v>0</v>
      </c>
      <c r="F1279" t="b">
        <v>0</v>
      </c>
      <c r="G1279" t="b">
        <v>1</v>
      </c>
      <c r="H1279" t="b">
        <v>1</v>
      </c>
      <c r="I1279" t="b">
        <v>0</v>
      </c>
    </row>
    <row r="1280" spans="1:9" x14ac:dyDescent="0.2">
      <c r="A1280" t="s">
        <v>3662</v>
      </c>
      <c r="B1280" t="s">
        <v>3907</v>
      </c>
      <c r="D1280" t="b">
        <f>IFERROR(VLOOKUP(B1280,PatData!$A$2:$A$2030,1,),"")&lt;&gt;""</f>
        <v>1</v>
      </c>
      <c r="E1280">
        <v>0</v>
      </c>
      <c r="F1280" t="b">
        <v>0</v>
      </c>
      <c r="G1280" t="b">
        <v>1</v>
      </c>
      <c r="H1280" t="b">
        <v>1</v>
      </c>
      <c r="I1280" t="b">
        <v>0</v>
      </c>
    </row>
    <row r="1281" spans="1:9" x14ac:dyDescent="0.2">
      <c r="A1281" t="s">
        <v>3663</v>
      </c>
      <c r="B1281" t="s">
        <v>3908</v>
      </c>
      <c r="D1281" t="b">
        <f>IFERROR(VLOOKUP(B1281,PatData!$A$2:$A$2030,1,),"")&lt;&gt;""</f>
        <v>1</v>
      </c>
      <c r="E1281">
        <v>0</v>
      </c>
      <c r="F1281" t="b">
        <v>0</v>
      </c>
      <c r="G1281" t="b">
        <v>1</v>
      </c>
      <c r="H1281" t="b">
        <v>1</v>
      </c>
      <c r="I1281" t="b">
        <v>0</v>
      </c>
    </row>
    <row r="1282" spans="1:9" x14ac:dyDescent="0.2">
      <c r="A1282" t="s">
        <v>3664</v>
      </c>
      <c r="B1282" t="s">
        <v>4321</v>
      </c>
      <c r="D1282" t="b">
        <f>IFERROR(VLOOKUP(B1282,PatData!$A$2:$A$2030,1,),"")&lt;&gt;""</f>
        <v>1</v>
      </c>
      <c r="E1282">
        <v>0</v>
      </c>
      <c r="F1282" t="b">
        <v>0</v>
      </c>
      <c r="G1282" t="b">
        <v>1</v>
      </c>
      <c r="H1282" t="b">
        <v>1</v>
      </c>
      <c r="I1282" t="b">
        <v>0</v>
      </c>
    </row>
    <row r="1283" spans="1:9" x14ac:dyDescent="0.2">
      <c r="A1283" t="s">
        <v>3665</v>
      </c>
      <c r="B1283" t="s">
        <v>3909</v>
      </c>
      <c r="D1283" t="b">
        <f>IFERROR(VLOOKUP(B1283,PatData!$A$2:$A$2030,1,),"")&lt;&gt;""</f>
        <v>1</v>
      </c>
      <c r="E1283" t="b">
        <v>0</v>
      </c>
      <c r="F1283" t="b">
        <v>0</v>
      </c>
      <c r="G1283" t="b">
        <v>1</v>
      </c>
      <c r="H1283" t="b">
        <v>1</v>
      </c>
      <c r="I1283" t="b">
        <v>0</v>
      </c>
    </row>
    <row r="1284" spans="1:9" x14ac:dyDescent="0.2">
      <c r="A1284" t="s">
        <v>3666</v>
      </c>
      <c r="B1284" t="s">
        <v>3910</v>
      </c>
      <c r="D1284" t="b">
        <f>IFERROR(VLOOKUP(B1284,PatData!$A$2:$A$2030,1,),"")&lt;&gt;""</f>
        <v>1</v>
      </c>
      <c r="E1284" t="b">
        <v>0</v>
      </c>
      <c r="F1284" t="b">
        <v>0</v>
      </c>
      <c r="G1284" t="b">
        <v>1</v>
      </c>
      <c r="H1284" t="b">
        <v>1</v>
      </c>
      <c r="I1284" t="b">
        <v>0</v>
      </c>
    </row>
    <row r="1285" spans="1:9" x14ac:dyDescent="0.2">
      <c r="A1285" t="s">
        <v>3667</v>
      </c>
      <c r="B1285" t="s">
        <v>3911</v>
      </c>
      <c r="D1285" t="b">
        <f>IFERROR(VLOOKUP(B1285,PatData!$A$2:$A$2030,1,),"")&lt;&gt;""</f>
        <v>1</v>
      </c>
      <c r="E1285" t="b">
        <v>0</v>
      </c>
      <c r="F1285" t="b">
        <v>0</v>
      </c>
      <c r="G1285" t="b">
        <v>1</v>
      </c>
      <c r="H1285" t="b">
        <v>1</v>
      </c>
      <c r="I1285" t="b">
        <v>0</v>
      </c>
    </row>
    <row r="1286" spans="1:9" x14ac:dyDescent="0.2">
      <c r="A1286" t="s">
        <v>3668</v>
      </c>
      <c r="B1286" t="s">
        <v>3912</v>
      </c>
      <c r="D1286" t="b">
        <f>IFERROR(VLOOKUP(B1286,PatData!$A$2:$A$2030,1,),"")&lt;&gt;""</f>
        <v>1</v>
      </c>
      <c r="E1286" t="b">
        <v>0</v>
      </c>
      <c r="F1286" t="b">
        <v>0</v>
      </c>
      <c r="G1286" t="b">
        <v>1</v>
      </c>
      <c r="H1286" t="b">
        <v>1</v>
      </c>
      <c r="I1286" t="b">
        <v>0</v>
      </c>
    </row>
    <row r="1287" spans="1:9" x14ac:dyDescent="0.2">
      <c r="A1287" t="s">
        <v>3669</v>
      </c>
      <c r="B1287" t="s">
        <v>3913</v>
      </c>
      <c r="D1287" t="b">
        <f>IFERROR(VLOOKUP(B1287,PatData!$A$2:$A$2030,1,),"")&lt;&gt;""</f>
        <v>1</v>
      </c>
      <c r="E1287" t="b">
        <v>0</v>
      </c>
      <c r="F1287" t="b">
        <v>0</v>
      </c>
      <c r="G1287" t="b">
        <v>1</v>
      </c>
      <c r="H1287" t="b">
        <v>1</v>
      </c>
      <c r="I1287" t="b">
        <v>0</v>
      </c>
    </row>
    <row r="1288" spans="1:9" x14ac:dyDescent="0.2">
      <c r="A1288" t="s">
        <v>3670</v>
      </c>
      <c r="B1288" t="s">
        <v>3914</v>
      </c>
      <c r="D1288" t="b">
        <f>IFERROR(VLOOKUP(B1288,PatData!$A$2:$A$2030,1,),"")&lt;&gt;""</f>
        <v>1</v>
      </c>
      <c r="E1288" t="b">
        <v>0</v>
      </c>
      <c r="F1288" t="b">
        <v>0</v>
      </c>
      <c r="G1288" t="b">
        <v>1</v>
      </c>
      <c r="H1288" t="b">
        <v>1</v>
      </c>
      <c r="I1288" t="b">
        <v>0</v>
      </c>
    </row>
    <row r="1289" spans="1:9" x14ac:dyDescent="0.2">
      <c r="A1289" t="s">
        <v>3671</v>
      </c>
      <c r="B1289" t="s">
        <v>3915</v>
      </c>
      <c r="D1289" t="b">
        <f>IFERROR(VLOOKUP(B1289,PatData!$A$2:$A$2030,1,),"")&lt;&gt;""</f>
        <v>1</v>
      </c>
      <c r="E1289" t="b">
        <v>0</v>
      </c>
      <c r="F1289" t="b">
        <v>0</v>
      </c>
      <c r="G1289" t="b">
        <v>1</v>
      </c>
      <c r="H1289" t="b">
        <v>1</v>
      </c>
      <c r="I1289" t="b">
        <v>0</v>
      </c>
    </row>
    <row r="1290" spans="1:9" x14ac:dyDescent="0.2">
      <c r="A1290" t="s">
        <v>3672</v>
      </c>
      <c r="B1290" t="s">
        <v>3916</v>
      </c>
      <c r="D1290" t="b">
        <f>IFERROR(VLOOKUP(B1290,PatData!$A$2:$A$2030,1,),"")&lt;&gt;""</f>
        <v>1</v>
      </c>
      <c r="E1290" t="b">
        <v>0</v>
      </c>
      <c r="F1290" t="b">
        <v>0</v>
      </c>
      <c r="G1290" t="b">
        <v>1</v>
      </c>
      <c r="H1290" t="b">
        <v>1</v>
      </c>
      <c r="I1290" t="b">
        <v>0</v>
      </c>
    </row>
    <row r="1291" spans="1:9" x14ac:dyDescent="0.2">
      <c r="A1291" t="s">
        <v>3673</v>
      </c>
      <c r="B1291" t="s">
        <v>3917</v>
      </c>
      <c r="D1291" t="b">
        <f>IFERROR(VLOOKUP(B1291,PatData!$A$2:$A$2030,1,),"")&lt;&gt;""</f>
        <v>1</v>
      </c>
      <c r="E1291" t="b">
        <v>0</v>
      </c>
      <c r="F1291" t="b">
        <v>0</v>
      </c>
      <c r="G1291" t="b">
        <v>1</v>
      </c>
      <c r="H1291" t="b">
        <v>1</v>
      </c>
      <c r="I1291" t="b">
        <v>0</v>
      </c>
    </row>
    <row r="1292" spans="1:9" x14ac:dyDescent="0.2">
      <c r="A1292" t="s">
        <v>3674</v>
      </c>
      <c r="B1292" t="s">
        <v>3918</v>
      </c>
      <c r="D1292" t="b">
        <f>IFERROR(VLOOKUP(B1292,PatData!$A$2:$A$2030,1,),"")&lt;&gt;""</f>
        <v>1</v>
      </c>
      <c r="E1292" t="b">
        <v>0</v>
      </c>
      <c r="F1292" t="b">
        <v>0</v>
      </c>
      <c r="G1292" t="b">
        <v>1</v>
      </c>
      <c r="H1292" t="b">
        <v>1</v>
      </c>
      <c r="I1292" t="b">
        <v>0</v>
      </c>
    </row>
    <row r="1293" spans="1:9" x14ac:dyDescent="0.2">
      <c r="A1293" t="s">
        <v>3675</v>
      </c>
      <c r="B1293" t="s">
        <v>3919</v>
      </c>
      <c r="D1293" t="b">
        <f>IFERROR(VLOOKUP(B1293,PatData!$A$2:$A$2030,1,),"")&lt;&gt;""</f>
        <v>1</v>
      </c>
      <c r="E1293" t="b">
        <v>0</v>
      </c>
      <c r="F1293" t="b">
        <v>0</v>
      </c>
      <c r="G1293" t="b">
        <v>1</v>
      </c>
      <c r="H1293" t="b">
        <v>1</v>
      </c>
      <c r="I1293" t="b">
        <v>0</v>
      </c>
    </row>
    <row r="1294" spans="1:9" x14ac:dyDescent="0.2">
      <c r="A1294" t="s">
        <v>3676</v>
      </c>
      <c r="B1294" t="s">
        <v>3920</v>
      </c>
      <c r="D1294" t="b">
        <f>IFERROR(VLOOKUP(B1294,PatData!$A$2:$A$2030,1,),"")&lt;&gt;""</f>
        <v>1</v>
      </c>
      <c r="E1294" t="b">
        <v>0</v>
      </c>
      <c r="F1294" t="b">
        <v>0</v>
      </c>
      <c r="G1294" t="b">
        <v>1</v>
      </c>
      <c r="H1294" t="b">
        <v>1</v>
      </c>
      <c r="I1294" t="b">
        <v>0</v>
      </c>
    </row>
    <row r="1295" spans="1:9" x14ac:dyDescent="0.2">
      <c r="A1295" t="s">
        <v>3677</v>
      </c>
      <c r="B1295" t="s">
        <v>3921</v>
      </c>
      <c r="D1295" t="b">
        <f>IFERROR(VLOOKUP(B1295,PatData!$A$2:$A$2030,1,),"")&lt;&gt;""</f>
        <v>1</v>
      </c>
      <c r="E1295" t="b">
        <v>0</v>
      </c>
      <c r="F1295" t="b">
        <v>0</v>
      </c>
      <c r="G1295" t="b">
        <v>1</v>
      </c>
      <c r="H1295" t="b">
        <v>1</v>
      </c>
      <c r="I1295" t="b">
        <v>0</v>
      </c>
    </row>
    <row r="1296" spans="1:9" x14ac:dyDescent="0.2">
      <c r="A1296" t="s">
        <v>3678</v>
      </c>
      <c r="B1296" t="s">
        <v>3922</v>
      </c>
      <c r="D1296" t="b">
        <f>IFERROR(VLOOKUP(B1296,PatData!$A$2:$A$2030,1,),"")&lt;&gt;""</f>
        <v>1</v>
      </c>
      <c r="E1296" t="b">
        <v>0</v>
      </c>
      <c r="F1296" t="b">
        <v>0</v>
      </c>
      <c r="G1296" t="b">
        <v>1</v>
      </c>
      <c r="H1296" t="b">
        <v>1</v>
      </c>
      <c r="I1296" t="b">
        <v>0</v>
      </c>
    </row>
    <row r="1297" spans="1:9" x14ac:dyDescent="0.2">
      <c r="A1297" t="s">
        <v>3679</v>
      </c>
      <c r="B1297" t="s">
        <v>4464</v>
      </c>
      <c r="D1297" t="b">
        <f>IFERROR(VLOOKUP(B1297,PatData!$A$2:$A$2030,1,),"")&lt;&gt;""</f>
        <v>1</v>
      </c>
      <c r="E1297">
        <v>2</v>
      </c>
      <c r="F1297" t="b">
        <v>0</v>
      </c>
      <c r="G1297" t="b">
        <v>1</v>
      </c>
      <c r="H1297" t="b">
        <v>1</v>
      </c>
      <c r="I1297" t="b">
        <v>0</v>
      </c>
    </row>
    <row r="1298" spans="1:9" x14ac:dyDescent="0.2">
      <c r="A1298" t="s">
        <v>3680</v>
      </c>
      <c r="B1298" t="s">
        <v>3923</v>
      </c>
      <c r="D1298" t="b">
        <f>IFERROR(VLOOKUP(B1298,PatData!$A$2:$A$2030,1,),"")&lt;&gt;""</f>
        <v>1</v>
      </c>
      <c r="E1298">
        <v>0</v>
      </c>
      <c r="F1298" t="b">
        <v>0</v>
      </c>
      <c r="G1298" t="b">
        <v>1</v>
      </c>
      <c r="H1298" t="b">
        <v>1</v>
      </c>
      <c r="I1298" t="b">
        <v>0</v>
      </c>
    </row>
    <row r="1299" spans="1:9" x14ac:dyDescent="0.2">
      <c r="A1299" t="s">
        <v>3681</v>
      </c>
      <c r="B1299" t="s">
        <v>3924</v>
      </c>
      <c r="D1299" t="b">
        <f>IFERROR(VLOOKUP(B1299,PatData!$A$2:$A$2030,1,),"")&lt;&gt;""</f>
        <v>1</v>
      </c>
      <c r="E1299">
        <v>0</v>
      </c>
      <c r="F1299" t="b">
        <v>0</v>
      </c>
      <c r="G1299" t="b">
        <v>1</v>
      </c>
      <c r="H1299" t="b">
        <v>1</v>
      </c>
      <c r="I1299" t="b">
        <v>0</v>
      </c>
    </row>
    <row r="1300" spans="1:9" x14ac:dyDescent="0.2">
      <c r="A1300" t="s">
        <v>3682</v>
      </c>
      <c r="B1300" t="s">
        <v>3925</v>
      </c>
      <c r="D1300" t="b">
        <f>IFERROR(VLOOKUP(B1300,PatData!$A$2:$A$2030,1,),"")&lt;&gt;""</f>
        <v>1</v>
      </c>
      <c r="E1300">
        <v>0</v>
      </c>
      <c r="F1300" t="b">
        <v>0</v>
      </c>
      <c r="G1300" t="b">
        <v>1</v>
      </c>
      <c r="H1300" t="b">
        <v>1</v>
      </c>
      <c r="I1300" t="b">
        <v>0</v>
      </c>
    </row>
    <row r="1301" spans="1:9" x14ac:dyDescent="0.2">
      <c r="A1301" t="s">
        <v>3683</v>
      </c>
      <c r="B1301" t="s">
        <v>3926</v>
      </c>
      <c r="D1301" t="b">
        <f>IFERROR(VLOOKUP(B1301,PatData!$A$2:$A$2030,1,),"")&lt;&gt;""</f>
        <v>1</v>
      </c>
      <c r="E1301">
        <v>0</v>
      </c>
      <c r="F1301" t="b">
        <v>0</v>
      </c>
      <c r="G1301" t="b">
        <v>1</v>
      </c>
      <c r="H1301" t="b">
        <v>1</v>
      </c>
      <c r="I1301" t="b">
        <v>0</v>
      </c>
    </row>
    <row r="1302" spans="1:9" x14ac:dyDescent="0.2">
      <c r="A1302" t="s">
        <v>3684</v>
      </c>
      <c r="B1302" t="s">
        <v>3927</v>
      </c>
      <c r="D1302" t="b">
        <f>IFERROR(VLOOKUP(B1302,PatData!$A$2:$A$2030,1,),"")&lt;&gt;""</f>
        <v>1</v>
      </c>
      <c r="E1302">
        <v>1</v>
      </c>
      <c r="F1302" t="b">
        <v>0</v>
      </c>
      <c r="G1302" t="b">
        <v>1</v>
      </c>
      <c r="H1302" t="b">
        <v>1</v>
      </c>
      <c r="I1302" t="b">
        <v>0</v>
      </c>
    </row>
    <row r="1303" spans="1:9" x14ac:dyDescent="0.2">
      <c r="A1303" t="s">
        <v>3685</v>
      </c>
      <c r="B1303" t="s">
        <v>3928</v>
      </c>
      <c r="D1303" t="b">
        <f>IFERROR(VLOOKUP(B1303,PatData!$A$2:$A$2030,1,),"")&lt;&gt;""</f>
        <v>1</v>
      </c>
      <c r="E1303">
        <v>1</v>
      </c>
      <c r="F1303" t="b">
        <v>0</v>
      </c>
      <c r="G1303" t="b">
        <v>1</v>
      </c>
      <c r="H1303" t="b">
        <v>1</v>
      </c>
      <c r="I1303" t="b">
        <v>0</v>
      </c>
    </row>
    <row r="1304" spans="1:9" x14ac:dyDescent="0.2">
      <c r="A1304" t="s">
        <v>3686</v>
      </c>
      <c r="B1304" t="s">
        <v>3929</v>
      </c>
      <c r="D1304" t="b">
        <f>IFERROR(VLOOKUP(B1304,PatData!$A$2:$A$2030,1,),"")&lt;&gt;""</f>
        <v>1</v>
      </c>
      <c r="E1304">
        <v>1</v>
      </c>
      <c r="F1304" t="b">
        <v>0</v>
      </c>
      <c r="G1304" t="b">
        <v>1</v>
      </c>
      <c r="H1304" t="b">
        <v>1</v>
      </c>
      <c r="I1304" t="b">
        <v>0</v>
      </c>
    </row>
    <row r="1305" spans="1:9" x14ac:dyDescent="0.2">
      <c r="A1305" t="s">
        <v>4117</v>
      </c>
      <c r="B1305" t="s">
        <v>3930</v>
      </c>
      <c r="D1305" t="b">
        <f>IFERROR(VLOOKUP(B1305,PatData!$A$2:$A$2030,1,),"")&lt;&gt;""</f>
        <v>1</v>
      </c>
      <c r="E1305">
        <v>1</v>
      </c>
      <c r="F1305" t="b">
        <v>0</v>
      </c>
      <c r="G1305" t="b">
        <v>1</v>
      </c>
      <c r="H1305" t="b">
        <v>1</v>
      </c>
      <c r="I1305" t="b">
        <v>0</v>
      </c>
    </row>
    <row r="1306" spans="1:9" x14ac:dyDescent="0.2">
      <c r="A1306" t="s">
        <v>4118</v>
      </c>
      <c r="B1306" t="s">
        <v>3931</v>
      </c>
      <c r="D1306" t="b">
        <f>IFERROR(VLOOKUP(B1306,PatData!$A$2:$A$2030,1,),"")&lt;&gt;""</f>
        <v>1</v>
      </c>
      <c r="E1306">
        <v>1</v>
      </c>
      <c r="F1306" t="b">
        <v>0</v>
      </c>
      <c r="G1306" t="b">
        <v>1</v>
      </c>
      <c r="H1306" t="b">
        <v>1</v>
      </c>
      <c r="I1306" t="b">
        <v>0</v>
      </c>
    </row>
    <row r="1307" spans="1:9" x14ac:dyDescent="0.2">
      <c r="A1307" t="s">
        <v>3687</v>
      </c>
      <c r="B1307" t="s">
        <v>3932</v>
      </c>
      <c r="D1307" t="b">
        <f>IFERROR(VLOOKUP(B1307,PatData!$A$2:$A$2030,1,),"")&lt;&gt;""</f>
        <v>1</v>
      </c>
      <c r="E1307">
        <v>1</v>
      </c>
      <c r="F1307" t="b">
        <v>0</v>
      </c>
      <c r="G1307" t="b">
        <v>1</v>
      </c>
      <c r="H1307" t="b">
        <v>1</v>
      </c>
      <c r="I1307" t="b">
        <v>0</v>
      </c>
    </row>
    <row r="1308" spans="1:9" x14ac:dyDescent="0.2">
      <c r="A1308" t="s">
        <v>3688</v>
      </c>
      <c r="B1308" t="s">
        <v>3933</v>
      </c>
      <c r="D1308" t="b">
        <f>IFERROR(VLOOKUP(B1308,PatData!$A$2:$A$2030,1,),"")&lt;&gt;""</f>
        <v>1</v>
      </c>
      <c r="E1308">
        <v>1</v>
      </c>
      <c r="F1308" t="b">
        <v>0</v>
      </c>
      <c r="G1308" t="b">
        <v>1</v>
      </c>
      <c r="H1308" t="b">
        <v>1</v>
      </c>
      <c r="I1308" t="b">
        <v>0</v>
      </c>
    </row>
    <row r="1309" spans="1:9" x14ac:dyDescent="0.2">
      <c r="A1309" t="s">
        <v>3689</v>
      </c>
      <c r="B1309" t="s">
        <v>3934</v>
      </c>
      <c r="D1309" t="b">
        <f>IFERROR(VLOOKUP(B1309,PatData!$A$2:$A$2030,1,),"")&lt;&gt;""</f>
        <v>1</v>
      </c>
      <c r="E1309">
        <v>1</v>
      </c>
      <c r="F1309" t="b">
        <v>0</v>
      </c>
      <c r="G1309" t="b">
        <v>1</v>
      </c>
      <c r="H1309" t="b">
        <v>1</v>
      </c>
      <c r="I1309" t="b">
        <v>0</v>
      </c>
    </row>
    <row r="1310" spans="1:9" x14ac:dyDescent="0.2">
      <c r="A1310" t="s">
        <v>3690</v>
      </c>
      <c r="B1310" t="s">
        <v>3935</v>
      </c>
      <c r="D1310" t="b">
        <f>IFERROR(VLOOKUP(B1310,PatData!$A$2:$A$2030,1,),"")&lt;&gt;""</f>
        <v>1</v>
      </c>
      <c r="E1310">
        <v>1</v>
      </c>
      <c r="F1310" t="b">
        <v>0</v>
      </c>
      <c r="G1310" t="b">
        <v>1</v>
      </c>
      <c r="H1310" t="b">
        <v>1</v>
      </c>
      <c r="I1310" t="b">
        <v>0</v>
      </c>
    </row>
    <row r="1311" spans="1:9" x14ac:dyDescent="0.2">
      <c r="A1311" t="s">
        <v>3691</v>
      </c>
      <c r="B1311" t="s">
        <v>3936</v>
      </c>
      <c r="D1311" t="b">
        <f>IFERROR(VLOOKUP(B1311,PatData!$A$2:$A$2030,1,),"")&lt;&gt;""</f>
        <v>1</v>
      </c>
      <c r="E1311">
        <v>1</v>
      </c>
      <c r="F1311" t="b">
        <v>0</v>
      </c>
      <c r="G1311" t="b">
        <v>1</v>
      </c>
      <c r="H1311" t="b">
        <v>1</v>
      </c>
      <c r="I1311" t="b">
        <v>0</v>
      </c>
    </row>
    <row r="1312" spans="1:9" x14ac:dyDescent="0.2">
      <c r="A1312" t="s">
        <v>3692</v>
      </c>
      <c r="B1312" t="s">
        <v>3937</v>
      </c>
      <c r="D1312" t="b">
        <f>IFERROR(VLOOKUP(B1312,PatData!$A$2:$A$2030,1,),"")&lt;&gt;""</f>
        <v>1</v>
      </c>
      <c r="E1312">
        <v>1</v>
      </c>
      <c r="F1312" t="b">
        <v>0</v>
      </c>
      <c r="G1312" t="b">
        <v>1</v>
      </c>
      <c r="H1312" t="b">
        <v>1</v>
      </c>
      <c r="I1312" t="b">
        <v>0</v>
      </c>
    </row>
    <row r="1313" spans="1:9" x14ac:dyDescent="0.2">
      <c r="A1313" t="s">
        <v>3693</v>
      </c>
      <c r="B1313" t="s">
        <v>3938</v>
      </c>
      <c r="D1313" t="b">
        <f>IFERROR(VLOOKUP(B1313,PatData!$A$2:$A$2030,1,),"")&lt;&gt;""</f>
        <v>1</v>
      </c>
      <c r="E1313">
        <v>1</v>
      </c>
      <c r="F1313" t="b">
        <v>0</v>
      </c>
      <c r="G1313" t="b">
        <v>1</v>
      </c>
      <c r="H1313" t="b">
        <v>1</v>
      </c>
      <c r="I1313" t="b">
        <v>0</v>
      </c>
    </row>
    <row r="1314" spans="1:9" x14ac:dyDescent="0.2">
      <c r="A1314" t="s">
        <v>3694</v>
      </c>
      <c r="B1314" t="s">
        <v>3939</v>
      </c>
      <c r="D1314" t="b">
        <f>IFERROR(VLOOKUP(B1314,PatData!$A$2:$A$2030,1,),"")&lt;&gt;""</f>
        <v>1</v>
      </c>
      <c r="E1314">
        <v>1</v>
      </c>
      <c r="F1314" t="b">
        <v>0</v>
      </c>
      <c r="G1314" t="b">
        <v>1</v>
      </c>
      <c r="H1314" t="b">
        <v>1</v>
      </c>
      <c r="I1314" t="b">
        <v>0</v>
      </c>
    </row>
    <row r="1315" spans="1:9" x14ac:dyDescent="0.2">
      <c r="A1315" t="s">
        <v>3695</v>
      </c>
      <c r="B1315" t="s">
        <v>3940</v>
      </c>
      <c r="D1315" t="b">
        <f>IFERROR(VLOOKUP(B1315,PatData!$A$2:$A$2030,1,),"")&lt;&gt;""</f>
        <v>1</v>
      </c>
      <c r="E1315">
        <v>1</v>
      </c>
      <c r="F1315" t="b">
        <v>0</v>
      </c>
      <c r="G1315" t="b">
        <v>1</v>
      </c>
      <c r="H1315" t="b">
        <v>1</v>
      </c>
      <c r="I1315" t="b">
        <v>0</v>
      </c>
    </row>
    <row r="1316" spans="1:9" x14ac:dyDescent="0.2">
      <c r="A1316" t="s">
        <v>3696</v>
      </c>
      <c r="B1316" t="s">
        <v>3941</v>
      </c>
      <c r="D1316" t="b">
        <f>IFERROR(VLOOKUP(B1316,PatData!$A$2:$A$2030,1,),"")&lt;&gt;""</f>
        <v>1</v>
      </c>
      <c r="E1316">
        <v>1</v>
      </c>
      <c r="F1316" t="b">
        <v>0</v>
      </c>
      <c r="G1316" t="b">
        <v>1</v>
      </c>
      <c r="H1316" t="b">
        <v>1</v>
      </c>
      <c r="I1316" t="b">
        <v>0</v>
      </c>
    </row>
    <row r="1317" spans="1:9" x14ac:dyDescent="0.2">
      <c r="A1317" t="s">
        <v>3697</v>
      </c>
      <c r="B1317" t="s">
        <v>3942</v>
      </c>
      <c r="D1317" t="b">
        <f>IFERROR(VLOOKUP(B1317,PatData!$A$2:$A$2030,1,),"")&lt;&gt;""</f>
        <v>1</v>
      </c>
      <c r="E1317">
        <v>1</v>
      </c>
      <c r="F1317" t="b">
        <v>0</v>
      </c>
      <c r="G1317" t="b">
        <v>1</v>
      </c>
      <c r="H1317" t="b">
        <v>1</v>
      </c>
      <c r="I1317" t="b">
        <v>0</v>
      </c>
    </row>
    <row r="1318" spans="1:9" x14ac:dyDescent="0.2">
      <c r="A1318" t="s">
        <v>3698</v>
      </c>
      <c r="B1318" t="s">
        <v>3943</v>
      </c>
      <c r="D1318" t="b">
        <f>IFERROR(VLOOKUP(B1318,PatData!$A$2:$A$2030,1,),"")&lt;&gt;""</f>
        <v>1</v>
      </c>
      <c r="E1318">
        <v>1</v>
      </c>
      <c r="F1318" t="b">
        <v>0</v>
      </c>
      <c r="G1318" t="b">
        <v>1</v>
      </c>
      <c r="H1318" t="b">
        <v>1</v>
      </c>
      <c r="I1318" t="b">
        <v>0</v>
      </c>
    </row>
    <row r="1319" spans="1:9" x14ac:dyDescent="0.2">
      <c r="A1319" t="s">
        <v>3699</v>
      </c>
      <c r="B1319" t="s">
        <v>3944</v>
      </c>
      <c r="D1319" t="b">
        <f>IFERROR(VLOOKUP(B1319,PatData!$A$2:$A$2030,1,),"")&lt;&gt;""</f>
        <v>1</v>
      </c>
      <c r="E1319">
        <v>1</v>
      </c>
      <c r="F1319" t="b">
        <v>0</v>
      </c>
      <c r="G1319" t="b">
        <v>1</v>
      </c>
      <c r="H1319" t="b">
        <v>1</v>
      </c>
      <c r="I1319" t="b">
        <v>0</v>
      </c>
    </row>
    <row r="1320" spans="1:9" x14ac:dyDescent="0.2">
      <c r="A1320" t="s">
        <v>3700</v>
      </c>
      <c r="B1320" t="s">
        <v>3945</v>
      </c>
      <c r="D1320" t="b">
        <f>IFERROR(VLOOKUP(B1320,PatData!$A$2:$A$2030,1,),"")&lt;&gt;""</f>
        <v>1</v>
      </c>
      <c r="E1320">
        <v>5000</v>
      </c>
      <c r="F1320" t="b">
        <v>0</v>
      </c>
      <c r="G1320" t="b">
        <v>1</v>
      </c>
      <c r="H1320" t="b">
        <v>1</v>
      </c>
      <c r="I1320" t="b">
        <v>0</v>
      </c>
    </row>
    <row r="1321" spans="1:9" x14ac:dyDescent="0.2">
      <c r="A1321" t="s">
        <v>3701</v>
      </c>
      <c r="B1321" t="s">
        <v>3946</v>
      </c>
      <c r="D1321" t="b">
        <f>IFERROR(VLOOKUP(B1321,PatData!$A$2:$A$2030,1,),"")&lt;&gt;""</f>
        <v>1</v>
      </c>
      <c r="E1321">
        <v>1</v>
      </c>
      <c r="F1321" t="b">
        <v>0</v>
      </c>
      <c r="G1321" t="b">
        <v>1</v>
      </c>
      <c r="H1321" t="b">
        <v>1</v>
      </c>
      <c r="I1321" t="b">
        <v>0</v>
      </c>
    </row>
    <row r="1322" spans="1:9" x14ac:dyDescent="0.2">
      <c r="A1322" t="s">
        <v>3702</v>
      </c>
      <c r="B1322" t="s">
        <v>3947</v>
      </c>
      <c r="D1322" t="b">
        <f>IFERROR(VLOOKUP(B1322,PatData!$A$2:$A$2030,1,),"")&lt;&gt;""</f>
        <v>1</v>
      </c>
      <c r="E1322">
        <v>2</v>
      </c>
      <c r="F1322" t="b">
        <v>0</v>
      </c>
      <c r="G1322" t="b">
        <v>1</v>
      </c>
      <c r="H1322" t="b">
        <v>1</v>
      </c>
      <c r="I1322" t="b">
        <v>0</v>
      </c>
    </row>
    <row r="1323" spans="1:9" x14ac:dyDescent="0.2">
      <c r="A1323" t="s">
        <v>3703</v>
      </c>
      <c r="B1323" t="s">
        <v>3948</v>
      </c>
      <c r="D1323" t="b">
        <f>IFERROR(VLOOKUP(B1323,PatData!$A$2:$A$2030,1,),"")&lt;&gt;""</f>
        <v>1</v>
      </c>
      <c r="E1323">
        <v>2</v>
      </c>
      <c r="F1323" t="b">
        <v>0</v>
      </c>
      <c r="G1323" t="b">
        <v>1</v>
      </c>
      <c r="H1323" t="b">
        <v>1</v>
      </c>
      <c r="I1323" t="b">
        <v>0</v>
      </c>
    </row>
    <row r="1324" spans="1:9" x14ac:dyDescent="0.2">
      <c r="A1324" t="s">
        <v>3704</v>
      </c>
      <c r="B1324" t="s">
        <v>3949</v>
      </c>
      <c r="D1324" t="b">
        <f>IFERROR(VLOOKUP(B1324,PatData!$A$2:$A$2030,1,),"")&lt;&gt;""</f>
        <v>1</v>
      </c>
      <c r="E1324">
        <v>0</v>
      </c>
      <c r="F1324" t="b">
        <v>0</v>
      </c>
      <c r="G1324" t="b">
        <v>1</v>
      </c>
      <c r="H1324" t="b">
        <v>1</v>
      </c>
      <c r="I1324" t="b">
        <v>0</v>
      </c>
    </row>
    <row r="1325" spans="1:9" x14ac:dyDescent="0.2">
      <c r="A1325" t="s">
        <v>3705</v>
      </c>
      <c r="B1325" t="s">
        <v>3950</v>
      </c>
      <c r="D1325" t="b">
        <f>IFERROR(VLOOKUP(B1325,PatData!$A$2:$A$2030,1,),"")&lt;&gt;""</f>
        <v>1</v>
      </c>
      <c r="E1325">
        <v>5000</v>
      </c>
      <c r="F1325" t="b">
        <v>0</v>
      </c>
      <c r="G1325" t="b">
        <v>1</v>
      </c>
      <c r="H1325" t="b">
        <v>1</v>
      </c>
      <c r="I1325" t="b">
        <v>0</v>
      </c>
    </row>
    <row r="1326" spans="1:9" x14ac:dyDescent="0.2">
      <c r="A1326" t="s">
        <v>3706</v>
      </c>
      <c r="B1326" t="s">
        <v>3951</v>
      </c>
      <c r="D1326" t="b">
        <f>IFERROR(VLOOKUP(B1326,PatData!$A$2:$A$2030,1,),"")&lt;&gt;""</f>
        <v>1</v>
      </c>
      <c r="E1326">
        <v>1</v>
      </c>
      <c r="F1326" t="b">
        <v>0</v>
      </c>
      <c r="G1326" t="b">
        <v>1</v>
      </c>
      <c r="H1326" t="b">
        <v>1</v>
      </c>
      <c r="I1326" t="b">
        <v>0</v>
      </c>
    </row>
    <row r="1327" spans="1:9" x14ac:dyDescent="0.2">
      <c r="A1327" t="s">
        <v>3707</v>
      </c>
      <c r="B1327" t="s">
        <v>3952</v>
      </c>
      <c r="D1327" t="b">
        <f>IFERROR(VLOOKUP(B1327,PatData!$A$2:$A$2030,1,),"")&lt;&gt;""</f>
        <v>1</v>
      </c>
      <c r="E1327">
        <v>5000</v>
      </c>
      <c r="F1327" t="b">
        <v>0</v>
      </c>
      <c r="G1327" t="b">
        <v>1</v>
      </c>
      <c r="H1327" t="b">
        <v>1</v>
      </c>
      <c r="I1327" t="b">
        <v>0</v>
      </c>
    </row>
    <row r="1328" spans="1:9" x14ac:dyDescent="0.2">
      <c r="A1328" t="s">
        <v>3708</v>
      </c>
      <c r="B1328" t="s">
        <v>3953</v>
      </c>
      <c r="D1328" t="b">
        <f>IFERROR(VLOOKUP(B1328,PatData!$A$2:$A$2030,1,),"")&lt;&gt;""</f>
        <v>1</v>
      </c>
      <c r="E1328">
        <v>5000</v>
      </c>
      <c r="F1328" t="b">
        <v>0</v>
      </c>
      <c r="G1328" t="b">
        <v>1</v>
      </c>
      <c r="H1328" t="b">
        <v>1</v>
      </c>
      <c r="I1328" t="b">
        <v>0</v>
      </c>
    </row>
    <row r="1329" spans="1:9" x14ac:dyDescent="0.2">
      <c r="A1329" t="s">
        <v>4322</v>
      </c>
      <c r="B1329" t="s">
        <v>4690</v>
      </c>
      <c r="D1329" t="b">
        <f>IFERROR(VLOOKUP(B1329,PatData!$A$2:$A$2030,1,),"")&lt;&gt;""</f>
        <v>1</v>
      </c>
      <c r="E1329">
        <v>5000</v>
      </c>
      <c r="F1329" t="b">
        <v>0</v>
      </c>
      <c r="G1329" t="b">
        <v>1</v>
      </c>
      <c r="H1329" t="b">
        <v>1</v>
      </c>
      <c r="I1329" t="b">
        <v>0</v>
      </c>
    </row>
    <row r="1330" spans="1:9" x14ac:dyDescent="0.2">
      <c r="A1330" t="s">
        <v>4323</v>
      </c>
      <c r="B1330" t="s">
        <v>3955</v>
      </c>
      <c r="D1330" t="b">
        <f>IFERROR(VLOOKUP(B1330,PatData!$A$2:$A$2030,1,),"")&lt;&gt;""</f>
        <v>1</v>
      </c>
      <c r="E1330">
        <v>5000</v>
      </c>
      <c r="F1330" t="b">
        <v>0</v>
      </c>
      <c r="G1330" t="b">
        <v>1</v>
      </c>
      <c r="H1330" t="b">
        <v>1</v>
      </c>
      <c r="I1330" t="b">
        <v>0</v>
      </c>
    </row>
    <row r="1331" spans="1:9" x14ac:dyDescent="0.2">
      <c r="A1331" t="s">
        <v>4324</v>
      </c>
      <c r="B1331" t="s">
        <v>3956</v>
      </c>
      <c r="D1331" t="b">
        <f>IFERROR(VLOOKUP(B1331,PatData!$A$2:$A$2030,1,),"")&lt;&gt;""</f>
        <v>1</v>
      </c>
      <c r="E1331" t="b">
        <v>0</v>
      </c>
      <c r="F1331" t="b">
        <v>0</v>
      </c>
      <c r="G1331" t="b">
        <v>1</v>
      </c>
      <c r="H1331" t="b">
        <v>1</v>
      </c>
      <c r="I1331" t="b">
        <v>0</v>
      </c>
    </row>
    <row r="1332" spans="1:9" x14ac:dyDescent="0.2">
      <c r="A1332" t="s">
        <v>4325</v>
      </c>
      <c r="B1332" t="s">
        <v>3957</v>
      </c>
      <c r="D1332" t="b">
        <f>IFERROR(VLOOKUP(B1332,PatData!$A$2:$A$2030,1,),"")&lt;&gt;""</f>
        <v>1</v>
      </c>
      <c r="E1332">
        <v>5000</v>
      </c>
      <c r="F1332" t="b">
        <v>0</v>
      </c>
      <c r="G1332" t="b">
        <v>1</v>
      </c>
      <c r="H1332" t="b">
        <v>1</v>
      </c>
      <c r="I1332" t="b">
        <v>0</v>
      </c>
    </row>
    <row r="1333" spans="1:9" x14ac:dyDescent="0.2">
      <c r="A1333" t="s">
        <v>4326</v>
      </c>
      <c r="B1333" t="s">
        <v>4691</v>
      </c>
      <c r="D1333" t="b">
        <f>IFERROR(VLOOKUP(B1333,PatData!$A$2:$A$2030,1,),"")&lt;&gt;""</f>
        <v>1</v>
      </c>
      <c r="E1333">
        <v>5000</v>
      </c>
      <c r="F1333" t="b">
        <v>0</v>
      </c>
      <c r="G1333" t="b">
        <v>1</v>
      </c>
      <c r="H1333" t="b">
        <v>1</v>
      </c>
      <c r="I1333" t="b">
        <v>0</v>
      </c>
    </row>
    <row r="1334" spans="1:9" x14ac:dyDescent="0.2">
      <c r="A1334" t="s">
        <v>4459</v>
      </c>
      <c r="B1334" t="s">
        <v>3959</v>
      </c>
      <c r="D1334" t="b">
        <f>IFERROR(VLOOKUP(B1334,PatData!$A$2:$A$2030,1,),"")&lt;&gt;""</f>
        <v>1</v>
      </c>
      <c r="E1334">
        <v>5000</v>
      </c>
      <c r="F1334" t="b">
        <v>0</v>
      </c>
      <c r="G1334" t="b">
        <v>1</v>
      </c>
      <c r="H1334" t="b">
        <v>1</v>
      </c>
      <c r="I1334" t="b">
        <v>0</v>
      </c>
    </row>
    <row r="1335" spans="1:9" x14ac:dyDescent="0.2">
      <c r="A1335" t="s">
        <v>1225</v>
      </c>
      <c r="B1335" t="s">
        <v>2178</v>
      </c>
      <c r="D1335" t="b">
        <f>IFERROR(VLOOKUP(B1335,PatData!$A$2:$A$2030,1,),"")&lt;&gt;""</f>
        <v>1</v>
      </c>
      <c r="E1335" t="b">
        <v>0</v>
      </c>
      <c r="F1335" t="b">
        <v>0</v>
      </c>
      <c r="G1335" t="b">
        <v>1</v>
      </c>
      <c r="H1335" t="b">
        <v>1</v>
      </c>
      <c r="I1335" t="b">
        <v>0</v>
      </c>
    </row>
    <row r="1336" spans="1:9" x14ac:dyDescent="0.2">
      <c r="A1336" t="s">
        <v>1236</v>
      </c>
      <c r="B1336" t="s">
        <v>2179</v>
      </c>
      <c r="D1336" t="b">
        <f>IFERROR(VLOOKUP(B1336,PatData!$A$2:$A$2030,1,),"")&lt;&gt;""</f>
        <v>1</v>
      </c>
      <c r="E1336" t="b">
        <v>0</v>
      </c>
      <c r="F1336" t="b">
        <v>0</v>
      </c>
      <c r="G1336" t="b">
        <v>1</v>
      </c>
      <c r="H1336" t="b">
        <v>1</v>
      </c>
      <c r="I1336" t="b">
        <v>0</v>
      </c>
    </row>
    <row r="1337" spans="1:9" x14ac:dyDescent="0.2">
      <c r="A1337" t="s">
        <v>1247</v>
      </c>
      <c r="B1337" t="s">
        <v>2180</v>
      </c>
      <c r="D1337" t="b">
        <f>IFERROR(VLOOKUP(B1337,PatData!$A$2:$A$2030,1,),"")&lt;&gt;""</f>
        <v>1</v>
      </c>
      <c r="E1337" t="b">
        <v>0</v>
      </c>
      <c r="F1337" t="b">
        <v>0</v>
      </c>
      <c r="G1337" t="b">
        <v>1</v>
      </c>
      <c r="H1337" t="b">
        <v>1</v>
      </c>
      <c r="I1337" t="b">
        <v>0</v>
      </c>
    </row>
    <row r="1338" spans="1:9" x14ac:dyDescent="0.2">
      <c r="A1338" t="s">
        <v>1250</v>
      </c>
      <c r="B1338" t="s">
        <v>2181</v>
      </c>
      <c r="D1338" t="b">
        <f>IFERROR(VLOOKUP(B1338,PatData!$A$2:$A$2030,1,),"")&lt;&gt;""</f>
        <v>1</v>
      </c>
      <c r="E1338" t="b">
        <v>0</v>
      </c>
      <c r="F1338" t="b">
        <v>0</v>
      </c>
      <c r="G1338" t="b">
        <v>1</v>
      </c>
      <c r="H1338" t="b">
        <v>1</v>
      </c>
      <c r="I1338" t="b">
        <v>0</v>
      </c>
    </row>
    <row r="1339" spans="1:9" x14ac:dyDescent="0.2">
      <c r="A1339" t="s">
        <v>1251</v>
      </c>
      <c r="B1339" t="s">
        <v>2182</v>
      </c>
      <c r="D1339" t="b">
        <f>IFERROR(VLOOKUP(B1339,PatData!$A$2:$A$2030,1,),"")&lt;&gt;""</f>
        <v>1</v>
      </c>
      <c r="E1339" t="b">
        <v>0</v>
      </c>
      <c r="F1339" t="b">
        <v>0</v>
      </c>
      <c r="G1339" t="b">
        <v>1</v>
      </c>
      <c r="H1339" t="b">
        <v>1</v>
      </c>
      <c r="I1339" t="b">
        <v>0</v>
      </c>
    </row>
    <row r="1340" spans="1:9" x14ac:dyDescent="0.2">
      <c r="A1340" t="s">
        <v>1252</v>
      </c>
      <c r="B1340" t="s">
        <v>2183</v>
      </c>
      <c r="D1340" t="b">
        <f>IFERROR(VLOOKUP(B1340,PatData!$A$2:$A$2030,1,),"")&lt;&gt;""</f>
        <v>1</v>
      </c>
      <c r="E1340" t="b">
        <v>0</v>
      </c>
      <c r="F1340" t="b">
        <v>0</v>
      </c>
      <c r="G1340" t="b">
        <v>1</v>
      </c>
      <c r="H1340" t="b">
        <v>1</v>
      </c>
      <c r="I1340" t="b">
        <v>0</v>
      </c>
    </row>
    <row r="1341" spans="1:9" x14ac:dyDescent="0.2">
      <c r="A1341" t="s">
        <v>1253</v>
      </c>
      <c r="B1341" t="s">
        <v>2184</v>
      </c>
      <c r="D1341" t="b">
        <f>IFERROR(VLOOKUP(B1341,PatData!$A$2:$A$2030,1,),"")&lt;&gt;""</f>
        <v>1</v>
      </c>
      <c r="E1341" t="b">
        <v>0</v>
      </c>
      <c r="F1341" t="b">
        <v>0</v>
      </c>
      <c r="G1341" t="b">
        <v>1</v>
      </c>
      <c r="H1341" t="b">
        <v>1</v>
      </c>
      <c r="I1341" t="b">
        <v>0</v>
      </c>
    </row>
    <row r="1342" spans="1:9" x14ac:dyDescent="0.2">
      <c r="A1342" t="s">
        <v>1254</v>
      </c>
      <c r="B1342" t="s">
        <v>2185</v>
      </c>
      <c r="D1342" t="b">
        <f>IFERROR(VLOOKUP(B1342,PatData!$A$2:$A$2030,1,),"")&lt;&gt;""</f>
        <v>1</v>
      </c>
      <c r="E1342" t="b">
        <v>0</v>
      </c>
      <c r="F1342" t="b">
        <v>0</v>
      </c>
      <c r="G1342" t="b">
        <v>1</v>
      </c>
      <c r="H1342" t="b">
        <v>1</v>
      </c>
      <c r="I1342" t="b">
        <v>0</v>
      </c>
    </row>
    <row r="1343" spans="1:9" x14ac:dyDescent="0.2">
      <c r="A1343" t="s">
        <v>1255</v>
      </c>
      <c r="B1343" t="s">
        <v>2186</v>
      </c>
      <c r="D1343" t="b">
        <f>IFERROR(VLOOKUP(B1343,PatData!$A$2:$A$2030,1,),"")&lt;&gt;""</f>
        <v>1</v>
      </c>
      <c r="E1343" t="b">
        <v>0</v>
      </c>
      <c r="F1343" t="b">
        <v>0</v>
      </c>
      <c r="G1343" t="b">
        <v>1</v>
      </c>
      <c r="H1343" t="b">
        <v>1</v>
      </c>
      <c r="I1343" t="b">
        <v>0</v>
      </c>
    </row>
    <row r="1344" spans="1:9" x14ac:dyDescent="0.2">
      <c r="A1344" t="s">
        <v>1226</v>
      </c>
      <c r="B1344" t="s">
        <v>2187</v>
      </c>
      <c r="D1344" t="b">
        <f>IFERROR(VLOOKUP(B1344,PatData!$A$2:$A$2030,1,),"")&lt;&gt;""</f>
        <v>1</v>
      </c>
      <c r="E1344" t="b">
        <v>0</v>
      </c>
      <c r="F1344" t="b">
        <v>0</v>
      </c>
      <c r="G1344" t="b">
        <v>1</v>
      </c>
      <c r="H1344" t="b">
        <v>1</v>
      </c>
      <c r="I1344" t="b">
        <v>0</v>
      </c>
    </row>
    <row r="1345" spans="1:9" x14ac:dyDescent="0.2">
      <c r="A1345" t="s">
        <v>1227</v>
      </c>
      <c r="B1345" t="s">
        <v>2188</v>
      </c>
      <c r="D1345" t="b">
        <f>IFERROR(VLOOKUP(B1345,PatData!$A$2:$A$2030,1,),"")&lt;&gt;""</f>
        <v>1</v>
      </c>
      <c r="E1345" t="b">
        <v>0</v>
      </c>
      <c r="F1345" t="b">
        <v>0</v>
      </c>
      <c r="G1345" t="b">
        <v>1</v>
      </c>
      <c r="H1345" t="b">
        <v>1</v>
      </c>
      <c r="I1345" t="b">
        <v>0</v>
      </c>
    </row>
    <row r="1346" spans="1:9" x14ac:dyDescent="0.2">
      <c r="A1346" t="s">
        <v>1228</v>
      </c>
      <c r="B1346" t="s">
        <v>2189</v>
      </c>
      <c r="D1346" t="b">
        <f>IFERROR(VLOOKUP(B1346,PatData!$A$2:$A$2030,1,),"")&lt;&gt;""</f>
        <v>1</v>
      </c>
      <c r="E1346" t="b">
        <v>0</v>
      </c>
      <c r="F1346" t="b">
        <v>0</v>
      </c>
      <c r="G1346" t="b">
        <v>1</v>
      </c>
      <c r="H1346" t="b">
        <v>1</v>
      </c>
      <c r="I1346" t="b">
        <v>0</v>
      </c>
    </row>
    <row r="1347" spans="1:9" x14ac:dyDescent="0.2">
      <c r="A1347" t="s">
        <v>1229</v>
      </c>
      <c r="B1347" t="s">
        <v>2190</v>
      </c>
      <c r="D1347" t="b">
        <f>IFERROR(VLOOKUP(B1347,PatData!$A$2:$A$2030,1,),"")&lt;&gt;""</f>
        <v>1</v>
      </c>
      <c r="E1347" t="b">
        <v>0</v>
      </c>
      <c r="F1347" t="b">
        <v>0</v>
      </c>
      <c r="G1347" t="b">
        <v>1</v>
      </c>
      <c r="H1347" t="b">
        <v>1</v>
      </c>
      <c r="I1347" t="b">
        <v>0</v>
      </c>
    </row>
    <row r="1348" spans="1:9" x14ac:dyDescent="0.2">
      <c r="A1348" t="s">
        <v>1230</v>
      </c>
      <c r="B1348" t="s">
        <v>2191</v>
      </c>
      <c r="D1348" t="b">
        <f>IFERROR(VLOOKUP(B1348,PatData!$A$2:$A$2030,1,),"")&lt;&gt;""</f>
        <v>1</v>
      </c>
      <c r="E1348" t="b">
        <v>0</v>
      </c>
      <c r="F1348" t="b">
        <v>0</v>
      </c>
      <c r="G1348" t="b">
        <v>1</v>
      </c>
      <c r="H1348" t="b">
        <v>1</v>
      </c>
      <c r="I1348" t="b">
        <v>0</v>
      </c>
    </row>
    <row r="1349" spans="1:9" x14ac:dyDescent="0.2">
      <c r="A1349" t="s">
        <v>1231</v>
      </c>
      <c r="B1349" t="s">
        <v>2192</v>
      </c>
      <c r="D1349" t="b">
        <f>IFERROR(VLOOKUP(B1349,PatData!$A$2:$A$2030,1,),"")&lt;&gt;""</f>
        <v>1</v>
      </c>
      <c r="E1349" t="b">
        <v>0</v>
      </c>
      <c r="F1349" t="b">
        <v>0</v>
      </c>
      <c r="G1349" t="b">
        <v>1</v>
      </c>
      <c r="H1349" t="b">
        <v>1</v>
      </c>
      <c r="I1349" t="b">
        <v>0</v>
      </c>
    </row>
    <row r="1350" spans="1:9" x14ac:dyDescent="0.2">
      <c r="A1350" t="s">
        <v>1232</v>
      </c>
      <c r="B1350" t="s">
        <v>2193</v>
      </c>
      <c r="D1350" t="b">
        <f>IFERROR(VLOOKUP(B1350,PatData!$A$2:$A$2030,1,),"")&lt;&gt;""</f>
        <v>1</v>
      </c>
      <c r="E1350" t="b">
        <v>0</v>
      </c>
      <c r="F1350" t="b">
        <v>0</v>
      </c>
      <c r="G1350" t="b">
        <v>1</v>
      </c>
      <c r="H1350" t="b">
        <v>1</v>
      </c>
      <c r="I1350" t="b">
        <v>0</v>
      </c>
    </row>
    <row r="1351" spans="1:9" x14ac:dyDescent="0.2">
      <c r="A1351" t="s">
        <v>1233</v>
      </c>
      <c r="B1351" t="s">
        <v>2194</v>
      </c>
      <c r="D1351" t="b">
        <f>IFERROR(VLOOKUP(B1351,PatData!$A$2:$A$2030,1,),"")&lt;&gt;""</f>
        <v>1</v>
      </c>
      <c r="E1351" t="b">
        <v>0</v>
      </c>
      <c r="F1351" t="b">
        <v>0</v>
      </c>
      <c r="G1351" t="b">
        <v>1</v>
      </c>
      <c r="H1351" t="b">
        <v>1</v>
      </c>
      <c r="I1351" t="b">
        <v>0</v>
      </c>
    </row>
    <row r="1352" spans="1:9" x14ac:dyDescent="0.2">
      <c r="A1352" t="s">
        <v>1234</v>
      </c>
      <c r="B1352" t="s">
        <v>2195</v>
      </c>
      <c r="D1352" t="b">
        <f>IFERROR(VLOOKUP(B1352,PatData!$A$2:$A$2030,1,),"")&lt;&gt;""</f>
        <v>1</v>
      </c>
      <c r="E1352" t="b">
        <v>0</v>
      </c>
      <c r="F1352" t="b">
        <v>0</v>
      </c>
      <c r="G1352" t="b">
        <v>1</v>
      </c>
      <c r="H1352" t="b">
        <v>1</v>
      </c>
      <c r="I1352" t="b">
        <v>0</v>
      </c>
    </row>
    <row r="1353" spans="1:9" x14ac:dyDescent="0.2">
      <c r="A1353" t="s">
        <v>1235</v>
      </c>
      <c r="B1353" t="s">
        <v>2196</v>
      </c>
      <c r="D1353" t="b">
        <f>IFERROR(VLOOKUP(B1353,PatData!$A$2:$A$2030,1,),"")&lt;&gt;""</f>
        <v>1</v>
      </c>
      <c r="E1353" t="b">
        <v>0</v>
      </c>
      <c r="F1353" t="b">
        <v>0</v>
      </c>
      <c r="G1353" t="b">
        <v>1</v>
      </c>
      <c r="H1353" t="b">
        <v>1</v>
      </c>
      <c r="I1353" t="b">
        <v>0</v>
      </c>
    </row>
    <row r="1354" spans="1:9" x14ac:dyDescent="0.2">
      <c r="A1354" t="s">
        <v>1237</v>
      </c>
      <c r="B1354" t="s">
        <v>2197</v>
      </c>
      <c r="D1354" t="b">
        <f>IFERROR(VLOOKUP(B1354,PatData!$A$2:$A$2030,1,),"")&lt;&gt;""</f>
        <v>1</v>
      </c>
      <c r="E1354" t="b">
        <v>0</v>
      </c>
      <c r="F1354" t="b">
        <v>0</v>
      </c>
      <c r="G1354" t="b">
        <v>1</v>
      </c>
      <c r="H1354" t="b">
        <v>1</v>
      </c>
      <c r="I1354" t="b">
        <v>0</v>
      </c>
    </row>
    <row r="1355" spans="1:9" x14ac:dyDescent="0.2">
      <c r="A1355" t="s">
        <v>1238</v>
      </c>
      <c r="B1355" t="s">
        <v>2198</v>
      </c>
      <c r="D1355" t="b">
        <f>IFERROR(VLOOKUP(B1355,PatData!$A$2:$A$2030,1,),"")&lt;&gt;""</f>
        <v>1</v>
      </c>
      <c r="E1355" t="b">
        <v>0</v>
      </c>
      <c r="F1355" t="b">
        <v>0</v>
      </c>
      <c r="G1355" t="b">
        <v>1</v>
      </c>
      <c r="H1355" t="b">
        <v>1</v>
      </c>
      <c r="I1355" t="b">
        <v>0</v>
      </c>
    </row>
    <row r="1356" spans="1:9" x14ac:dyDescent="0.2">
      <c r="A1356" t="s">
        <v>1239</v>
      </c>
      <c r="B1356" t="s">
        <v>2199</v>
      </c>
      <c r="D1356" t="b">
        <f>IFERROR(VLOOKUP(B1356,PatData!$A$2:$A$2030,1,),"")&lt;&gt;""</f>
        <v>1</v>
      </c>
      <c r="E1356" t="b">
        <v>0</v>
      </c>
      <c r="F1356" t="b">
        <v>0</v>
      </c>
      <c r="G1356" t="b">
        <v>1</v>
      </c>
      <c r="H1356" t="b">
        <v>1</v>
      </c>
      <c r="I1356" t="b">
        <v>0</v>
      </c>
    </row>
    <row r="1357" spans="1:9" x14ac:dyDescent="0.2">
      <c r="A1357" t="s">
        <v>1240</v>
      </c>
      <c r="B1357" t="s">
        <v>2200</v>
      </c>
      <c r="D1357" t="b">
        <f>IFERROR(VLOOKUP(B1357,PatData!$A$2:$A$2030,1,),"")&lt;&gt;""</f>
        <v>1</v>
      </c>
      <c r="E1357" t="b">
        <v>0</v>
      </c>
      <c r="F1357" t="b">
        <v>0</v>
      </c>
      <c r="G1357" t="b">
        <v>1</v>
      </c>
      <c r="H1357" t="b">
        <v>1</v>
      </c>
      <c r="I1357" t="b">
        <v>0</v>
      </c>
    </row>
    <row r="1358" spans="1:9" x14ac:dyDescent="0.2">
      <c r="A1358" t="s">
        <v>1241</v>
      </c>
      <c r="B1358" t="s">
        <v>2201</v>
      </c>
      <c r="D1358" t="b">
        <f>IFERROR(VLOOKUP(B1358,PatData!$A$2:$A$2030,1,),"")&lt;&gt;""</f>
        <v>1</v>
      </c>
      <c r="E1358" t="b">
        <v>0</v>
      </c>
      <c r="F1358" t="b">
        <v>0</v>
      </c>
      <c r="G1358" t="b">
        <v>1</v>
      </c>
      <c r="H1358" t="b">
        <v>1</v>
      </c>
      <c r="I1358" t="b">
        <v>0</v>
      </c>
    </row>
    <row r="1359" spans="1:9" x14ac:dyDescent="0.2">
      <c r="A1359" t="s">
        <v>1242</v>
      </c>
      <c r="B1359" t="s">
        <v>2202</v>
      </c>
      <c r="D1359" t="b">
        <f>IFERROR(VLOOKUP(B1359,PatData!$A$2:$A$2030,1,),"")&lt;&gt;""</f>
        <v>1</v>
      </c>
      <c r="E1359" t="b">
        <v>0</v>
      </c>
      <c r="F1359" t="b">
        <v>0</v>
      </c>
      <c r="G1359" t="b">
        <v>1</v>
      </c>
      <c r="H1359" t="b">
        <v>1</v>
      </c>
      <c r="I1359" t="b">
        <v>0</v>
      </c>
    </row>
    <row r="1360" spans="1:9" x14ac:dyDescent="0.2">
      <c r="A1360" t="s">
        <v>1243</v>
      </c>
      <c r="B1360" t="s">
        <v>2203</v>
      </c>
      <c r="D1360" t="b">
        <f>IFERROR(VLOOKUP(B1360,PatData!$A$2:$A$2030,1,),"")&lt;&gt;""</f>
        <v>1</v>
      </c>
      <c r="E1360" t="b">
        <v>0</v>
      </c>
      <c r="F1360" t="b">
        <v>0</v>
      </c>
      <c r="G1360" t="b">
        <v>1</v>
      </c>
      <c r="H1360" t="b">
        <v>1</v>
      </c>
      <c r="I1360" t="b">
        <v>0</v>
      </c>
    </row>
    <row r="1361" spans="1:9" x14ac:dyDescent="0.2">
      <c r="A1361" t="s">
        <v>1244</v>
      </c>
      <c r="B1361" t="s">
        <v>2204</v>
      </c>
      <c r="D1361" t="b">
        <f>IFERROR(VLOOKUP(B1361,PatData!$A$2:$A$2030,1,),"")&lt;&gt;""</f>
        <v>1</v>
      </c>
      <c r="E1361" t="b">
        <v>0</v>
      </c>
      <c r="F1361" t="b">
        <v>0</v>
      </c>
      <c r="G1361" t="b">
        <v>1</v>
      </c>
      <c r="H1361" t="b">
        <v>1</v>
      </c>
      <c r="I1361" t="b">
        <v>0</v>
      </c>
    </row>
    <row r="1362" spans="1:9" x14ac:dyDescent="0.2">
      <c r="A1362" t="s">
        <v>1245</v>
      </c>
      <c r="B1362" t="s">
        <v>2205</v>
      </c>
      <c r="D1362" t="b">
        <f>IFERROR(VLOOKUP(B1362,PatData!$A$2:$A$2030,1,),"")&lt;&gt;""</f>
        <v>1</v>
      </c>
      <c r="E1362" t="b">
        <v>0</v>
      </c>
      <c r="F1362" t="b">
        <v>0</v>
      </c>
      <c r="G1362" t="b">
        <v>1</v>
      </c>
      <c r="H1362" t="b">
        <v>1</v>
      </c>
      <c r="I1362" t="b">
        <v>0</v>
      </c>
    </row>
    <row r="1363" spans="1:9" x14ac:dyDescent="0.2">
      <c r="A1363" t="s">
        <v>1246</v>
      </c>
      <c r="B1363" t="s">
        <v>2206</v>
      </c>
      <c r="D1363" t="b">
        <f>IFERROR(VLOOKUP(B1363,PatData!$A$2:$A$2030,1,),"")&lt;&gt;""</f>
        <v>1</v>
      </c>
      <c r="E1363" t="b">
        <v>0</v>
      </c>
      <c r="F1363" t="b">
        <v>0</v>
      </c>
      <c r="G1363" t="b">
        <v>1</v>
      </c>
      <c r="H1363" t="b">
        <v>1</v>
      </c>
      <c r="I1363" t="b">
        <v>0</v>
      </c>
    </row>
    <row r="1364" spans="1:9" x14ac:dyDescent="0.2">
      <c r="A1364" t="s">
        <v>1248</v>
      </c>
      <c r="B1364" t="s">
        <v>2207</v>
      </c>
      <c r="D1364" t="b">
        <f>IFERROR(VLOOKUP(B1364,PatData!$A$2:$A$2030,1,),"")&lt;&gt;""</f>
        <v>1</v>
      </c>
      <c r="E1364" t="b">
        <v>0</v>
      </c>
      <c r="F1364" t="b">
        <v>0</v>
      </c>
      <c r="G1364" t="b">
        <v>1</v>
      </c>
      <c r="H1364" t="b">
        <v>1</v>
      </c>
      <c r="I1364" t="b">
        <v>0</v>
      </c>
    </row>
    <row r="1365" spans="1:9" x14ac:dyDescent="0.2">
      <c r="A1365" t="s">
        <v>1249</v>
      </c>
      <c r="B1365" t="s">
        <v>2208</v>
      </c>
      <c r="D1365" t="b">
        <f>IFERROR(VLOOKUP(B1365,PatData!$A$2:$A$2030,1,),"")&lt;&gt;""</f>
        <v>1</v>
      </c>
      <c r="E1365" t="b">
        <v>0</v>
      </c>
      <c r="F1365" t="b">
        <v>0</v>
      </c>
      <c r="G1365" t="b">
        <v>1</v>
      </c>
      <c r="H1365" t="b">
        <v>1</v>
      </c>
      <c r="I1365" t="b">
        <v>0</v>
      </c>
    </row>
    <row r="1366" spans="1:9" x14ac:dyDescent="0.2">
      <c r="A1366" t="s">
        <v>1256</v>
      </c>
      <c r="B1366" t="s">
        <v>2209</v>
      </c>
      <c r="D1366" t="b">
        <f>IFERROR(VLOOKUP(B1366,PatData!$A$2:$A$2030,1,),"")&lt;&gt;""</f>
        <v>1</v>
      </c>
      <c r="E1366" t="b">
        <v>0</v>
      </c>
      <c r="F1366" t="b">
        <v>0</v>
      </c>
      <c r="G1366" t="b">
        <v>1</v>
      </c>
      <c r="H1366" t="b">
        <v>1</v>
      </c>
      <c r="I1366" t="b">
        <v>0</v>
      </c>
    </row>
    <row r="1367" spans="1:9" x14ac:dyDescent="0.2">
      <c r="A1367" t="s">
        <v>1267</v>
      </c>
      <c r="B1367" t="s">
        <v>2210</v>
      </c>
      <c r="D1367" t="b">
        <f>IFERROR(VLOOKUP(B1367,PatData!$A$2:$A$2030,1,),"")&lt;&gt;""</f>
        <v>1</v>
      </c>
      <c r="E1367" t="b">
        <v>0</v>
      </c>
      <c r="F1367" t="b">
        <v>0</v>
      </c>
      <c r="G1367" t="b">
        <v>1</v>
      </c>
      <c r="H1367" t="b">
        <v>1</v>
      </c>
      <c r="I1367" t="b">
        <v>0</v>
      </c>
    </row>
    <row r="1368" spans="1:9" x14ac:dyDescent="0.2">
      <c r="A1368" t="s">
        <v>1278</v>
      </c>
      <c r="B1368" t="s">
        <v>2211</v>
      </c>
      <c r="D1368" t="b">
        <f>IFERROR(VLOOKUP(B1368,PatData!$A$2:$A$2030,1,),"")&lt;&gt;""</f>
        <v>1</v>
      </c>
      <c r="E1368" t="b">
        <v>0</v>
      </c>
      <c r="F1368" t="b">
        <v>0</v>
      </c>
      <c r="G1368" t="b">
        <v>1</v>
      </c>
      <c r="H1368" t="b">
        <v>1</v>
      </c>
      <c r="I1368" t="b">
        <v>0</v>
      </c>
    </row>
    <row r="1369" spans="1:9" x14ac:dyDescent="0.2">
      <c r="A1369" t="s">
        <v>1281</v>
      </c>
      <c r="B1369" t="s">
        <v>2212</v>
      </c>
      <c r="D1369" t="b">
        <f>IFERROR(VLOOKUP(B1369,PatData!$A$2:$A$2030,1,),"")&lt;&gt;""</f>
        <v>1</v>
      </c>
      <c r="E1369" t="b">
        <v>0</v>
      </c>
      <c r="F1369" t="b">
        <v>0</v>
      </c>
      <c r="G1369" t="b">
        <v>1</v>
      </c>
      <c r="H1369" t="b">
        <v>1</v>
      </c>
      <c r="I1369" t="b">
        <v>0</v>
      </c>
    </row>
    <row r="1370" spans="1:9" x14ac:dyDescent="0.2">
      <c r="A1370" t="s">
        <v>1282</v>
      </c>
      <c r="B1370" t="s">
        <v>2213</v>
      </c>
      <c r="D1370" t="b">
        <f>IFERROR(VLOOKUP(B1370,PatData!$A$2:$A$2030,1,),"")&lt;&gt;""</f>
        <v>1</v>
      </c>
      <c r="E1370" t="b">
        <v>0</v>
      </c>
      <c r="F1370" t="b">
        <v>0</v>
      </c>
      <c r="G1370" t="b">
        <v>1</v>
      </c>
      <c r="H1370" t="b">
        <v>1</v>
      </c>
      <c r="I1370" t="b">
        <v>0</v>
      </c>
    </row>
    <row r="1371" spans="1:9" x14ac:dyDescent="0.2">
      <c r="A1371" t="s">
        <v>1283</v>
      </c>
      <c r="B1371" t="s">
        <v>2214</v>
      </c>
      <c r="D1371" t="b">
        <f>IFERROR(VLOOKUP(B1371,PatData!$A$2:$A$2030,1,),"")&lt;&gt;""</f>
        <v>1</v>
      </c>
      <c r="E1371" t="b">
        <v>0</v>
      </c>
      <c r="F1371" t="b">
        <v>0</v>
      </c>
      <c r="G1371" t="b">
        <v>1</v>
      </c>
      <c r="H1371" t="b">
        <v>1</v>
      </c>
      <c r="I1371" t="b">
        <v>0</v>
      </c>
    </row>
    <row r="1372" spans="1:9" x14ac:dyDescent="0.2">
      <c r="A1372" t="s">
        <v>1284</v>
      </c>
      <c r="B1372" t="s">
        <v>2215</v>
      </c>
      <c r="D1372" t="b">
        <f>IFERROR(VLOOKUP(B1372,PatData!$A$2:$A$2030,1,),"")&lt;&gt;""</f>
        <v>1</v>
      </c>
      <c r="E1372" t="b">
        <v>0</v>
      </c>
      <c r="F1372" t="b">
        <v>0</v>
      </c>
      <c r="G1372" t="b">
        <v>1</v>
      </c>
      <c r="H1372" t="b">
        <v>1</v>
      </c>
      <c r="I1372" t="b">
        <v>0</v>
      </c>
    </row>
    <row r="1373" spans="1:9" x14ac:dyDescent="0.2">
      <c r="A1373" t="s">
        <v>1285</v>
      </c>
      <c r="B1373" t="s">
        <v>2216</v>
      </c>
      <c r="D1373" t="b">
        <f>IFERROR(VLOOKUP(B1373,PatData!$A$2:$A$2030,1,),"")&lt;&gt;""</f>
        <v>1</v>
      </c>
      <c r="E1373" t="b">
        <v>0</v>
      </c>
      <c r="F1373" t="b">
        <v>0</v>
      </c>
      <c r="G1373" t="b">
        <v>1</v>
      </c>
      <c r="H1373" t="b">
        <v>1</v>
      </c>
      <c r="I1373" t="b">
        <v>0</v>
      </c>
    </row>
    <row r="1374" spans="1:9" x14ac:dyDescent="0.2">
      <c r="A1374" t="s">
        <v>1286</v>
      </c>
      <c r="B1374" t="s">
        <v>2217</v>
      </c>
      <c r="D1374" t="b">
        <f>IFERROR(VLOOKUP(B1374,PatData!$A$2:$A$2030,1,),"")&lt;&gt;""</f>
        <v>1</v>
      </c>
      <c r="E1374" t="b">
        <v>0</v>
      </c>
      <c r="F1374" t="b">
        <v>0</v>
      </c>
      <c r="G1374" t="b">
        <v>1</v>
      </c>
      <c r="H1374" t="b">
        <v>1</v>
      </c>
      <c r="I1374" t="b">
        <v>0</v>
      </c>
    </row>
    <row r="1375" spans="1:9" x14ac:dyDescent="0.2">
      <c r="A1375" t="s">
        <v>1257</v>
      </c>
      <c r="B1375" t="s">
        <v>2218</v>
      </c>
      <c r="D1375" t="b">
        <f>IFERROR(VLOOKUP(B1375,PatData!$A$2:$A$2030,1,),"")&lt;&gt;""</f>
        <v>1</v>
      </c>
      <c r="E1375" t="b">
        <v>0</v>
      </c>
      <c r="F1375" t="b">
        <v>0</v>
      </c>
      <c r="G1375" t="b">
        <v>1</v>
      </c>
      <c r="H1375" t="b">
        <v>1</v>
      </c>
      <c r="I1375" t="b">
        <v>0</v>
      </c>
    </row>
    <row r="1376" spans="1:9" x14ac:dyDescent="0.2">
      <c r="A1376" t="s">
        <v>1258</v>
      </c>
      <c r="B1376" t="s">
        <v>2219</v>
      </c>
      <c r="D1376" t="b">
        <f>IFERROR(VLOOKUP(B1376,PatData!$A$2:$A$2030,1,),"")&lt;&gt;""</f>
        <v>1</v>
      </c>
      <c r="E1376" t="b">
        <v>0</v>
      </c>
      <c r="F1376" t="b">
        <v>0</v>
      </c>
      <c r="G1376" t="b">
        <v>1</v>
      </c>
      <c r="H1376" t="b">
        <v>1</v>
      </c>
      <c r="I1376" t="b">
        <v>0</v>
      </c>
    </row>
    <row r="1377" spans="1:9" x14ac:dyDescent="0.2">
      <c r="A1377" t="s">
        <v>1259</v>
      </c>
      <c r="B1377" t="s">
        <v>2220</v>
      </c>
      <c r="D1377" t="b">
        <f>IFERROR(VLOOKUP(B1377,PatData!$A$2:$A$2030,1,),"")&lt;&gt;""</f>
        <v>1</v>
      </c>
      <c r="E1377" t="b">
        <v>0</v>
      </c>
      <c r="F1377" t="b">
        <v>0</v>
      </c>
      <c r="G1377" t="b">
        <v>1</v>
      </c>
      <c r="H1377" t="b">
        <v>1</v>
      </c>
      <c r="I1377" t="b">
        <v>0</v>
      </c>
    </row>
    <row r="1378" spans="1:9" x14ac:dyDescent="0.2">
      <c r="A1378" t="s">
        <v>1260</v>
      </c>
      <c r="B1378" t="s">
        <v>2221</v>
      </c>
      <c r="D1378" t="b">
        <f>IFERROR(VLOOKUP(B1378,PatData!$A$2:$A$2030,1,),"")&lt;&gt;""</f>
        <v>1</v>
      </c>
      <c r="E1378" t="b">
        <v>0</v>
      </c>
      <c r="F1378" t="b">
        <v>0</v>
      </c>
      <c r="G1378" t="b">
        <v>1</v>
      </c>
      <c r="H1378" t="b">
        <v>1</v>
      </c>
      <c r="I1378" t="b">
        <v>0</v>
      </c>
    </row>
    <row r="1379" spans="1:9" x14ac:dyDescent="0.2">
      <c r="A1379" t="s">
        <v>1261</v>
      </c>
      <c r="B1379" t="s">
        <v>2222</v>
      </c>
      <c r="D1379" t="b">
        <f>IFERROR(VLOOKUP(B1379,PatData!$A$2:$A$2030,1,),"")&lt;&gt;""</f>
        <v>1</v>
      </c>
      <c r="E1379" t="b">
        <v>0</v>
      </c>
      <c r="F1379" t="b">
        <v>0</v>
      </c>
      <c r="G1379" t="b">
        <v>1</v>
      </c>
      <c r="H1379" t="b">
        <v>1</v>
      </c>
      <c r="I1379" t="b">
        <v>0</v>
      </c>
    </row>
    <row r="1380" spans="1:9" x14ac:dyDescent="0.2">
      <c r="A1380" t="s">
        <v>1262</v>
      </c>
      <c r="B1380" t="s">
        <v>2223</v>
      </c>
      <c r="D1380" t="b">
        <f>IFERROR(VLOOKUP(B1380,PatData!$A$2:$A$2030,1,),"")&lt;&gt;""</f>
        <v>1</v>
      </c>
      <c r="E1380" t="b">
        <v>0</v>
      </c>
      <c r="F1380" t="b">
        <v>0</v>
      </c>
      <c r="G1380" t="b">
        <v>1</v>
      </c>
      <c r="H1380" t="b">
        <v>1</v>
      </c>
      <c r="I1380" t="b">
        <v>0</v>
      </c>
    </row>
    <row r="1381" spans="1:9" x14ac:dyDescent="0.2">
      <c r="A1381" t="s">
        <v>1263</v>
      </c>
      <c r="B1381" t="s">
        <v>2224</v>
      </c>
      <c r="D1381" t="b">
        <f>IFERROR(VLOOKUP(B1381,PatData!$A$2:$A$2030,1,),"")&lt;&gt;""</f>
        <v>1</v>
      </c>
      <c r="E1381" t="b">
        <v>0</v>
      </c>
      <c r="F1381" t="b">
        <v>0</v>
      </c>
      <c r="G1381" t="b">
        <v>1</v>
      </c>
      <c r="H1381" t="b">
        <v>1</v>
      </c>
      <c r="I1381" t="b">
        <v>0</v>
      </c>
    </row>
    <row r="1382" spans="1:9" x14ac:dyDescent="0.2">
      <c r="A1382" t="s">
        <v>1264</v>
      </c>
      <c r="B1382" t="s">
        <v>2225</v>
      </c>
      <c r="D1382" t="b">
        <f>IFERROR(VLOOKUP(B1382,PatData!$A$2:$A$2030,1,),"")&lt;&gt;""</f>
        <v>1</v>
      </c>
      <c r="E1382" t="b">
        <v>0</v>
      </c>
      <c r="F1382" t="b">
        <v>0</v>
      </c>
      <c r="G1382" t="b">
        <v>1</v>
      </c>
      <c r="H1382" t="b">
        <v>1</v>
      </c>
      <c r="I1382" t="b">
        <v>0</v>
      </c>
    </row>
    <row r="1383" spans="1:9" x14ac:dyDescent="0.2">
      <c r="A1383" t="s">
        <v>1265</v>
      </c>
      <c r="B1383" t="s">
        <v>2226</v>
      </c>
      <c r="D1383" t="b">
        <f>IFERROR(VLOOKUP(B1383,PatData!$A$2:$A$2030,1,),"")&lt;&gt;""</f>
        <v>1</v>
      </c>
      <c r="E1383" t="b">
        <v>0</v>
      </c>
      <c r="F1383" t="b">
        <v>0</v>
      </c>
      <c r="G1383" t="b">
        <v>1</v>
      </c>
      <c r="H1383" t="b">
        <v>1</v>
      </c>
      <c r="I1383" t="b">
        <v>0</v>
      </c>
    </row>
    <row r="1384" spans="1:9" x14ac:dyDescent="0.2">
      <c r="A1384" t="s">
        <v>1266</v>
      </c>
      <c r="B1384" t="s">
        <v>2227</v>
      </c>
      <c r="D1384" t="b">
        <f>IFERROR(VLOOKUP(B1384,PatData!$A$2:$A$2030,1,),"")&lt;&gt;""</f>
        <v>1</v>
      </c>
      <c r="E1384" t="b">
        <v>0</v>
      </c>
      <c r="F1384" t="b">
        <v>0</v>
      </c>
      <c r="G1384" t="b">
        <v>1</v>
      </c>
      <c r="H1384" t="b">
        <v>1</v>
      </c>
      <c r="I1384" t="b">
        <v>0</v>
      </c>
    </row>
    <row r="1385" spans="1:9" x14ac:dyDescent="0.2">
      <c r="A1385" t="s">
        <v>1268</v>
      </c>
      <c r="B1385" t="s">
        <v>2228</v>
      </c>
      <c r="D1385" t="b">
        <f>IFERROR(VLOOKUP(B1385,PatData!$A$2:$A$2030,1,),"")&lt;&gt;""</f>
        <v>1</v>
      </c>
      <c r="E1385" t="b">
        <v>0</v>
      </c>
      <c r="F1385" t="b">
        <v>0</v>
      </c>
      <c r="G1385" t="b">
        <v>1</v>
      </c>
      <c r="H1385" t="b">
        <v>1</v>
      </c>
      <c r="I1385" t="b">
        <v>0</v>
      </c>
    </row>
    <row r="1386" spans="1:9" x14ac:dyDescent="0.2">
      <c r="A1386" t="s">
        <v>1269</v>
      </c>
      <c r="B1386" t="s">
        <v>2229</v>
      </c>
      <c r="D1386" t="b">
        <f>IFERROR(VLOOKUP(B1386,PatData!$A$2:$A$2030,1,),"")&lt;&gt;""</f>
        <v>1</v>
      </c>
      <c r="E1386" t="b">
        <v>0</v>
      </c>
      <c r="F1386" t="b">
        <v>0</v>
      </c>
      <c r="G1386" t="b">
        <v>1</v>
      </c>
      <c r="H1386" t="b">
        <v>1</v>
      </c>
      <c r="I1386" t="b">
        <v>0</v>
      </c>
    </row>
    <row r="1387" spans="1:9" x14ac:dyDescent="0.2">
      <c r="A1387" t="s">
        <v>1270</v>
      </c>
      <c r="B1387" t="s">
        <v>2230</v>
      </c>
      <c r="D1387" t="b">
        <f>IFERROR(VLOOKUP(B1387,PatData!$A$2:$A$2030,1,),"")&lt;&gt;""</f>
        <v>1</v>
      </c>
      <c r="E1387" t="b">
        <v>0</v>
      </c>
      <c r="F1387" t="b">
        <v>0</v>
      </c>
      <c r="G1387" t="b">
        <v>1</v>
      </c>
      <c r="H1387" t="b">
        <v>1</v>
      </c>
      <c r="I1387" t="b">
        <v>0</v>
      </c>
    </row>
    <row r="1388" spans="1:9" x14ac:dyDescent="0.2">
      <c r="A1388" t="s">
        <v>1271</v>
      </c>
      <c r="B1388" t="s">
        <v>2231</v>
      </c>
      <c r="D1388" t="b">
        <f>IFERROR(VLOOKUP(B1388,PatData!$A$2:$A$2030,1,),"")&lt;&gt;""</f>
        <v>1</v>
      </c>
      <c r="E1388" t="b">
        <v>0</v>
      </c>
      <c r="F1388" t="b">
        <v>0</v>
      </c>
      <c r="G1388" t="b">
        <v>1</v>
      </c>
      <c r="H1388" t="b">
        <v>1</v>
      </c>
      <c r="I1388" t="b">
        <v>0</v>
      </c>
    </row>
    <row r="1389" spans="1:9" x14ac:dyDescent="0.2">
      <c r="A1389" t="s">
        <v>1272</v>
      </c>
      <c r="B1389" t="s">
        <v>2232</v>
      </c>
      <c r="D1389" t="b">
        <f>IFERROR(VLOOKUP(B1389,PatData!$A$2:$A$2030,1,),"")&lt;&gt;""</f>
        <v>1</v>
      </c>
      <c r="E1389" t="b">
        <v>0</v>
      </c>
      <c r="F1389" t="b">
        <v>0</v>
      </c>
      <c r="G1389" t="b">
        <v>1</v>
      </c>
      <c r="H1389" t="b">
        <v>1</v>
      </c>
      <c r="I1389" t="b">
        <v>0</v>
      </c>
    </row>
    <row r="1390" spans="1:9" x14ac:dyDescent="0.2">
      <c r="A1390" t="s">
        <v>1273</v>
      </c>
      <c r="B1390" t="s">
        <v>2233</v>
      </c>
      <c r="D1390" t="b">
        <f>IFERROR(VLOOKUP(B1390,PatData!$A$2:$A$2030,1,),"")&lt;&gt;""</f>
        <v>1</v>
      </c>
      <c r="E1390" t="b">
        <v>0</v>
      </c>
      <c r="F1390" t="b">
        <v>0</v>
      </c>
      <c r="G1390" t="b">
        <v>1</v>
      </c>
      <c r="H1390" t="b">
        <v>1</v>
      </c>
      <c r="I1390" t="b">
        <v>0</v>
      </c>
    </row>
    <row r="1391" spans="1:9" x14ac:dyDescent="0.2">
      <c r="A1391" t="s">
        <v>1274</v>
      </c>
      <c r="B1391" t="s">
        <v>2234</v>
      </c>
      <c r="D1391" t="b">
        <f>IFERROR(VLOOKUP(B1391,PatData!$A$2:$A$2030,1,),"")&lt;&gt;""</f>
        <v>1</v>
      </c>
      <c r="E1391" t="b">
        <v>0</v>
      </c>
      <c r="F1391" t="b">
        <v>0</v>
      </c>
      <c r="G1391" t="b">
        <v>1</v>
      </c>
      <c r="H1391" t="b">
        <v>1</v>
      </c>
      <c r="I1391" t="b">
        <v>0</v>
      </c>
    </row>
    <row r="1392" spans="1:9" x14ac:dyDescent="0.2">
      <c r="A1392" t="s">
        <v>1275</v>
      </c>
      <c r="B1392" t="s">
        <v>2235</v>
      </c>
      <c r="D1392" t="b">
        <f>IFERROR(VLOOKUP(B1392,PatData!$A$2:$A$2030,1,),"")&lt;&gt;""</f>
        <v>1</v>
      </c>
      <c r="E1392" t="b">
        <v>0</v>
      </c>
      <c r="F1392" t="b">
        <v>0</v>
      </c>
      <c r="G1392" t="b">
        <v>1</v>
      </c>
      <c r="H1392" t="b">
        <v>1</v>
      </c>
      <c r="I1392" t="b">
        <v>0</v>
      </c>
    </row>
    <row r="1393" spans="1:9" x14ac:dyDescent="0.2">
      <c r="A1393" t="s">
        <v>1276</v>
      </c>
      <c r="B1393" t="s">
        <v>2236</v>
      </c>
      <c r="D1393" t="b">
        <f>IFERROR(VLOOKUP(B1393,PatData!$A$2:$A$2030,1,),"")&lt;&gt;""</f>
        <v>1</v>
      </c>
      <c r="E1393" t="b">
        <v>0</v>
      </c>
      <c r="F1393" t="b">
        <v>0</v>
      </c>
      <c r="G1393" t="b">
        <v>1</v>
      </c>
      <c r="H1393" t="b">
        <v>1</v>
      </c>
      <c r="I1393" t="b">
        <v>0</v>
      </c>
    </row>
    <row r="1394" spans="1:9" x14ac:dyDescent="0.2">
      <c r="A1394" t="s">
        <v>1277</v>
      </c>
      <c r="B1394" t="s">
        <v>2237</v>
      </c>
      <c r="D1394" t="b">
        <f>IFERROR(VLOOKUP(B1394,PatData!$A$2:$A$2030,1,),"")&lt;&gt;""</f>
        <v>1</v>
      </c>
      <c r="E1394" t="b">
        <v>0</v>
      </c>
      <c r="F1394" t="b">
        <v>0</v>
      </c>
      <c r="G1394" t="b">
        <v>1</v>
      </c>
      <c r="H1394" t="b">
        <v>1</v>
      </c>
      <c r="I1394" t="b">
        <v>0</v>
      </c>
    </row>
    <row r="1395" spans="1:9" x14ac:dyDescent="0.2">
      <c r="A1395" t="s">
        <v>1279</v>
      </c>
      <c r="B1395" t="s">
        <v>2238</v>
      </c>
      <c r="D1395" t="b">
        <f>IFERROR(VLOOKUP(B1395,PatData!$A$2:$A$2030,1,),"")&lt;&gt;""</f>
        <v>1</v>
      </c>
      <c r="E1395" t="b">
        <v>0</v>
      </c>
      <c r="F1395" t="b">
        <v>0</v>
      </c>
      <c r="G1395" t="b">
        <v>1</v>
      </c>
      <c r="H1395" t="b">
        <v>1</v>
      </c>
      <c r="I1395" t="b">
        <v>0</v>
      </c>
    </row>
    <row r="1396" spans="1:9" x14ac:dyDescent="0.2">
      <c r="A1396" t="s">
        <v>1280</v>
      </c>
      <c r="B1396" t="s">
        <v>2239</v>
      </c>
      <c r="D1396" t="b">
        <f>IFERROR(VLOOKUP(B1396,PatData!$A$2:$A$2030,1,),"")&lt;&gt;""</f>
        <v>1</v>
      </c>
      <c r="E1396" t="b">
        <v>0</v>
      </c>
      <c r="F1396" t="b">
        <v>0</v>
      </c>
      <c r="G1396" t="b">
        <v>1</v>
      </c>
      <c r="H1396" t="b">
        <v>1</v>
      </c>
      <c r="I1396" t="b">
        <v>0</v>
      </c>
    </row>
    <row r="1397" spans="1:9" x14ac:dyDescent="0.2">
      <c r="A1397" t="s">
        <v>1287</v>
      </c>
      <c r="B1397" t="s">
        <v>2240</v>
      </c>
      <c r="D1397" t="b">
        <f>IFERROR(VLOOKUP(B1397,PatData!$A$2:$A$2030,1,),"")&lt;&gt;""</f>
        <v>1</v>
      </c>
      <c r="E1397" t="b">
        <v>0</v>
      </c>
      <c r="F1397" t="b">
        <v>0</v>
      </c>
      <c r="G1397" t="b">
        <v>1</v>
      </c>
      <c r="H1397" t="b">
        <v>1</v>
      </c>
      <c r="I1397" t="b">
        <v>0</v>
      </c>
    </row>
    <row r="1398" spans="1:9" x14ac:dyDescent="0.2">
      <c r="A1398" t="s">
        <v>1298</v>
      </c>
      <c r="B1398" t="s">
        <v>2241</v>
      </c>
      <c r="D1398" t="b">
        <f>IFERROR(VLOOKUP(B1398,PatData!$A$2:$A$2030,1,),"")&lt;&gt;""</f>
        <v>1</v>
      </c>
      <c r="E1398" t="b">
        <v>0</v>
      </c>
      <c r="F1398" t="b">
        <v>0</v>
      </c>
      <c r="G1398" t="b">
        <v>1</v>
      </c>
      <c r="H1398" t="b">
        <v>1</v>
      </c>
      <c r="I1398" t="b">
        <v>0</v>
      </c>
    </row>
    <row r="1399" spans="1:9" x14ac:dyDescent="0.2">
      <c r="A1399" t="s">
        <v>1309</v>
      </c>
      <c r="B1399" t="s">
        <v>2242</v>
      </c>
      <c r="D1399" t="b">
        <f>IFERROR(VLOOKUP(B1399,PatData!$A$2:$A$2030,1,),"")&lt;&gt;""</f>
        <v>1</v>
      </c>
      <c r="E1399" t="b">
        <v>0</v>
      </c>
      <c r="F1399" t="b">
        <v>0</v>
      </c>
      <c r="G1399" t="b">
        <v>1</v>
      </c>
      <c r="H1399" t="b">
        <v>1</v>
      </c>
      <c r="I1399" t="b">
        <v>0</v>
      </c>
    </row>
    <row r="1400" spans="1:9" x14ac:dyDescent="0.2">
      <c r="A1400" t="s">
        <v>1312</v>
      </c>
      <c r="B1400" t="s">
        <v>2243</v>
      </c>
      <c r="D1400" t="b">
        <f>IFERROR(VLOOKUP(B1400,PatData!$A$2:$A$2030,1,),"")&lt;&gt;""</f>
        <v>1</v>
      </c>
      <c r="E1400" t="b">
        <v>0</v>
      </c>
      <c r="F1400" t="b">
        <v>0</v>
      </c>
      <c r="G1400" t="b">
        <v>1</v>
      </c>
      <c r="H1400" t="b">
        <v>1</v>
      </c>
      <c r="I1400" t="b">
        <v>0</v>
      </c>
    </row>
    <row r="1401" spans="1:9" x14ac:dyDescent="0.2">
      <c r="A1401" t="s">
        <v>1313</v>
      </c>
      <c r="B1401" t="s">
        <v>2244</v>
      </c>
      <c r="D1401" t="b">
        <f>IFERROR(VLOOKUP(B1401,PatData!$A$2:$A$2030,1,),"")&lt;&gt;""</f>
        <v>1</v>
      </c>
      <c r="E1401" t="b">
        <v>0</v>
      </c>
      <c r="F1401" t="b">
        <v>0</v>
      </c>
      <c r="G1401" t="b">
        <v>1</v>
      </c>
      <c r="H1401" t="b">
        <v>1</v>
      </c>
      <c r="I1401" t="b">
        <v>0</v>
      </c>
    </row>
    <row r="1402" spans="1:9" x14ac:dyDescent="0.2">
      <c r="A1402" t="s">
        <v>1314</v>
      </c>
      <c r="B1402" t="s">
        <v>2245</v>
      </c>
      <c r="D1402" t="b">
        <f>IFERROR(VLOOKUP(B1402,PatData!$A$2:$A$2030,1,),"")&lt;&gt;""</f>
        <v>1</v>
      </c>
      <c r="E1402" t="b">
        <v>0</v>
      </c>
      <c r="F1402" t="b">
        <v>0</v>
      </c>
      <c r="G1402" t="b">
        <v>1</v>
      </c>
      <c r="H1402" t="b">
        <v>1</v>
      </c>
      <c r="I1402" t="b">
        <v>0</v>
      </c>
    </row>
    <row r="1403" spans="1:9" x14ac:dyDescent="0.2">
      <c r="A1403" t="s">
        <v>1315</v>
      </c>
      <c r="B1403" t="s">
        <v>2246</v>
      </c>
      <c r="D1403" t="b">
        <f>IFERROR(VLOOKUP(B1403,PatData!$A$2:$A$2030,1,),"")&lt;&gt;""</f>
        <v>1</v>
      </c>
      <c r="E1403" t="b">
        <v>0</v>
      </c>
      <c r="F1403" t="b">
        <v>0</v>
      </c>
      <c r="G1403" t="b">
        <v>1</v>
      </c>
      <c r="H1403" t="b">
        <v>1</v>
      </c>
      <c r="I1403" t="b">
        <v>0</v>
      </c>
    </row>
    <row r="1404" spans="1:9" x14ac:dyDescent="0.2">
      <c r="A1404" t="s">
        <v>1316</v>
      </c>
      <c r="B1404" t="s">
        <v>2247</v>
      </c>
      <c r="D1404" t="b">
        <f>IFERROR(VLOOKUP(B1404,PatData!$A$2:$A$2030,1,),"")&lt;&gt;""</f>
        <v>1</v>
      </c>
      <c r="E1404" t="b">
        <v>0</v>
      </c>
      <c r="F1404" t="b">
        <v>0</v>
      </c>
      <c r="G1404" t="b">
        <v>1</v>
      </c>
      <c r="H1404" t="b">
        <v>1</v>
      </c>
      <c r="I1404" t="b">
        <v>0</v>
      </c>
    </row>
    <row r="1405" spans="1:9" x14ac:dyDescent="0.2">
      <c r="A1405" t="s">
        <v>1317</v>
      </c>
      <c r="B1405" t="s">
        <v>2248</v>
      </c>
      <c r="D1405" t="b">
        <f>IFERROR(VLOOKUP(B1405,PatData!$A$2:$A$2030,1,),"")&lt;&gt;""</f>
        <v>1</v>
      </c>
      <c r="E1405" t="b">
        <v>0</v>
      </c>
      <c r="F1405" t="b">
        <v>0</v>
      </c>
      <c r="G1405" t="b">
        <v>1</v>
      </c>
      <c r="H1405" t="b">
        <v>1</v>
      </c>
      <c r="I1405" t="b">
        <v>0</v>
      </c>
    </row>
    <row r="1406" spans="1:9" x14ac:dyDescent="0.2">
      <c r="A1406" t="s">
        <v>1288</v>
      </c>
      <c r="B1406" t="s">
        <v>2249</v>
      </c>
      <c r="D1406" t="b">
        <f>IFERROR(VLOOKUP(B1406,PatData!$A$2:$A$2030,1,),"")&lt;&gt;""</f>
        <v>1</v>
      </c>
      <c r="E1406" t="b">
        <v>0</v>
      </c>
      <c r="F1406" t="b">
        <v>0</v>
      </c>
      <c r="G1406" t="b">
        <v>1</v>
      </c>
      <c r="H1406" t="b">
        <v>1</v>
      </c>
      <c r="I1406" t="b">
        <v>0</v>
      </c>
    </row>
    <row r="1407" spans="1:9" x14ac:dyDescent="0.2">
      <c r="A1407" t="s">
        <v>1289</v>
      </c>
      <c r="B1407" t="s">
        <v>2250</v>
      </c>
      <c r="D1407" t="b">
        <f>IFERROR(VLOOKUP(B1407,PatData!$A$2:$A$2030,1,),"")&lt;&gt;""</f>
        <v>1</v>
      </c>
      <c r="E1407" t="b">
        <v>0</v>
      </c>
      <c r="F1407" t="b">
        <v>0</v>
      </c>
      <c r="G1407" t="b">
        <v>1</v>
      </c>
      <c r="H1407" t="b">
        <v>1</v>
      </c>
      <c r="I1407" t="b">
        <v>0</v>
      </c>
    </row>
    <row r="1408" spans="1:9" x14ac:dyDescent="0.2">
      <c r="A1408" t="s">
        <v>1290</v>
      </c>
      <c r="B1408" t="s">
        <v>2251</v>
      </c>
      <c r="D1408" t="b">
        <f>IFERROR(VLOOKUP(B1408,PatData!$A$2:$A$2030,1,),"")&lt;&gt;""</f>
        <v>1</v>
      </c>
      <c r="E1408" t="b">
        <v>0</v>
      </c>
      <c r="F1408" t="b">
        <v>0</v>
      </c>
      <c r="G1408" t="b">
        <v>1</v>
      </c>
      <c r="H1408" t="b">
        <v>1</v>
      </c>
      <c r="I1408" t="b">
        <v>0</v>
      </c>
    </row>
    <row r="1409" spans="1:9" x14ac:dyDescent="0.2">
      <c r="A1409" t="s">
        <v>1291</v>
      </c>
      <c r="B1409" t="s">
        <v>2252</v>
      </c>
      <c r="D1409" t="b">
        <f>IFERROR(VLOOKUP(B1409,PatData!$A$2:$A$2030,1,),"")&lt;&gt;""</f>
        <v>1</v>
      </c>
      <c r="E1409" t="b">
        <v>0</v>
      </c>
      <c r="F1409" t="b">
        <v>0</v>
      </c>
      <c r="G1409" t="b">
        <v>1</v>
      </c>
      <c r="H1409" t="b">
        <v>1</v>
      </c>
      <c r="I1409" t="b">
        <v>0</v>
      </c>
    </row>
    <row r="1410" spans="1:9" x14ac:dyDescent="0.2">
      <c r="A1410" t="s">
        <v>1292</v>
      </c>
      <c r="B1410" t="s">
        <v>2253</v>
      </c>
      <c r="D1410" t="b">
        <f>IFERROR(VLOOKUP(B1410,PatData!$A$2:$A$2030,1,),"")&lt;&gt;""</f>
        <v>1</v>
      </c>
      <c r="E1410" t="b">
        <v>0</v>
      </c>
      <c r="F1410" t="b">
        <v>0</v>
      </c>
      <c r="G1410" t="b">
        <v>1</v>
      </c>
      <c r="H1410" t="b">
        <v>1</v>
      </c>
      <c r="I1410" t="b">
        <v>0</v>
      </c>
    </row>
    <row r="1411" spans="1:9" x14ac:dyDescent="0.2">
      <c r="A1411" t="s">
        <v>1293</v>
      </c>
      <c r="B1411" t="s">
        <v>2254</v>
      </c>
      <c r="D1411" t="b">
        <f>IFERROR(VLOOKUP(B1411,PatData!$A$2:$A$2030,1,),"")&lt;&gt;""</f>
        <v>1</v>
      </c>
      <c r="E1411" t="b">
        <v>0</v>
      </c>
      <c r="F1411" t="b">
        <v>0</v>
      </c>
      <c r="G1411" t="b">
        <v>1</v>
      </c>
      <c r="H1411" t="b">
        <v>1</v>
      </c>
      <c r="I1411" t="b">
        <v>0</v>
      </c>
    </row>
    <row r="1412" spans="1:9" x14ac:dyDescent="0.2">
      <c r="A1412" t="s">
        <v>1294</v>
      </c>
      <c r="B1412" t="s">
        <v>2255</v>
      </c>
      <c r="D1412" t="b">
        <f>IFERROR(VLOOKUP(B1412,PatData!$A$2:$A$2030,1,),"")&lt;&gt;""</f>
        <v>1</v>
      </c>
      <c r="E1412" t="b">
        <v>0</v>
      </c>
      <c r="F1412" t="b">
        <v>0</v>
      </c>
      <c r="G1412" t="b">
        <v>1</v>
      </c>
      <c r="H1412" t="b">
        <v>1</v>
      </c>
      <c r="I1412" t="b">
        <v>0</v>
      </c>
    </row>
    <row r="1413" spans="1:9" x14ac:dyDescent="0.2">
      <c r="A1413" t="s">
        <v>1295</v>
      </c>
      <c r="B1413" t="s">
        <v>2256</v>
      </c>
      <c r="D1413" t="b">
        <f>IFERROR(VLOOKUP(B1413,PatData!$A$2:$A$2030,1,),"")&lt;&gt;""</f>
        <v>1</v>
      </c>
      <c r="E1413" t="b">
        <v>0</v>
      </c>
      <c r="F1413" t="b">
        <v>0</v>
      </c>
      <c r="G1413" t="b">
        <v>1</v>
      </c>
      <c r="H1413" t="b">
        <v>1</v>
      </c>
      <c r="I1413" t="b">
        <v>0</v>
      </c>
    </row>
    <row r="1414" spans="1:9" x14ac:dyDescent="0.2">
      <c r="A1414" t="s">
        <v>1296</v>
      </c>
      <c r="B1414" t="s">
        <v>2257</v>
      </c>
      <c r="D1414" t="b">
        <f>IFERROR(VLOOKUP(B1414,PatData!$A$2:$A$2030,1,),"")&lt;&gt;""</f>
        <v>1</v>
      </c>
      <c r="E1414" t="b">
        <v>0</v>
      </c>
      <c r="F1414" t="b">
        <v>0</v>
      </c>
      <c r="G1414" t="b">
        <v>1</v>
      </c>
      <c r="H1414" t="b">
        <v>1</v>
      </c>
      <c r="I1414" t="b">
        <v>0</v>
      </c>
    </row>
    <row r="1415" spans="1:9" x14ac:dyDescent="0.2">
      <c r="A1415" t="s">
        <v>1297</v>
      </c>
      <c r="B1415" t="s">
        <v>2258</v>
      </c>
      <c r="D1415" t="b">
        <f>IFERROR(VLOOKUP(B1415,PatData!$A$2:$A$2030,1,),"")&lt;&gt;""</f>
        <v>1</v>
      </c>
      <c r="E1415" t="b">
        <v>0</v>
      </c>
      <c r="F1415" t="b">
        <v>0</v>
      </c>
      <c r="G1415" t="b">
        <v>1</v>
      </c>
      <c r="H1415" t="b">
        <v>1</v>
      </c>
      <c r="I1415" t="b">
        <v>0</v>
      </c>
    </row>
    <row r="1416" spans="1:9" x14ac:dyDescent="0.2">
      <c r="A1416" t="s">
        <v>1299</v>
      </c>
      <c r="B1416" t="s">
        <v>2259</v>
      </c>
      <c r="D1416" t="b">
        <f>IFERROR(VLOOKUP(B1416,PatData!$A$2:$A$2030,1,),"")&lt;&gt;""</f>
        <v>1</v>
      </c>
      <c r="E1416" t="b">
        <v>0</v>
      </c>
      <c r="F1416" t="b">
        <v>0</v>
      </c>
      <c r="G1416" t="b">
        <v>1</v>
      </c>
      <c r="H1416" t="b">
        <v>1</v>
      </c>
      <c r="I1416" t="b">
        <v>0</v>
      </c>
    </row>
    <row r="1417" spans="1:9" x14ac:dyDescent="0.2">
      <c r="A1417" t="s">
        <v>1300</v>
      </c>
      <c r="B1417" t="s">
        <v>2260</v>
      </c>
      <c r="D1417" t="b">
        <f>IFERROR(VLOOKUP(B1417,PatData!$A$2:$A$2030,1,),"")&lt;&gt;""</f>
        <v>1</v>
      </c>
      <c r="E1417" t="b">
        <v>0</v>
      </c>
      <c r="F1417" t="b">
        <v>0</v>
      </c>
      <c r="G1417" t="b">
        <v>1</v>
      </c>
      <c r="H1417" t="b">
        <v>1</v>
      </c>
      <c r="I1417" t="b">
        <v>0</v>
      </c>
    </row>
    <row r="1418" spans="1:9" x14ac:dyDescent="0.2">
      <c r="A1418" t="s">
        <v>1301</v>
      </c>
      <c r="B1418" t="s">
        <v>2261</v>
      </c>
      <c r="D1418" t="b">
        <f>IFERROR(VLOOKUP(B1418,PatData!$A$2:$A$2030,1,),"")&lt;&gt;""</f>
        <v>1</v>
      </c>
      <c r="E1418" t="b">
        <v>0</v>
      </c>
      <c r="F1418" t="b">
        <v>0</v>
      </c>
      <c r="G1418" t="b">
        <v>1</v>
      </c>
      <c r="H1418" t="b">
        <v>1</v>
      </c>
      <c r="I1418" t="b">
        <v>0</v>
      </c>
    </row>
    <row r="1419" spans="1:9" x14ac:dyDescent="0.2">
      <c r="A1419" t="s">
        <v>1302</v>
      </c>
      <c r="B1419" t="s">
        <v>2262</v>
      </c>
      <c r="D1419" t="b">
        <f>IFERROR(VLOOKUP(B1419,PatData!$A$2:$A$2030,1,),"")&lt;&gt;""</f>
        <v>1</v>
      </c>
      <c r="E1419" t="b">
        <v>0</v>
      </c>
      <c r="F1419" t="b">
        <v>0</v>
      </c>
      <c r="G1419" t="b">
        <v>1</v>
      </c>
      <c r="H1419" t="b">
        <v>1</v>
      </c>
      <c r="I1419" t="b">
        <v>0</v>
      </c>
    </row>
    <row r="1420" spans="1:9" x14ac:dyDescent="0.2">
      <c r="A1420" t="s">
        <v>1303</v>
      </c>
      <c r="B1420" t="s">
        <v>2263</v>
      </c>
      <c r="D1420" t="b">
        <f>IFERROR(VLOOKUP(B1420,PatData!$A$2:$A$2030,1,),"")&lt;&gt;""</f>
        <v>1</v>
      </c>
      <c r="E1420" t="b">
        <v>0</v>
      </c>
      <c r="F1420" t="b">
        <v>0</v>
      </c>
      <c r="G1420" t="b">
        <v>1</v>
      </c>
      <c r="H1420" t="b">
        <v>1</v>
      </c>
      <c r="I1420" t="b">
        <v>0</v>
      </c>
    </row>
    <row r="1421" spans="1:9" x14ac:dyDescent="0.2">
      <c r="A1421" t="s">
        <v>1304</v>
      </c>
      <c r="B1421" t="s">
        <v>2264</v>
      </c>
      <c r="D1421" t="b">
        <f>IFERROR(VLOOKUP(B1421,PatData!$A$2:$A$2030,1,),"")&lt;&gt;""</f>
        <v>1</v>
      </c>
      <c r="E1421" t="b">
        <v>0</v>
      </c>
      <c r="F1421" t="b">
        <v>0</v>
      </c>
      <c r="G1421" t="b">
        <v>1</v>
      </c>
      <c r="H1421" t="b">
        <v>1</v>
      </c>
      <c r="I1421" t="b">
        <v>0</v>
      </c>
    </row>
    <row r="1422" spans="1:9" x14ac:dyDescent="0.2">
      <c r="A1422" t="s">
        <v>1305</v>
      </c>
      <c r="B1422" t="s">
        <v>2265</v>
      </c>
      <c r="D1422" t="b">
        <f>IFERROR(VLOOKUP(B1422,PatData!$A$2:$A$2030,1,),"")&lt;&gt;""</f>
        <v>1</v>
      </c>
      <c r="E1422" t="b">
        <v>0</v>
      </c>
      <c r="F1422" t="b">
        <v>0</v>
      </c>
      <c r="G1422" t="b">
        <v>1</v>
      </c>
      <c r="H1422" t="b">
        <v>1</v>
      </c>
      <c r="I1422" t="b">
        <v>0</v>
      </c>
    </row>
    <row r="1423" spans="1:9" x14ac:dyDescent="0.2">
      <c r="A1423" t="s">
        <v>1306</v>
      </c>
      <c r="B1423" t="s">
        <v>2266</v>
      </c>
      <c r="D1423" t="b">
        <f>IFERROR(VLOOKUP(B1423,PatData!$A$2:$A$2030,1,),"")&lt;&gt;""</f>
        <v>1</v>
      </c>
      <c r="E1423" t="b">
        <v>0</v>
      </c>
      <c r="F1423" t="b">
        <v>0</v>
      </c>
      <c r="G1423" t="b">
        <v>1</v>
      </c>
      <c r="H1423" t="b">
        <v>1</v>
      </c>
      <c r="I1423" t="b">
        <v>0</v>
      </c>
    </row>
    <row r="1424" spans="1:9" x14ac:dyDescent="0.2">
      <c r="A1424" t="s">
        <v>1307</v>
      </c>
      <c r="B1424" t="s">
        <v>2267</v>
      </c>
      <c r="D1424" t="b">
        <f>IFERROR(VLOOKUP(B1424,PatData!$A$2:$A$2030,1,),"")&lt;&gt;""</f>
        <v>1</v>
      </c>
      <c r="E1424" t="b">
        <v>0</v>
      </c>
      <c r="F1424" t="b">
        <v>0</v>
      </c>
      <c r="G1424" t="b">
        <v>1</v>
      </c>
      <c r="H1424" t="b">
        <v>1</v>
      </c>
      <c r="I1424" t="b">
        <v>0</v>
      </c>
    </row>
    <row r="1425" spans="1:9" x14ac:dyDescent="0.2">
      <c r="A1425" t="s">
        <v>1308</v>
      </c>
      <c r="B1425" t="s">
        <v>2268</v>
      </c>
      <c r="D1425" t="b">
        <f>IFERROR(VLOOKUP(B1425,PatData!$A$2:$A$2030,1,),"")&lt;&gt;""</f>
        <v>1</v>
      </c>
      <c r="E1425" t="b">
        <v>0</v>
      </c>
      <c r="F1425" t="b">
        <v>0</v>
      </c>
      <c r="G1425" t="b">
        <v>1</v>
      </c>
      <c r="H1425" t="b">
        <v>1</v>
      </c>
      <c r="I1425" t="b">
        <v>0</v>
      </c>
    </row>
    <row r="1426" spans="1:9" x14ac:dyDescent="0.2">
      <c r="A1426" t="s">
        <v>1310</v>
      </c>
      <c r="B1426" t="s">
        <v>2269</v>
      </c>
      <c r="D1426" t="b">
        <f>IFERROR(VLOOKUP(B1426,PatData!$A$2:$A$2030,1,),"")&lt;&gt;""</f>
        <v>1</v>
      </c>
      <c r="E1426" t="b">
        <v>0</v>
      </c>
      <c r="F1426" t="b">
        <v>0</v>
      </c>
      <c r="G1426" t="b">
        <v>1</v>
      </c>
      <c r="H1426" t="b">
        <v>1</v>
      </c>
      <c r="I1426" t="b">
        <v>0</v>
      </c>
    </row>
    <row r="1427" spans="1:9" x14ac:dyDescent="0.2">
      <c r="A1427" t="s">
        <v>1311</v>
      </c>
      <c r="B1427" t="s">
        <v>2270</v>
      </c>
      <c r="D1427" t="b">
        <f>IFERROR(VLOOKUP(B1427,PatData!$A$2:$A$2030,1,),"")&lt;&gt;""</f>
        <v>1</v>
      </c>
      <c r="E1427" t="b">
        <v>0</v>
      </c>
      <c r="F1427" t="b">
        <v>0</v>
      </c>
      <c r="G1427" t="b">
        <v>1</v>
      </c>
      <c r="H1427" t="b">
        <v>1</v>
      </c>
      <c r="I1427" t="b">
        <v>0</v>
      </c>
    </row>
    <row r="1428" spans="1:9" x14ac:dyDescent="0.2">
      <c r="A1428" t="s">
        <v>1318</v>
      </c>
      <c r="B1428" t="s">
        <v>2271</v>
      </c>
      <c r="D1428" t="b">
        <f>IFERROR(VLOOKUP(B1428,PatData!$A$2:$A$2030,1,),"")&lt;&gt;""</f>
        <v>1</v>
      </c>
      <c r="E1428" t="b">
        <v>0</v>
      </c>
      <c r="F1428" t="b">
        <v>0</v>
      </c>
      <c r="G1428" t="b">
        <v>1</v>
      </c>
      <c r="H1428" t="b">
        <v>1</v>
      </c>
      <c r="I1428" t="b">
        <v>0</v>
      </c>
    </row>
    <row r="1429" spans="1:9" x14ac:dyDescent="0.2">
      <c r="A1429" t="s">
        <v>1329</v>
      </c>
      <c r="B1429" t="s">
        <v>2272</v>
      </c>
      <c r="D1429" t="b">
        <f>IFERROR(VLOOKUP(B1429,PatData!$A$2:$A$2030,1,),"")&lt;&gt;""</f>
        <v>1</v>
      </c>
      <c r="E1429" t="b">
        <v>0</v>
      </c>
      <c r="F1429" t="b">
        <v>0</v>
      </c>
      <c r="G1429" t="b">
        <v>1</v>
      </c>
      <c r="H1429" t="b">
        <v>1</v>
      </c>
      <c r="I1429" t="b">
        <v>0</v>
      </c>
    </row>
    <row r="1430" spans="1:9" x14ac:dyDescent="0.2">
      <c r="A1430" t="s">
        <v>1340</v>
      </c>
      <c r="B1430" t="s">
        <v>2273</v>
      </c>
      <c r="D1430" t="b">
        <f>IFERROR(VLOOKUP(B1430,PatData!$A$2:$A$2030,1,),"")&lt;&gt;""</f>
        <v>1</v>
      </c>
      <c r="E1430" t="b">
        <v>0</v>
      </c>
      <c r="F1430" t="b">
        <v>0</v>
      </c>
      <c r="G1430" t="b">
        <v>1</v>
      </c>
      <c r="H1430" t="b">
        <v>1</v>
      </c>
      <c r="I1430" t="b">
        <v>0</v>
      </c>
    </row>
    <row r="1431" spans="1:9" x14ac:dyDescent="0.2">
      <c r="A1431" t="s">
        <v>1343</v>
      </c>
      <c r="B1431" t="s">
        <v>2274</v>
      </c>
      <c r="D1431" t="b">
        <f>IFERROR(VLOOKUP(B1431,PatData!$A$2:$A$2030,1,),"")&lt;&gt;""</f>
        <v>1</v>
      </c>
      <c r="E1431" t="b">
        <v>0</v>
      </c>
      <c r="F1431" t="b">
        <v>0</v>
      </c>
      <c r="G1431" t="b">
        <v>1</v>
      </c>
      <c r="H1431" t="b">
        <v>1</v>
      </c>
      <c r="I1431" t="b">
        <v>0</v>
      </c>
    </row>
    <row r="1432" spans="1:9" x14ac:dyDescent="0.2">
      <c r="A1432" t="s">
        <v>1344</v>
      </c>
      <c r="B1432" t="s">
        <v>2275</v>
      </c>
      <c r="D1432" t="b">
        <f>IFERROR(VLOOKUP(B1432,PatData!$A$2:$A$2030,1,),"")&lt;&gt;""</f>
        <v>1</v>
      </c>
      <c r="E1432" t="b">
        <v>0</v>
      </c>
      <c r="F1432" t="b">
        <v>0</v>
      </c>
      <c r="G1432" t="b">
        <v>1</v>
      </c>
      <c r="H1432" t="b">
        <v>1</v>
      </c>
      <c r="I1432" t="b">
        <v>0</v>
      </c>
    </row>
    <row r="1433" spans="1:9" x14ac:dyDescent="0.2">
      <c r="A1433" t="s">
        <v>1345</v>
      </c>
      <c r="B1433" t="s">
        <v>2276</v>
      </c>
      <c r="D1433" t="b">
        <f>IFERROR(VLOOKUP(B1433,PatData!$A$2:$A$2030,1,),"")&lt;&gt;""</f>
        <v>1</v>
      </c>
      <c r="E1433" t="b">
        <v>0</v>
      </c>
      <c r="F1433" t="b">
        <v>0</v>
      </c>
      <c r="G1433" t="b">
        <v>1</v>
      </c>
      <c r="H1433" t="b">
        <v>1</v>
      </c>
      <c r="I1433" t="b">
        <v>0</v>
      </c>
    </row>
    <row r="1434" spans="1:9" x14ac:dyDescent="0.2">
      <c r="A1434" t="s">
        <v>1346</v>
      </c>
      <c r="B1434" t="s">
        <v>2277</v>
      </c>
      <c r="D1434" t="b">
        <f>IFERROR(VLOOKUP(B1434,PatData!$A$2:$A$2030,1,),"")&lt;&gt;""</f>
        <v>1</v>
      </c>
      <c r="E1434" t="b">
        <v>0</v>
      </c>
      <c r="F1434" t="b">
        <v>0</v>
      </c>
      <c r="G1434" t="b">
        <v>1</v>
      </c>
      <c r="H1434" t="b">
        <v>1</v>
      </c>
      <c r="I1434" t="b">
        <v>0</v>
      </c>
    </row>
    <row r="1435" spans="1:9" x14ac:dyDescent="0.2">
      <c r="A1435" t="s">
        <v>1347</v>
      </c>
      <c r="B1435" t="s">
        <v>2278</v>
      </c>
      <c r="D1435" t="b">
        <f>IFERROR(VLOOKUP(B1435,PatData!$A$2:$A$2030,1,),"")&lt;&gt;""</f>
        <v>1</v>
      </c>
      <c r="E1435" t="b">
        <v>0</v>
      </c>
      <c r="F1435" t="b">
        <v>0</v>
      </c>
      <c r="G1435" t="b">
        <v>1</v>
      </c>
      <c r="H1435" t="b">
        <v>1</v>
      </c>
      <c r="I1435" t="b">
        <v>0</v>
      </c>
    </row>
    <row r="1436" spans="1:9" x14ac:dyDescent="0.2">
      <c r="A1436" t="s">
        <v>1348</v>
      </c>
      <c r="B1436" t="s">
        <v>2279</v>
      </c>
      <c r="D1436" t="b">
        <f>IFERROR(VLOOKUP(B1436,PatData!$A$2:$A$2030,1,),"")&lt;&gt;""</f>
        <v>1</v>
      </c>
      <c r="E1436" t="b">
        <v>0</v>
      </c>
      <c r="F1436" t="b">
        <v>0</v>
      </c>
      <c r="G1436" t="b">
        <v>1</v>
      </c>
      <c r="H1436" t="b">
        <v>1</v>
      </c>
      <c r="I1436" t="b">
        <v>0</v>
      </c>
    </row>
    <row r="1437" spans="1:9" x14ac:dyDescent="0.2">
      <c r="A1437" t="s">
        <v>1319</v>
      </c>
      <c r="B1437" t="s">
        <v>2280</v>
      </c>
      <c r="D1437" t="b">
        <f>IFERROR(VLOOKUP(B1437,PatData!$A$2:$A$2030,1,),"")&lt;&gt;""</f>
        <v>1</v>
      </c>
      <c r="E1437" t="b">
        <v>0</v>
      </c>
      <c r="F1437" t="b">
        <v>0</v>
      </c>
      <c r="G1437" t="b">
        <v>1</v>
      </c>
      <c r="H1437" t="b">
        <v>1</v>
      </c>
      <c r="I1437" t="b">
        <v>0</v>
      </c>
    </row>
    <row r="1438" spans="1:9" x14ac:dyDescent="0.2">
      <c r="A1438" t="s">
        <v>1320</v>
      </c>
      <c r="B1438" t="s">
        <v>2281</v>
      </c>
      <c r="D1438" t="b">
        <f>IFERROR(VLOOKUP(B1438,PatData!$A$2:$A$2030,1,),"")&lt;&gt;""</f>
        <v>1</v>
      </c>
      <c r="E1438" t="b">
        <v>0</v>
      </c>
      <c r="F1438" t="b">
        <v>0</v>
      </c>
      <c r="G1438" t="b">
        <v>1</v>
      </c>
      <c r="H1438" t="b">
        <v>1</v>
      </c>
      <c r="I1438" t="b">
        <v>0</v>
      </c>
    </row>
    <row r="1439" spans="1:9" x14ac:dyDescent="0.2">
      <c r="A1439" t="s">
        <v>1321</v>
      </c>
      <c r="B1439" t="s">
        <v>2282</v>
      </c>
      <c r="D1439" t="b">
        <f>IFERROR(VLOOKUP(B1439,PatData!$A$2:$A$2030,1,),"")&lt;&gt;""</f>
        <v>1</v>
      </c>
      <c r="E1439" t="b">
        <v>0</v>
      </c>
      <c r="F1439" t="b">
        <v>0</v>
      </c>
      <c r="G1439" t="b">
        <v>1</v>
      </c>
      <c r="H1439" t="b">
        <v>1</v>
      </c>
      <c r="I1439" t="b">
        <v>0</v>
      </c>
    </row>
    <row r="1440" spans="1:9" x14ac:dyDescent="0.2">
      <c r="A1440" t="s">
        <v>1322</v>
      </c>
      <c r="B1440" t="s">
        <v>2283</v>
      </c>
      <c r="D1440" t="b">
        <f>IFERROR(VLOOKUP(B1440,PatData!$A$2:$A$2030,1,),"")&lt;&gt;""</f>
        <v>1</v>
      </c>
      <c r="E1440" t="b">
        <v>0</v>
      </c>
      <c r="F1440" t="b">
        <v>0</v>
      </c>
      <c r="G1440" t="b">
        <v>1</v>
      </c>
      <c r="H1440" t="b">
        <v>1</v>
      </c>
      <c r="I1440" t="b">
        <v>0</v>
      </c>
    </row>
    <row r="1441" spans="1:9" x14ac:dyDescent="0.2">
      <c r="A1441" t="s">
        <v>1323</v>
      </c>
      <c r="B1441" t="s">
        <v>2284</v>
      </c>
      <c r="D1441" t="b">
        <f>IFERROR(VLOOKUP(B1441,PatData!$A$2:$A$2030,1,),"")&lt;&gt;""</f>
        <v>1</v>
      </c>
      <c r="E1441" t="b">
        <v>0</v>
      </c>
      <c r="F1441" t="b">
        <v>0</v>
      </c>
      <c r="G1441" t="b">
        <v>1</v>
      </c>
      <c r="H1441" t="b">
        <v>1</v>
      </c>
      <c r="I1441" t="b">
        <v>0</v>
      </c>
    </row>
    <row r="1442" spans="1:9" x14ac:dyDescent="0.2">
      <c r="A1442" t="s">
        <v>1324</v>
      </c>
      <c r="B1442" t="s">
        <v>2285</v>
      </c>
      <c r="D1442" t="b">
        <f>IFERROR(VLOOKUP(B1442,PatData!$A$2:$A$2030,1,),"")&lt;&gt;""</f>
        <v>1</v>
      </c>
      <c r="E1442" t="b">
        <v>0</v>
      </c>
      <c r="F1442" t="b">
        <v>0</v>
      </c>
      <c r="G1442" t="b">
        <v>1</v>
      </c>
      <c r="H1442" t="b">
        <v>1</v>
      </c>
      <c r="I1442" t="b">
        <v>0</v>
      </c>
    </row>
    <row r="1443" spans="1:9" x14ac:dyDescent="0.2">
      <c r="A1443" t="s">
        <v>1325</v>
      </c>
      <c r="B1443" t="s">
        <v>2286</v>
      </c>
      <c r="D1443" t="b">
        <f>IFERROR(VLOOKUP(B1443,PatData!$A$2:$A$2030,1,),"")&lt;&gt;""</f>
        <v>1</v>
      </c>
      <c r="E1443" t="b">
        <v>0</v>
      </c>
      <c r="F1443" t="b">
        <v>0</v>
      </c>
      <c r="G1443" t="b">
        <v>1</v>
      </c>
      <c r="H1443" t="b">
        <v>1</v>
      </c>
      <c r="I1443" t="b">
        <v>0</v>
      </c>
    </row>
    <row r="1444" spans="1:9" x14ac:dyDescent="0.2">
      <c r="A1444" t="s">
        <v>1326</v>
      </c>
      <c r="B1444" t="s">
        <v>2287</v>
      </c>
      <c r="D1444" t="b">
        <f>IFERROR(VLOOKUP(B1444,PatData!$A$2:$A$2030,1,),"")&lt;&gt;""</f>
        <v>1</v>
      </c>
      <c r="E1444" t="b">
        <v>0</v>
      </c>
      <c r="F1444" t="b">
        <v>0</v>
      </c>
      <c r="G1444" t="b">
        <v>1</v>
      </c>
      <c r="H1444" t="b">
        <v>1</v>
      </c>
      <c r="I1444" t="b">
        <v>0</v>
      </c>
    </row>
    <row r="1445" spans="1:9" x14ac:dyDescent="0.2">
      <c r="A1445" t="s">
        <v>1327</v>
      </c>
      <c r="B1445" t="s">
        <v>2288</v>
      </c>
      <c r="D1445" t="b">
        <f>IFERROR(VLOOKUP(B1445,PatData!$A$2:$A$2030,1,),"")&lt;&gt;""</f>
        <v>1</v>
      </c>
      <c r="E1445" t="b">
        <v>0</v>
      </c>
      <c r="F1445" t="b">
        <v>0</v>
      </c>
      <c r="G1445" t="b">
        <v>1</v>
      </c>
      <c r="H1445" t="b">
        <v>1</v>
      </c>
      <c r="I1445" t="b">
        <v>0</v>
      </c>
    </row>
    <row r="1446" spans="1:9" x14ac:dyDescent="0.2">
      <c r="A1446" t="s">
        <v>1328</v>
      </c>
      <c r="B1446" t="s">
        <v>2289</v>
      </c>
      <c r="D1446" t="b">
        <f>IFERROR(VLOOKUP(B1446,PatData!$A$2:$A$2030,1,),"")&lt;&gt;""</f>
        <v>1</v>
      </c>
      <c r="E1446" t="b">
        <v>0</v>
      </c>
      <c r="F1446" t="b">
        <v>0</v>
      </c>
      <c r="G1446" t="b">
        <v>1</v>
      </c>
      <c r="H1446" t="b">
        <v>1</v>
      </c>
      <c r="I1446" t="b">
        <v>0</v>
      </c>
    </row>
    <row r="1447" spans="1:9" x14ac:dyDescent="0.2">
      <c r="A1447" t="s">
        <v>1330</v>
      </c>
      <c r="B1447" t="s">
        <v>2290</v>
      </c>
      <c r="D1447" t="b">
        <f>IFERROR(VLOOKUP(B1447,PatData!$A$2:$A$2030,1,),"")&lt;&gt;""</f>
        <v>1</v>
      </c>
      <c r="E1447" t="b">
        <v>0</v>
      </c>
      <c r="F1447" t="b">
        <v>0</v>
      </c>
      <c r="G1447" t="b">
        <v>1</v>
      </c>
      <c r="H1447" t="b">
        <v>1</v>
      </c>
      <c r="I1447" t="b">
        <v>0</v>
      </c>
    </row>
    <row r="1448" spans="1:9" x14ac:dyDescent="0.2">
      <c r="A1448" t="s">
        <v>1331</v>
      </c>
      <c r="B1448" t="s">
        <v>2291</v>
      </c>
      <c r="D1448" t="b">
        <f>IFERROR(VLOOKUP(B1448,PatData!$A$2:$A$2030,1,),"")&lt;&gt;""</f>
        <v>1</v>
      </c>
      <c r="E1448" t="b">
        <v>0</v>
      </c>
      <c r="F1448" t="b">
        <v>0</v>
      </c>
      <c r="G1448" t="b">
        <v>1</v>
      </c>
      <c r="H1448" t="b">
        <v>1</v>
      </c>
      <c r="I1448" t="b">
        <v>0</v>
      </c>
    </row>
    <row r="1449" spans="1:9" x14ac:dyDescent="0.2">
      <c r="A1449" t="s">
        <v>1332</v>
      </c>
      <c r="B1449" t="s">
        <v>2292</v>
      </c>
      <c r="D1449" t="b">
        <f>IFERROR(VLOOKUP(B1449,PatData!$A$2:$A$2030,1,),"")&lt;&gt;""</f>
        <v>1</v>
      </c>
      <c r="E1449" t="b">
        <v>0</v>
      </c>
      <c r="F1449" t="b">
        <v>0</v>
      </c>
      <c r="G1449" t="b">
        <v>1</v>
      </c>
      <c r="H1449" t="b">
        <v>1</v>
      </c>
      <c r="I1449" t="b">
        <v>0</v>
      </c>
    </row>
    <row r="1450" spans="1:9" x14ac:dyDescent="0.2">
      <c r="A1450" t="s">
        <v>1333</v>
      </c>
      <c r="B1450" t="s">
        <v>2293</v>
      </c>
      <c r="D1450" t="b">
        <f>IFERROR(VLOOKUP(B1450,PatData!$A$2:$A$2030,1,),"")&lt;&gt;""</f>
        <v>1</v>
      </c>
      <c r="E1450" t="b">
        <v>0</v>
      </c>
      <c r="F1450" t="b">
        <v>0</v>
      </c>
      <c r="G1450" t="b">
        <v>1</v>
      </c>
      <c r="H1450" t="b">
        <v>1</v>
      </c>
      <c r="I1450" t="b">
        <v>0</v>
      </c>
    </row>
    <row r="1451" spans="1:9" x14ac:dyDescent="0.2">
      <c r="A1451" t="s">
        <v>1334</v>
      </c>
      <c r="B1451" t="s">
        <v>2294</v>
      </c>
      <c r="D1451" t="b">
        <f>IFERROR(VLOOKUP(B1451,PatData!$A$2:$A$2030,1,),"")&lt;&gt;""</f>
        <v>1</v>
      </c>
      <c r="E1451" t="b">
        <v>0</v>
      </c>
      <c r="F1451" t="b">
        <v>0</v>
      </c>
      <c r="G1451" t="b">
        <v>1</v>
      </c>
      <c r="H1451" t="b">
        <v>1</v>
      </c>
      <c r="I1451" t="b">
        <v>0</v>
      </c>
    </row>
    <row r="1452" spans="1:9" x14ac:dyDescent="0.2">
      <c r="A1452" t="s">
        <v>1335</v>
      </c>
      <c r="B1452" t="s">
        <v>2295</v>
      </c>
      <c r="D1452" t="b">
        <f>IFERROR(VLOOKUP(B1452,PatData!$A$2:$A$2030,1,),"")&lt;&gt;""</f>
        <v>1</v>
      </c>
      <c r="E1452" t="b">
        <v>0</v>
      </c>
      <c r="F1452" t="b">
        <v>0</v>
      </c>
      <c r="G1452" t="b">
        <v>1</v>
      </c>
      <c r="H1452" t="b">
        <v>1</v>
      </c>
      <c r="I1452" t="b">
        <v>0</v>
      </c>
    </row>
    <row r="1453" spans="1:9" x14ac:dyDescent="0.2">
      <c r="A1453" t="s">
        <v>1336</v>
      </c>
      <c r="B1453" t="s">
        <v>2296</v>
      </c>
      <c r="D1453" t="b">
        <f>IFERROR(VLOOKUP(B1453,PatData!$A$2:$A$2030,1,),"")&lt;&gt;""</f>
        <v>1</v>
      </c>
      <c r="E1453" t="b">
        <v>0</v>
      </c>
      <c r="F1453" t="b">
        <v>0</v>
      </c>
      <c r="G1453" t="b">
        <v>1</v>
      </c>
      <c r="H1453" t="b">
        <v>1</v>
      </c>
      <c r="I1453" t="b">
        <v>0</v>
      </c>
    </row>
    <row r="1454" spans="1:9" x14ac:dyDescent="0.2">
      <c r="A1454" t="s">
        <v>1337</v>
      </c>
      <c r="B1454" t="s">
        <v>2297</v>
      </c>
      <c r="D1454" t="b">
        <f>IFERROR(VLOOKUP(B1454,PatData!$A$2:$A$2030,1,),"")&lt;&gt;""</f>
        <v>1</v>
      </c>
      <c r="E1454" t="b">
        <v>0</v>
      </c>
      <c r="F1454" t="b">
        <v>0</v>
      </c>
      <c r="G1454" t="b">
        <v>1</v>
      </c>
      <c r="H1454" t="b">
        <v>1</v>
      </c>
      <c r="I1454" t="b">
        <v>0</v>
      </c>
    </row>
    <row r="1455" spans="1:9" x14ac:dyDescent="0.2">
      <c r="A1455" t="s">
        <v>1338</v>
      </c>
      <c r="B1455" t="s">
        <v>2298</v>
      </c>
      <c r="D1455" t="b">
        <f>IFERROR(VLOOKUP(B1455,PatData!$A$2:$A$2030,1,),"")&lt;&gt;""</f>
        <v>1</v>
      </c>
      <c r="E1455" t="b">
        <v>0</v>
      </c>
      <c r="F1455" t="b">
        <v>0</v>
      </c>
      <c r="G1455" t="b">
        <v>1</v>
      </c>
      <c r="H1455" t="b">
        <v>1</v>
      </c>
      <c r="I1455" t="b">
        <v>0</v>
      </c>
    </row>
    <row r="1456" spans="1:9" x14ac:dyDescent="0.2">
      <c r="A1456" t="s">
        <v>1339</v>
      </c>
      <c r="B1456" t="s">
        <v>2299</v>
      </c>
      <c r="D1456" t="b">
        <f>IFERROR(VLOOKUP(B1456,PatData!$A$2:$A$2030,1,),"")&lt;&gt;""</f>
        <v>1</v>
      </c>
      <c r="E1456" t="b">
        <v>0</v>
      </c>
      <c r="F1456" t="b">
        <v>0</v>
      </c>
      <c r="G1456" t="b">
        <v>1</v>
      </c>
      <c r="H1456" t="b">
        <v>1</v>
      </c>
      <c r="I1456" t="b">
        <v>0</v>
      </c>
    </row>
    <row r="1457" spans="1:9" x14ac:dyDescent="0.2">
      <c r="A1457" t="s">
        <v>1341</v>
      </c>
      <c r="B1457" t="s">
        <v>2300</v>
      </c>
      <c r="D1457" t="b">
        <f>IFERROR(VLOOKUP(B1457,PatData!$A$2:$A$2030,1,),"")&lt;&gt;""</f>
        <v>1</v>
      </c>
      <c r="E1457" t="b">
        <v>0</v>
      </c>
      <c r="F1457" t="b">
        <v>0</v>
      </c>
      <c r="G1457" t="b">
        <v>1</v>
      </c>
      <c r="H1457" t="b">
        <v>1</v>
      </c>
      <c r="I1457" t="b">
        <v>0</v>
      </c>
    </row>
    <row r="1458" spans="1:9" x14ac:dyDescent="0.2">
      <c r="A1458" t="s">
        <v>1342</v>
      </c>
      <c r="B1458" t="s">
        <v>2301</v>
      </c>
      <c r="D1458" t="b">
        <f>IFERROR(VLOOKUP(B1458,PatData!$A$2:$A$2030,1,),"")&lt;&gt;""</f>
        <v>1</v>
      </c>
      <c r="E1458" t="b">
        <v>0</v>
      </c>
      <c r="F1458" t="b">
        <v>0</v>
      </c>
      <c r="G1458" t="b">
        <v>1</v>
      </c>
      <c r="H1458" t="b">
        <v>1</v>
      </c>
      <c r="I1458" t="b">
        <v>0</v>
      </c>
    </row>
    <row r="1459" spans="1:9" x14ac:dyDescent="0.2">
      <c r="A1459" t="s">
        <v>1349</v>
      </c>
      <c r="B1459" t="s">
        <v>2302</v>
      </c>
      <c r="D1459" t="b">
        <f>IFERROR(VLOOKUP(B1459,PatData!$A$2:$A$2030,1,),"")&lt;&gt;""</f>
        <v>1</v>
      </c>
      <c r="E1459" t="b">
        <v>0</v>
      </c>
      <c r="F1459" t="b">
        <v>0</v>
      </c>
      <c r="G1459" t="b">
        <v>1</v>
      </c>
      <c r="H1459" t="b">
        <v>1</v>
      </c>
      <c r="I1459" t="b">
        <v>0</v>
      </c>
    </row>
    <row r="1460" spans="1:9" x14ac:dyDescent="0.2">
      <c r="A1460" t="s">
        <v>1360</v>
      </c>
      <c r="B1460" t="s">
        <v>2303</v>
      </c>
      <c r="D1460" t="b">
        <f>IFERROR(VLOOKUP(B1460,PatData!$A$2:$A$2030,1,),"")&lt;&gt;""</f>
        <v>1</v>
      </c>
      <c r="E1460" t="b">
        <v>0</v>
      </c>
      <c r="F1460" t="b">
        <v>0</v>
      </c>
      <c r="G1460" t="b">
        <v>1</v>
      </c>
      <c r="H1460" t="b">
        <v>1</v>
      </c>
      <c r="I1460" t="b">
        <v>0</v>
      </c>
    </row>
    <row r="1461" spans="1:9" x14ac:dyDescent="0.2">
      <c r="A1461" t="s">
        <v>1371</v>
      </c>
      <c r="B1461" t="s">
        <v>2304</v>
      </c>
      <c r="D1461" t="b">
        <f>IFERROR(VLOOKUP(B1461,PatData!$A$2:$A$2030,1,),"")&lt;&gt;""</f>
        <v>1</v>
      </c>
      <c r="E1461" t="b">
        <v>0</v>
      </c>
      <c r="F1461" t="b">
        <v>0</v>
      </c>
      <c r="G1461" t="b">
        <v>1</v>
      </c>
      <c r="H1461" t="b">
        <v>1</v>
      </c>
      <c r="I1461" t="b">
        <v>0</v>
      </c>
    </row>
    <row r="1462" spans="1:9" x14ac:dyDescent="0.2">
      <c r="A1462" t="s">
        <v>1374</v>
      </c>
      <c r="B1462" t="s">
        <v>2305</v>
      </c>
      <c r="D1462" t="b">
        <f>IFERROR(VLOOKUP(B1462,PatData!$A$2:$A$2030,1,),"")&lt;&gt;""</f>
        <v>1</v>
      </c>
      <c r="E1462" t="b">
        <v>0</v>
      </c>
      <c r="F1462" t="b">
        <v>0</v>
      </c>
      <c r="G1462" t="b">
        <v>1</v>
      </c>
      <c r="H1462" t="b">
        <v>1</v>
      </c>
      <c r="I1462" t="b">
        <v>0</v>
      </c>
    </row>
    <row r="1463" spans="1:9" x14ac:dyDescent="0.2">
      <c r="A1463" t="s">
        <v>1375</v>
      </c>
      <c r="B1463" t="s">
        <v>2306</v>
      </c>
      <c r="D1463" t="b">
        <f>IFERROR(VLOOKUP(B1463,PatData!$A$2:$A$2030,1,),"")&lt;&gt;""</f>
        <v>1</v>
      </c>
      <c r="E1463" t="b">
        <v>0</v>
      </c>
      <c r="F1463" t="b">
        <v>0</v>
      </c>
      <c r="G1463" t="b">
        <v>1</v>
      </c>
      <c r="H1463" t="b">
        <v>1</v>
      </c>
      <c r="I1463" t="b">
        <v>0</v>
      </c>
    </row>
    <row r="1464" spans="1:9" x14ac:dyDescent="0.2">
      <c r="A1464" t="s">
        <v>1376</v>
      </c>
      <c r="B1464" t="s">
        <v>2307</v>
      </c>
      <c r="D1464" t="b">
        <f>IFERROR(VLOOKUP(B1464,PatData!$A$2:$A$2030,1,),"")&lt;&gt;""</f>
        <v>1</v>
      </c>
      <c r="E1464" t="b">
        <v>0</v>
      </c>
      <c r="F1464" t="b">
        <v>0</v>
      </c>
      <c r="G1464" t="b">
        <v>1</v>
      </c>
      <c r="H1464" t="b">
        <v>1</v>
      </c>
      <c r="I1464" t="b">
        <v>0</v>
      </c>
    </row>
    <row r="1465" spans="1:9" x14ac:dyDescent="0.2">
      <c r="A1465" t="s">
        <v>1377</v>
      </c>
      <c r="B1465" t="s">
        <v>2308</v>
      </c>
      <c r="D1465" t="b">
        <f>IFERROR(VLOOKUP(B1465,PatData!$A$2:$A$2030,1,),"")&lt;&gt;""</f>
        <v>1</v>
      </c>
      <c r="E1465" t="b">
        <v>0</v>
      </c>
      <c r="F1465" t="b">
        <v>0</v>
      </c>
      <c r="G1465" t="b">
        <v>1</v>
      </c>
      <c r="H1465" t="b">
        <v>1</v>
      </c>
      <c r="I1465" t="b">
        <v>0</v>
      </c>
    </row>
    <row r="1466" spans="1:9" x14ac:dyDescent="0.2">
      <c r="A1466" t="s">
        <v>1378</v>
      </c>
      <c r="B1466" t="s">
        <v>2309</v>
      </c>
      <c r="D1466" t="b">
        <f>IFERROR(VLOOKUP(B1466,PatData!$A$2:$A$2030,1,),"")&lt;&gt;""</f>
        <v>1</v>
      </c>
      <c r="E1466" t="b">
        <v>0</v>
      </c>
      <c r="F1466" t="b">
        <v>0</v>
      </c>
      <c r="G1466" t="b">
        <v>1</v>
      </c>
      <c r="H1466" t="b">
        <v>1</v>
      </c>
      <c r="I1466" t="b">
        <v>0</v>
      </c>
    </row>
    <row r="1467" spans="1:9" x14ac:dyDescent="0.2">
      <c r="A1467" t="s">
        <v>1379</v>
      </c>
      <c r="B1467" t="s">
        <v>2310</v>
      </c>
      <c r="D1467" t="b">
        <f>IFERROR(VLOOKUP(B1467,PatData!$A$2:$A$2030,1,),"")&lt;&gt;""</f>
        <v>1</v>
      </c>
      <c r="E1467" t="b">
        <v>0</v>
      </c>
      <c r="F1467" t="b">
        <v>0</v>
      </c>
      <c r="G1467" t="b">
        <v>1</v>
      </c>
      <c r="H1467" t="b">
        <v>1</v>
      </c>
      <c r="I1467" t="b">
        <v>0</v>
      </c>
    </row>
    <row r="1468" spans="1:9" x14ac:dyDescent="0.2">
      <c r="A1468" t="s">
        <v>1350</v>
      </c>
      <c r="B1468" t="s">
        <v>2311</v>
      </c>
      <c r="D1468" t="b">
        <f>IFERROR(VLOOKUP(B1468,PatData!$A$2:$A$2030,1,),"")&lt;&gt;""</f>
        <v>1</v>
      </c>
      <c r="E1468" t="b">
        <v>0</v>
      </c>
      <c r="F1468" t="b">
        <v>0</v>
      </c>
      <c r="G1468" t="b">
        <v>1</v>
      </c>
      <c r="H1468" t="b">
        <v>1</v>
      </c>
      <c r="I1468" t="b">
        <v>0</v>
      </c>
    </row>
    <row r="1469" spans="1:9" x14ac:dyDescent="0.2">
      <c r="A1469" t="s">
        <v>1351</v>
      </c>
      <c r="B1469" t="s">
        <v>2312</v>
      </c>
      <c r="D1469" t="b">
        <f>IFERROR(VLOOKUP(B1469,PatData!$A$2:$A$2030,1,),"")&lt;&gt;""</f>
        <v>1</v>
      </c>
      <c r="E1469" t="b">
        <v>0</v>
      </c>
      <c r="F1469" t="b">
        <v>0</v>
      </c>
      <c r="G1469" t="b">
        <v>1</v>
      </c>
      <c r="H1469" t="b">
        <v>1</v>
      </c>
      <c r="I1469" t="b">
        <v>0</v>
      </c>
    </row>
    <row r="1470" spans="1:9" x14ac:dyDescent="0.2">
      <c r="A1470" t="s">
        <v>1352</v>
      </c>
      <c r="B1470" t="s">
        <v>2313</v>
      </c>
      <c r="D1470" t="b">
        <f>IFERROR(VLOOKUP(B1470,PatData!$A$2:$A$2030,1,),"")&lt;&gt;""</f>
        <v>1</v>
      </c>
      <c r="E1470" t="b">
        <v>0</v>
      </c>
      <c r="F1470" t="b">
        <v>0</v>
      </c>
      <c r="G1470" t="b">
        <v>1</v>
      </c>
      <c r="H1470" t="b">
        <v>1</v>
      </c>
      <c r="I1470" t="b">
        <v>0</v>
      </c>
    </row>
    <row r="1471" spans="1:9" x14ac:dyDescent="0.2">
      <c r="A1471" t="s">
        <v>1353</v>
      </c>
      <c r="B1471" t="s">
        <v>2314</v>
      </c>
      <c r="D1471" t="b">
        <f>IFERROR(VLOOKUP(B1471,PatData!$A$2:$A$2030,1,),"")&lt;&gt;""</f>
        <v>1</v>
      </c>
      <c r="E1471" t="b">
        <v>0</v>
      </c>
      <c r="F1471" t="b">
        <v>0</v>
      </c>
      <c r="G1471" t="b">
        <v>1</v>
      </c>
      <c r="H1471" t="b">
        <v>1</v>
      </c>
      <c r="I1471" t="b">
        <v>0</v>
      </c>
    </row>
    <row r="1472" spans="1:9" x14ac:dyDescent="0.2">
      <c r="A1472" t="s">
        <v>1354</v>
      </c>
      <c r="B1472" t="s">
        <v>2315</v>
      </c>
      <c r="D1472" t="b">
        <f>IFERROR(VLOOKUP(B1472,PatData!$A$2:$A$2030,1,),"")&lt;&gt;""</f>
        <v>1</v>
      </c>
      <c r="E1472" t="b">
        <v>0</v>
      </c>
      <c r="F1472" t="b">
        <v>0</v>
      </c>
      <c r="G1472" t="b">
        <v>1</v>
      </c>
      <c r="H1472" t="b">
        <v>1</v>
      </c>
      <c r="I1472" t="b">
        <v>0</v>
      </c>
    </row>
    <row r="1473" spans="1:9" x14ac:dyDescent="0.2">
      <c r="A1473" t="s">
        <v>1355</v>
      </c>
      <c r="B1473" t="s">
        <v>2316</v>
      </c>
      <c r="D1473" t="b">
        <f>IFERROR(VLOOKUP(B1473,PatData!$A$2:$A$2030,1,),"")&lt;&gt;""</f>
        <v>1</v>
      </c>
      <c r="E1473" t="b">
        <v>0</v>
      </c>
      <c r="F1473" t="b">
        <v>0</v>
      </c>
      <c r="G1473" t="b">
        <v>1</v>
      </c>
      <c r="H1473" t="b">
        <v>1</v>
      </c>
      <c r="I1473" t="b">
        <v>0</v>
      </c>
    </row>
    <row r="1474" spans="1:9" x14ac:dyDescent="0.2">
      <c r="A1474" t="s">
        <v>1356</v>
      </c>
      <c r="B1474" t="s">
        <v>2317</v>
      </c>
      <c r="D1474" t="b">
        <f>IFERROR(VLOOKUP(B1474,PatData!$A$2:$A$2030,1,),"")&lt;&gt;""</f>
        <v>1</v>
      </c>
      <c r="E1474" t="b">
        <v>0</v>
      </c>
      <c r="F1474" t="b">
        <v>0</v>
      </c>
      <c r="G1474" t="b">
        <v>1</v>
      </c>
      <c r="H1474" t="b">
        <v>1</v>
      </c>
      <c r="I1474" t="b">
        <v>0</v>
      </c>
    </row>
    <row r="1475" spans="1:9" x14ac:dyDescent="0.2">
      <c r="A1475" t="s">
        <v>1357</v>
      </c>
      <c r="B1475" t="s">
        <v>2318</v>
      </c>
      <c r="D1475" t="b">
        <f>IFERROR(VLOOKUP(B1475,PatData!$A$2:$A$2030,1,),"")&lt;&gt;""</f>
        <v>1</v>
      </c>
      <c r="E1475" t="b">
        <v>0</v>
      </c>
      <c r="F1475" t="b">
        <v>0</v>
      </c>
      <c r="G1475" t="b">
        <v>1</v>
      </c>
      <c r="H1475" t="b">
        <v>1</v>
      </c>
      <c r="I1475" t="b">
        <v>0</v>
      </c>
    </row>
    <row r="1476" spans="1:9" x14ac:dyDescent="0.2">
      <c r="A1476" t="s">
        <v>1358</v>
      </c>
      <c r="B1476" t="s">
        <v>2319</v>
      </c>
      <c r="D1476" t="b">
        <f>IFERROR(VLOOKUP(B1476,PatData!$A$2:$A$2030,1,),"")&lt;&gt;""</f>
        <v>1</v>
      </c>
      <c r="E1476" t="b">
        <v>0</v>
      </c>
      <c r="F1476" t="b">
        <v>0</v>
      </c>
      <c r="G1476" t="b">
        <v>1</v>
      </c>
      <c r="H1476" t="b">
        <v>1</v>
      </c>
      <c r="I1476" t="b">
        <v>0</v>
      </c>
    </row>
    <row r="1477" spans="1:9" x14ac:dyDescent="0.2">
      <c r="A1477" t="s">
        <v>1359</v>
      </c>
      <c r="B1477" t="s">
        <v>2320</v>
      </c>
      <c r="D1477" t="b">
        <f>IFERROR(VLOOKUP(B1477,PatData!$A$2:$A$2030,1,),"")&lt;&gt;""</f>
        <v>1</v>
      </c>
      <c r="E1477" t="b">
        <v>0</v>
      </c>
      <c r="F1477" t="b">
        <v>0</v>
      </c>
      <c r="G1477" t="b">
        <v>1</v>
      </c>
      <c r="H1477" t="b">
        <v>1</v>
      </c>
      <c r="I1477" t="b">
        <v>0</v>
      </c>
    </row>
    <row r="1478" spans="1:9" x14ac:dyDescent="0.2">
      <c r="A1478" t="s">
        <v>1361</v>
      </c>
      <c r="B1478" t="s">
        <v>2321</v>
      </c>
      <c r="D1478" t="b">
        <f>IFERROR(VLOOKUP(B1478,PatData!$A$2:$A$2030,1,),"")&lt;&gt;""</f>
        <v>1</v>
      </c>
      <c r="E1478" t="b">
        <v>0</v>
      </c>
      <c r="F1478" t="b">
        <v>0</v>
      </c>
      <c r="G1478" t="b">
        <v>1</v>
      </c>
      <c r="H1478" t="b">
        <v>1</v>
      </c>
      <c r="I1478" t="b">
        <v>0</v>
      </c>
    </row>
    <row r="1479" spans="1:9" x14ac:dyDescent="0.2">
      <c r="A1479" t="s">
        <v>1362</v>
      </c>
      <c r="B1479" t="s">
        <v>2322</v>
      </c>
      <c r="D1479" t="b">
        <f>IFERROR(VLOOKUP(B1479,PatData!$A$2:$A$2030,1,),"")&lt;&gt;""</f>
        <v>1</v>
      </c>
      <c r="E1479" t="b">
        <v>0</v>
      </c>
      <c r="F1479" t="b">
        <v>0</v>
      </c>
      <c r="G1479" t="b">
        <v>1</v>
      </c>
      <c r="H1479" t="b">
        <v>1</v>
      </c>
      <c r="I1479" t="b">
        <v>0</v>
      </c>
    </row>
    <row r="1480" spans="1:9" x14ac:dyDescent="0.2">
      <c r="A1480" t="s">
        <v>1363</v>
      </c>
      <c r="B1480" t="s">
        <v>2323</v>
      </c>
      <c r="D1480" t="b">
        <f>IFERROR(VLOOKUP(B1480,PatData!$A$2:$A$2030,1,),"")&lt;&gt;""</f>
        <v>1</v>
      </c>
      <c r="E1480" t="b">
        <v>0</v>
      </c>
      <c r="F1480" t="b">
        <v>0</v>
      </c>
      <c r="G1480" t="b">
        <v>1</v>
      </c>
      <c r="H1480" t="b">
        <v>1</v>
      </c>
      <c r="I1480" t="b">
        <v>0</v>
      </c>
    </row>
    <row r="1481" spans="1:9" x14ac:dyDescent="0.2">
      <c r="A1481" t="s">
        <v>1364</v>
      </c>
      <c r="B1481" t="s">
        <v>2324</v>
      </c>
      <c r="D1481" t="b">
        <f>IFERROR(VLOOKUP(B1481,PatData!$A$2:$A$2030,1,),"")&lt;&gt;""</f>
        <v>1</v>
      </c>
      <c r="E1481" t="b">
        <v>0</v>
      </c>
      <c r="F1481" t="b">
        <v>0</v>
      </c>
      <c r="G1481" t="b">
        <v>1</v>
      </c>
      <c r="H1481" t="b">
        <v>1</v>
      </c>
      <c r="I1481" t="b">
        <v>0</v>
      </c>
    </row>
    <row r="1482" spans="1:9" x14ac:dyDescent="0.2">
      <c r="A1482" t="s">
        <v>1365</v>
      </c>
      <c r="B1482" t="s">
        <v>2325</v>
      </c>
      <c r="D1482" t="b">
        <f>IFERROR(VLOOKUP(B1482,PatData!$A$2:$A$2030,1,),"")&lt;&gt;""</f>
        <v>1</v>
      </c>
      <c r="E1482" t="b">
        <v>0</v>
      </c>
      <c r="F1482" t="b">
        <v>0</v>
      </c>
      <c r="G1482" t="b">
        <v>1</v>
      </c>
      <c r="H1482" t="b">
        <v>1</v>
      </c>
      <c r="I1482" t="b">
        <v>0</v>
      </c>
    </row>
    <row r="1483" spans="1:9" x14ac:dyDescent="0.2">
      <c r="A1483" t="s">
        <v>1366</v>
      </c>
      <c r="B1483" t="s">
        <v>2326</v>
      </c>
      <c r="D1483" t="b">
        <f>IFERROR(VLOOKUP(B1483,PatData!$A$2:$A$2030,1,),"")&lt;&gt;""</f>
        <v>1</v>
      </c>
      <c r="E1483" t="b">
        <v>0</v>
      </c>
      <c r="F1483" t="b">
        <v>0</v>
      </c>
      <c r="G1483" t="b">
        <v>1</v>
      </c>
      <c r="H1483" t="b">
        <v>1</v>
      </c>
      <c r="I1483" t="b">
        <v>0</v>
      </c>
    </row>
    <row r="1484" spans="1:9" x14ac:dyDescent="0.2">
      <c r="A1484" t="s">
        <v>1367</v>
      </c>
      <c r="B1484" t="s">
        <v>2327</v>
      </c>
      <c r="D1484" t="b">
        <f>IFERROR(VLOOKUP(B1484,PatData!$A$2:$A$2030,1,),"")&lt;&gt;""</f>
        <v>1</v>
      </c>
      <c r="E1484" t="b">
        <v>0</v>
      </c>
      <c r="F1484" t="b">
        <v>0</v>
      </c>
      <c r="G1484" t="b">
        <v>1</v>
      </c>
      <c r="H1484" t="b">
        <v>1</v>
      </c>
      <c r="I1484" t="b">
        <v>0</v>
      </c>
    </row>
    <row r="1485" spans="1:9" x14ac:dyDescent="0.2">
      <c r="A1485" t="s">
        <v>1368</v>
      </c>
      <c r="B1485" t="s">
        <v>2328</v>
      </c>
      <c r="D1485" t="b">
        <f>IFERROR(VLOOKUP(B1485,PatData!$A$2:$A$2030,1,),"")&lt;&gt;""</f>
        <v>1</v>
      </c>
      <c r="E1485" t="b">
        <v>0</v>
      </c>
      <c r="F1485" t="b">
        <v>0</v>
      </c>
      <c r="G1485" t="b">
        <v>1</v>
      </c>
      <c r="H1485" t="b">
        <v>1</v>
      </c>
      <c r="I1485" t="b">
        <v>0</v>
      </c>
    </row>
    <row r="1486" spans="1:9" x14ac:dyDescent="0.2">
      <c r="A1486" t="s">
        <v>1369</v>
      </c>
      <c r="B1486" t="s">
        <v>2329</v>
      </c>
      <c r="D1486" t="b">
        <f>IFERROR(VLOOKUP(B1486,PatData!$A$2:$A$2030,1,),"")&lt;&gt;""</f>
        <v>1</v>
      </c>
      <c r="E1486" t="b">
        <v>0</v>
      </c>
      <c r="F1486" t="b">
        <v>0</v>
      </c>
      <c r="G1486" t="b">
        <v>1</v>
      </c>
      <c r="H1486" t="b">
        <v>1</v>
      </c>
      <c r="I1486" t="b">
        <v>0</v>
      </c>
    </row>
    <row r="1487" spans="1:9" x14ac:dyDescent="0.2">
      <c r="A1487" t="s">
        <v>1370</v>
      </c>
      <c r="B1487" t="s">
        <v>2330</v>
      </c>
      <c r="D1487" t="b">
        <f>IFERROR(VLOOKUP(B1487,PatData!$A$2:$A$2030,1,),"")&lt;&gt;""</f>
        <v>1</v>
      </c>
      <c r="E1487" t="b">
        <v>0</v>
      </c>
      <c r="F1487" t="b">
        <v>0</v>
      </c>
      <c r="G1487" t="b">
        <v>1</v>
      </c>
      <c r="H1487" t="b">
        <v>1</v>
      </c>
      <c r="I1487" t="b">
        <v>0</v>
      </c>
    </row>
    <row r="1488" spans="1:9" x14ac:dyDescent="0.2">
      <c r="A1488" t="s">
        <v>1372</v>
      </c>
      <c r="B1488" t="s">
        <v>2331</v>
      </c>
      <c r="D1488" t="b">
        <f>IFERROR(VLOOKUP(B1488,PatData!$A$2:$A$2030,1,),"")&lt;&gt;""</f>
        <v>1</v>
      </c>
      <c r="E1488" t="b">
        <v>0</v>
      </c>
      <c r="F1488" t="b">
        <v>0</v>
      </c>
      <c r="G1488" t="b">
        <v>1</v>
      </c>
      <c r="H1488" t="b">
        <v>1</v>
      </c>
      <c r="I1488" t="b">
        <v>0</v>
      </c>
    </row>
    <row r="1489" spans="1:9" x14ac:dyDescent="0.2">
      <c r="A1489" t="s">
        <v>1373</v>
      </c>
      <c r="B1489" t="s">
        <v>2332</v>
      </c>
      <c r="D1489" t="b">
        <f>IFERROR(VLOOKUP(B1489,PatData!$A$2:$A$2030,1,),"")&lt;&gt;""</f>
        <v>1</v>
      </c>
      <c r="E1489" t="b">
        <v>0</v>
      </c>
      <c r="F1489" t="b">
        <v>0</v>
      </c>
      <c r="G1489" t="b">
        <v>1</v>
      </c>
      <c r="H1489" t="b">
        <v>1</v>
      </c>
      <c r="I1489" t="b">
        <v>0</v>
      </c>
    </row>
    <row r="1490" spans="1:9" x14ac:dyDescent="0.2">
      <c r="A1490" t="s">
        <v>1380</v>
      </c>
      <c r="B1490" t="s">
        <v>2333</v>
      </c>
      <c r="D1490" t="b">
        <f>IFERROR(VLOOKUP(B1490,PatData!$A$2:$A$2030,1,),"")&lt;&gt;""</f>
        <v>1</v>
      </c>
      <c r="E1490" t="b">
        <v>0</v>
      </c>
      <c r="F1490" t="b">
        <v>0</v>
      </c>
      <c r="G1490" t="b">
        <v>1</v>
      </c>
      <c r="H1490" t="b">
        <v>1</v>
      </c>
      <c r="I1490" t="b">
        <v>0</v>
      </c>
    </row>
    <row r="1491" spans="1:9" x14ac:dyDescent="0.2">
      <c r="A1491" t="s">
        <v>1391</v>
      </c>
      <c r="B1491" t="s">
        <v>2334</v>
      </c>
      <c r="D1491" t="b">
        <f>IFERROR(VLOOKUP(B1491,PatData!$A$2:$A$2030,1,),"")&lt;&gt;""</f>
        <v>1</v>
      </c>
      <c r="E1491" t="b">
        <v>0</v>
      </c>
      <c r="F1491" t="b">
        <v>0</v>
      </c>
      <c r="G1491" t="b">
        <v>1</v>
      </c>
      <c r="H1491" t="b">
        <v>1</v>
      </c>
      <c r="I1491" t="b">
        <v>0</v>
      </c>
    </row>
    <row r="1492" spans="1:9" x14ac:dyDescent="0.2">
      <c r="A1492" t="s">
        <v>1402</v>
      </c>
      <c r="B1492" t="s">
        <v>2335</v>
      </c>
      <c r="D1492" t="b">
        <f>IFERROR(VLOOKUP(B1492,PatData!$A$2:$A$2030,1,),"")&lt;&gt;""</f>
        <v>1</v>
      </c>
      <c r="E1492" t="b">
        <v>0</v>
      </c>
      <c r="F1492" t="b">
        <v>0</v>
      </c>
      <c r="G1492" t="b">
        <v>1</v>
      </c>
      <c r="H1492" t="b">
        <v>1</v>
      </c>
      <c r="I1492" t="b">
        <v>0</v>
      </c>
    </row>
    <row r="1493" spans="1:9" x14ac:dyDescent="0.2">
      <c r="A1493" t="s">
        <v>1405</v>
      </c>
      <c r="B1493" t="s">
        <v>2336</v>
      </c>
      <c r="D1493" t="b">
        <f>IFERROR(VLOOKUP(B1493,PatData!$A$2:$A$2030,1,),"")&lt;&gt;""</f>
        <v>1</v>
      </c>
      <c r="E1493" t="b">
        <v>0</v>
      </c>
      <c r="F1493" t="b">
        <v>0</v>
      </c>
      <c r="G1493" t="b">
        <v>1</v>
      </c>
      <c r="H1493" t="b">
        <v>1</v>
      </c>
      <c r="I1493" t="b">
        <v>0</v>
      </c>
    </row>
    <row r="1494" spans="1:9" x14ac:dyDescent="0.2">
      <c r="A1494" t="s">
        <v>1406</v>
      </c>
      <c r="B1494" t="s">
        <v>2337</v>
      </c>
      <c r="D1494" t="b">
        <f>IFERROR(VLOOKUP(B1494,PatData!$A$2:$A$2030,1,),"")&lt;&gt;""</f>
        <v>1</v>
      </c>
      <c r="E1494" t="b">
        <v>0</v>
      </c>
      <c r="F1494" t="b">
        <v>0</v>
      </c>
      <c r="G1494" t="b">
        <v>1</v>
      </c>
      <c r="H1494" t="b">
        <v>1</v>
      </c>
      <c r="I1494" t="b">
        <v>0</v>
      </c>
    </row>
    <row r="1495" spans="1:9" x14ac:dyDescent="0.2">
      <c r="A1495" t="s">
        <v>1407</v>
      </c>
      <c r="B1495" t="s">
        <v>2338</v>
      </c>
      <c r="D1495" t="b">
        <f>IFERROR(VLOOKUP(B1495,PatData!$A$2:$A$2030,1,),"")&lt;&gt;""</f>
        <v>1</v>
      </c>
      <c r="E1495" t="b">
        <v>0</v>
      </c>
      <c r="F1495" t="b">
        <v>0</v>
      </c>
      <c r="G1495" t="b">
        <v>1</v>
      </c>
      <c r="H1495" t="b">
        <v>1</v>
      </c>
      <c r="I1495" t="b">
        <v>0</v>
      </c>
    </row>
    <row r="1496" spans="1:9" x14ac:dyDescent="0.2">
      <c r="A1496" t="s">
        <v>1408</v>
      </c>
      <c r="B1496" t="s">
        <v>2339</v>
      </c>
      <c r="D1496" t="b">
        <f>IFERROR(VLOOKUP(B1496,PatData!$A$2:$A$2030,1,),"")&lt;&gt;""</f>
        <v>1</v>
      </c>
      <c r="E1496" t="b">
        <v>0</v>
      </c>
      <c r="F1496" t="b">
        <v>0</v>
      </c>
      <c r="G1496" t="b">
        <v>1</v>
      </c>
      <c r="H1496" t="b">
        <v>1</v>
      </c>
      <c r="I1496" t="b">
        <v>0</v>
      </c>
    </row>
    <row r="1497" spans="1:9" x14ac:dyDescent="0.2">
      <c r="A1497" t="s">
        <v>1409</v>
      </c>
      <c r="B1497" t="s">
        <v>2340</v>
      </c>
      <c r="D1497" t="b">
        <f>IFERROR(VLOOKUP(B1497,PatData!$A$2:$A$2030,1,),"")&lt;&gt;""</f>
        <v>1</v>
      </c>
      <c r="E1497" t="b">
        <v>0</v>
      </c>
      <c r="F1497" t="b">
        <v>0</v>
      </c>
      <c r="G1497" t="b">
        <v>1</v>
      </c>
      <c r="H1497" t="b">
        <v>1</v>
      </c>
      <c r="I1497" t="b">
        <v>0</v>
      </c>
    </row>
    <row r="1498" spans="1:9" x14ac:dyDescent="0.2">
      <c r="A1498" t="s">
        <v>1410</v>
      </c>
      <c r="B1498" t="s">
        <v>2341</v>
      </c>
      <c r="D1498" t="b">
        <f>IFERROR(VLOOKUP(B1498,PatData!$A$2:$A$2030,1,),"")&lt;&gt;""</f>
        <v>1</v>
      </c>
      <c r="E1498" t="b">
        <v>0</v>
      </c>
      <c r="F1498" t="b">
        <v>0</v>
      </c>
      <c r="G1498" t="b">
        <v>1</v>
      </c>
      <c r="H1498" t="b">
        <v>1</v>
      </c>
      <c r="I1498" t="b">
        <v>0</v>
      </c>
    </row>
    <row r="1499" spans="1:9" x14ac:dyDescent="0.2">
      <c r="A1499" t="s">
        <v>1381</v>
      </c>
      <c r="B1499" t="s">
        <v>2342</v>
      </c>
      <c r="D1499" t="b">
        <f>IFERROR(VLOOKUP(B1499,PatData!$A$2:$A$2030,1,),"")&lt;&gt;""</f>
        <v>1</v>
      </c>
      <c r="E1499" t="b">
        <v>0</v>
      </c>
      <c r="F1499" t="b">
        <v>0</v>
      </c>
      <c r="G1499" t="b">
        <v>1</v>
      </c>
      <c r="H1499" t="b">
        <v>1</v>
      </c>
      <c r="I1499" t="b">
        <v>0</v>
      </c>
    </row>
    <row r="1500" spans="1:9" x14ac:dyDescent="0.2">
      <c r="A1500" t="s">
        <v>1382</v>
      </c>
      <c r="B1500" t="s">
        <v>2343</v>
      </c>
      <c r="D1500" t="b">
        <f>IFERROR(VLOOKUP(B1500,PatData!$A$2:$A$2030,1,),"")&lt;&gt;""</f>
        <v>1</v>
      </c>
      <c r="E1500" t="b">
        <v>0</v>
      </c>
      <c r="F1500" t="b">
        <v>0</v>
      </c>
      <c r="G1500" t="b">
        <v>1</v>
      </c>
      <c r="H1500" t="b">
        <v>1</v>
      </c>
      <c r="I1500" t="b">
        <v>0</v>
      </c>
    </row>
    <row r="1501" spans="1:9" x14ac:dyDescent="0.2">
      <c r="A1501" t="s">
        <v>1383</v>
      </c>
      <c r="B1501" t="s">
        <v>2344</v>
      </c>
      <c r="D1501" t="b">
        <f>IFERROR(VLOOKUP(B1501,PatData!$A$2:$A$2030,1,),"")&lt;&gt;""</f>
        <v>1</v>
      </c>
      <c r="E1501" t="b">
        <v>0</v>
      </c>
      <c r="F1501" t="b">
        <v>0</v>
      </c>
      <c r="G1501" t="b">
        <v>1</v>
      </c>
      <c r="H1501" t="b">
        <v>1</v>
      </c>
      <c r="I1501" t="b">
        <v>0</v>
      </c>
    </row>
    <row r="1502" spans="1:9" x14ac:dyDescent="0.2">
      <c r="A1502" t="s">
        <v>1384</v>
      </c>
      <c r="B1502" t="s">
        <v>2345</v>
      </c>
      <c r="D1502" t="b">
        <f>IFERROR(VLOOKUP(B1502,PatData!$A$2:$A$2030,1,),"")&lt;&gt;""</f>
        <v>1</v>
      </c>
      <c r="E1502" t="b">
        <v>0</v>
      </c>
      <c r="F1502" t="b">
        <v>0</v>
      </c>
      <c r="G1502" t="b">
        <v>1</v>
      </c>
      <c r="H1502" t="b">
        <v>1</v>
      </c>
      <c r="I1502" t="b">
        <v>0</v>
      </c>
    </row>
    <row r="1503" spans="1:9" x14ac:dyDescent="0.2">
      <c r="A1503" t="s">
        <v>1385</v>
      </c>
      <c r="B1503" t="s">
        <v>2346</v>
      </c>
      <c r="D1503" t="b">
        <f>IFERROR(VLOOKUP(B1503,PatData!$A$2:$A$2030,1,),"")&lt;&gt;""</f>
        <v>1</v>
      </c>
      <c r="E1503" t="b">
        <v>0</v>
      </c>
      <c r="F1503" t="b">
        <v>0</v>
      </c>
      <c r="G1503" t="b">
        <v>1</v>
      </c>
      <c r="H1503" t="b">
        <v>1</v>
      </c>
      <c r="I1503" t="b">
        <v>0</v>
      </c>
    </row>
    <row r="1504" spans="1:9" x14ac:dyDescent="0.2">
      <c r="A1504" t="s">
        <v>1386</v>
      </c>
      <c r="B1504" t="s">
        <v>2347</v>
      </c>
      <c r="D1504" t="b">
        <f>IFERROR(VLOOKUP(B1504,PatData!$A$2:$A$2030,1,),"")&lt;&gt;""</f>
        <v>1</v>
      </c>
      <c r="E1504" t="b">
        <v>0</v>
      </c>
      <c r="F1504" t="b">
        <v>0</v>
      </c>
      <c r="G1504" t="b">
        <v>1</v>
      </c>
      <c r="H1504" t="b">
        <v>1</v>
      </c>
      <c r="I1504" t="b">
        <v>0</v>
      </c>
    </row>
    <row r="1505" spans="1:9" x14ac:dyDescent="0.2">
      <c r="A1505" t="s">
        <v>1387</v>
      </c>
      <c r="B1505" t="s">
        <v>2348</v>
      </c>
      <c r="D1505" t="b">
        <f>IFERROR(VLOOKUP(B1505,PatData!$A$2:$A$2030,1,),"")&lt;&gt;""</f>
        <v>1</v>
      </c>
      <c r="E1505" t="b">
        <v>0</v>
      </c>
      <c r="F1505" t="b">
        <v>0</v>
      </c>
      <c r="G1505" t="b">
        <v>1</v>
      </c>
      <c r="H1505" t="b">
        <v>1</v>
      </c>
      <c r="I1505" t="b">
        <v>0</v>
      </c>
    </row>
    <row r="1506" spans="1:9" x14ac:dyDescent="0.2">
      <c r="A1506" t="s">
        <v>1388</v>
      </c>
      <c r="B1506" t="s">
        <v>2349</v>
      </c>
      <c r="D1506" t="b">
        <f>IFERROR(VLOOKUP(B1506,PatData!$A$2:$A$2030,1,),"")&lt;&gt;""</f>
        <v>1</v>
      </c>
      <c r="E1506" t="b">
        <v>0</v>
      </c>
      <c r="F1506" t="b">
        <v>0</v>
      </c>
      <c r="G1506" t="b">
        <v>1</v>
      </c>
      <c r="H1506" t="b">
        <v>1</v>
      </c>
      <c r="I1506" t="b">
        <v>0</v>
      </c>
    </row>
    <row r="1507" spans="1:9" x14ac:dyDescent="0.2">
      <c r="A1507" t="s">
        <v>1389</v>
      </c>
      <c r="B1507" t="s">
        <v>2350</v>
      </c>
      <c r="D1507" t="b">
        <f>IFERROR(VLOOKUP(B1507,PatData!$A$2:$A$2030,1,),"")&lt;&gt;""</f>
        <v>1</v>
      </c>
      <c r="E1507" t="b">
        <v>0</v>
      </c>
      <c r="F1507" t="b">
        <v>0</v>
      </c>
      <c r="G1507" t="b">
        <v>1</v>
      </c>
      <c r="H1507" t="b">
        <v>1</v>
      </c>
      <c r="I1507" t="b">
        <v>0</v>
      </c>
    </row>
    <row r="1508" spans="1:9" x14ac:dyDescent="0.2">
      <c r="A1508" t="s">
        <v>1390</v>
      </c>
      <c r="B1508" t="s">
        <v>2351</v>
      </c>
      <c r="D1508" t="b">
        <f>IFERROR(VLOOKUP(B1508,PatData!$A$2:$A$2030,1,),"")&lt;&gt;""</f>
        <v>1</v>
      </c>
      <c r="E1508" t="b">
        <v>0</v>
      </c>
      <c r="F1508" t="b">
        <v>0</v>
      </c>
      <c r="G1508" t="b">
        <v>1</v>
      </c>
      <c r="H1508" t="b">
        <v>1</v>
      </c>
      <c r="I1508" t="b">
        <v>0</v>
      </c>
    </row>
    <row r="1509" spans="1:9" x14ac:dyDescent="0.2">
      <c r="A1509" t="s">
        <v>1392</v>
      </c>
      <c r="B1509" t="s">
        <v>2352</v>
      </c>
      <c r="D1509" t="b">
        <f>IFERROR(VLOOKUP(B1509,PatData!$A$2:$A$2030,1,),"")&lt;&gt;""</f>
        <v>1</v>
      </c>
      <c r="E1509" t="b">
        <v>0</v>
      </c>
      <c r="F1509" t="b">
        <v>0</v>
      </c>
      <c r="G1509" t="b">
        <v>1</v>
      </c>
      <c r="H1509" t="b">
        <v>1</v>
      </c>
      <c r="I1509" t="b">
        <v>0</v>
      </c>
    </row>
    <row r="1510" spans="1:9" x14ac:dyDescent="0.2">
      <c r="A1510" t="s">
        <v>1393</v>
      </c>
      <c r="B1510" t="s">
        <v>2353</v>
      </c>
      <c r="D1510" t="b">
        <f>IFERROR(VLOOKUP(B1510,PatData!$A$2:$A$2030,1,),"")&lt;&gt;""</f>
        <v>1</v>
      </c>
      <c r="E1510" t="b">
        <v>0</v>
      </c>
      <c r="F1510" t="b">
        <v>0</v>
      </c>
      <c r="G1510" t="b">
        <v>1</v>
      </c>
      <c r="H1510" t="b">
        <v>1</v>
      </c>
      <c r="I1510" t="b">
        <v>0</v>
      </c>
    </row>
    <row r="1511" spans="1:9" x14ac:dyDescent="0.2">
      <c r="A1511" t="s">
        <v>1394</v>
      </c>
      <c r="B1511" t="s">
        <v>2354</v>
      </c>
      <c r="D1511" t="b">
        <f>IFERROR(VLOOKUP(B1511,PatData!$A$2:$A$2030,1,),"")&lt;&gt;""</f>
        <v>1</v>
      </c>
      <c r="E1511" t="b">
        <v>0</v>
      </c>
      <c r="F1511" t="b">
        <v>0</v>
      </c>
      <c r="G1511" t="b">
        <v>1</v>
      </c>
      <c r="H1511" t="b">
        <v>1</v>
      </c>
      <c r="I1511" t="b">
        <v>0</v>
      </c>
    </row>
    <row r="1512" spans="1:9" x14ac:dyDescent="0.2">
      <c r="A1512" t="s">
        <v>1395</v>
      </c>
      <c r="B1512" t="s">
        <v>2355</v>
      </c>
      <c r="D1512" t="b">
        <f>IFERROR(VLOOKUP(B1512,PatData!$A$2:$A$2030,1,),"")&lt;&gt;""</f>
        <v>1</v>
      </c>
      <c r="E1512" t="b">
        <v>0</v>
      </c>
      <c r="F1512" t="b">
        <v>0</v>
      </c>
      <c r="G1512" t="b">
        <v>1</v>
      </c>
      <c r="H1512" t="b">
        <v>1</v>
      </c>
      <c r="I1512" t="b">
        <v>0</v>
      </c>
    </row>
    <row r="1513" spans="1:9" x14ac:dyDescent="0.2">
      <c r="A1513" t="s">
        <v>1396</v>
      </c>
      <c r="B1513" t="s">
        <v>2356</v>
      </c>
      <c r="D1513" t="b">
        <f>IFERROR(VLOOKUP(B1513,PatData!$A$2:$A$2030,1,),"")&lt;&gt;""</f>
        <v>1</v>
      </c>
      <c r="E1513" t="b">
        <v>0</v>
      </c>
      <c r="F1513" t="b">
        <v>0</v>
      </c>
      <c r="G1513" t="b">
        <v>1</v>
      </c>
      <c r="H1513" t="b">
        <v>1</v>
      </c>
      <c r="I1513" t="b">
        <v>0</v>
      </c>
    </row>
    <row r="1514" spans="1:9" x14ac:dyDescent="0.2">
      <c r="A1514" t="s">
        <v>1397</v>
      </c>
      <c r="B1514" t="s">
        <v>2357</v>
      </c>
      <c r="D1514" t="b">
        <f>IFERROR(VLOOKUP(B1514,PatData!$A$2:$A$2030,1,),"")&lt;&gt;""</f>
        <v>1</v>
      </c>
      <c r="E1514" t="b">
        <v>0</v>
      </c>
      <c r="F1514" t="b">
        <v>0</v>
      </c>
      <c r="G1514" t="b">
        <v>1</v>
      </c>
      <c r="H1514" t="b">
        <v>1</v>
      </c>
      <c r="I1514" t="b">
        <v>0</v>
      </c>
    </row>
    <row r="1515" spans="1:9" x14ac:dyDescent="0.2">
      <c r="A1515" t="s">
        <v>1398</v>
      </c>
      <c r="B1515" t="s">
        <v>2358</v>
      </c>
      <c r="D1515" t="b">
        <f>IFERROR(VLOOKUP(B1515,PatData!$A$2:$A$2030,1,),"")&lt;&gt;""</f>
        <v>1</v>
      </c>
      <c r="E1515" t="b">
        <v>0</v>
      </c>
      <c r="F1515" t="b">
        <v>0</v>
      </c>
      <c r="G1515" t="b">
        <v>1</v>
      </c>
      <c r="H1515" t="b">
        <v>1</v>
      </c>
      <c r="I1515" t="b">
        <v>0</v>
      </c>
    </row>
    <row r="1516" spans="1:9" x14ac:dyDescent="0.2">
      <c r="A1516" t="s">
        <v>1399</v>
      </c>
      <c r="B1516" t="s">
        <v>2359</v>
      </c>
      <c r="D1516" t="b">
        <f>IFERROR(VLOOKUP(B1516,PatData!$A$2:$A$2030,1,),"")&lt;&gt;""</f>
        <v>1</v>
      </c>
      <c r="E1516" t="b">
        <v>0</v>
      </c>
      <c r="F1516" t="b">
        <v>0</v>
      </c>
      <c r="G1516" t="b">
        <v>1</v>
      </c>
      <c r="H1516" t="b">
        <v>1</v>
      </c>
      <c r="I1516" t="b">
        <v>0</v>
      </c>
    </row>
    <row r="1517" spans="1:9" x14ac:dyDescent="0.2">
      <c r="A1517" t="s">
        <v>1400</v>
      </c>
      <c r="B1517" t="s">
        <v>2360</v>
      </c>
      <c r="D1517" t="b">
        <f>IFERROR(VLOOKUP(B1517,PatData!$A$2:$A$2030,1,),"")&lt;&gt;""</f>
        <v>1</v>
      </c>
      <c r="E1517" t="b">
        <v>0</v>
      </c>
      <c r="F1517" t="b">
        <v>0</v>
      </c>
      <c r="G1517" t="b">
        <v>1</v>
      </c>
      <c r="H1517" t="b">
        <v>1</v>
      </c>
      <c r="I1517" t="b">
        <v>0</v>
      </c>
    </row>
    <row r="1518" spans="1:9" x14ac:dyDescent="0.2">
      <c r="A1518" t="s">
        <v>1401</v>
      </c>
      <c r="B1518" t="s">
        <v>2361</v>
      </c>
      <c r="D1518" t="b">
        <f>IFERROR(VLOOKUP(B1518,PatData!$A$2:$A$2030,1,),"")&lt;&gt;""</f>
        <v>1</v>
      </c>
      <c r="E1518" t="b">
        <v>0</v>
      </c>
      <c r="F1518" t="b">
        <v>0</v>
      </c>
      <c r="G1518" t="b">
        <v>1</v>
      </c>
      <c r="H1518" t="b">
        <v>1</v>
      </c>
      <c r="I1518" t="b">
        <v>0</v>
      </c>
    </row>
    <row r="1519" spans="1:9" x14ac:dyDescent="0.2">
      <c r="A1519" t="s">
        <v>1403</v>
      </c>
      <c r="B1519" t="s">
        <v>2362</v>
      </c>
      <c r="D1519" t="b">
        <f>IFERROR(VLOOKUP(B1519,PatData!$A$2:$A$2030,1,),"")&lt;&gt;""</f>
        <v>1</v>
      </c>
      <c r="E1519" t="b">
        <v>0</v>
      </c>
      <c r="F1519" t="b">
        <v>0</v>
      </c>
      <c r="G1519" t="b">
        <v>1</v>
      </c>
      <c r="H1519" t="b">
        <v>1</v>
      </c>
      <c r="I1519" t="b">
        <v>0</v>
      </c>
    </row>
    <row r="1520" spans="1:9" x14ac:dyDescent="0.2">
      <c r="A1520" t="s">
        <v>1404</v>
      </c>
      <c r="B1520" t="s">
        <v>2363</v>
      </c>
      <c r="D1520" t="b">
        <f>IFERROR(VLOOKUP(B1520,PatData!$A$2:$A$2030,1,),"")&lt;&gt;""</f>
        <v>1</v>
      </c>
      <c r="E1520" t="b">
        <v>0</v>
      </c>
      <c r="F1520" t="b">
        <v>0</v>
      </c>
      <c r="G1520" t="b">
        <v>1</v>
      </c>
      <c r="H1520" t="b">
        <v>1</v>
      </c>
      <c r="I1520" t="b">
        <v>0</v>
      </c>
    </row>
    <row r="1521" spans="1:9" x14ac:dyDescent="0.2">
      <c r="A1521" t="s">
        <v>1411</v>
      </c>
      <c r="B1521" t="s">
        <v>2364</v>
      </c>
      <c r="D1521" t="b">
        <f>IFERROR(VLOOKUP(B1521,PatData!$A$2:$A$2030,1,),"")&lt;&gt;""</f>
        <v>1</v>
      </c>
      <c r="E1521" t="b">
        <v>0</v>
      </c>
      <c r="F1521" t="b">
        <v>0</v>
      </c>
      <c r="G1521" t="b">
        <v>1</v>
      </c>
      <c r="H1521" t="b">
        <v>1</v>
      </c>
      <c r="I1521" t="b">
        <v>0</v>
      </c>
    </row>
    <row r="1522" spans="1:9" x14ac:dyDescent="0.2">
      <c r="A1522" t="s">
        <v>1422</v>
      </c>
      <c r="B1522" t="s">
        <v>2365</v>
      </c>
      <c r="D1522" t="b">
        <f>IFERROR(VLOOKUP(B1522,PatData!$A$2:$A$2030,1,),"")&lt;&gt;""</f>
        <v>1</v>
      </c>
      <c r="E1522" t="b">
        <v>0</v>
      </c>
      <c r="F1522" t="b">
        <v>0</v>
      </c>
      <c r="G1522" t="b">
        <v>1</v>
      </c>
      <c r="H1522" t="b">
        <v>1</v>
      </c>
      <c r="I1522" t="b">
        <v>0</v>
      </c>
    </row>
    <row r="1523" spans="1:9" x14ac:dyDescent="0.2">
      <c r="A1523" t="s">
        <v>1433</v>
      </c>
      <c r="B1523" t="s">
        <v>2366</v>
      </c>
      <c r="D1523" t="b">
        <f>IFERROR(VLOOKUP(B1523,PatData!$A$2:$A$2030,1,),"")&lt;&gt;""</f>
        <v>1</v>
      </c>
      <c r="E1523" t="b">
        <v>0</v>
      </c>
      <c r="F1523" t="b">
        <v>0</v>
      </c>
      <c r="G1523" t="b">
        <v>1</v>
      </c>
      <c r="H1523" t="b">
        <v>1</v>
      </c>
      <c r="I1523" t="b">
        <v>0</v>
      </c>
    </row>
    <row r="1524" spans="1:9" x14ac:dyDescent="0.2">
      <c r="A1524" t="s">
        <v>1436</v>
      </c>
      <c r="B1524" t="s">
        <v>2367</v>
      </c>
      <c r="D1524" t="b">
        <f>IFERROR(VLOOKUP(B1524,PatData!$A$2:$A$2030,1,),"")&lt;&gt;""</f>
        <v>1</v>
      </c>
      <c r="E1524" t="b">
        <v>0</v>
      </c>
      <c r="F1524" t="b">
        <v>0</v>
      </c>
      <c r="G1524" t="b">
        <v>1</v>
      </c>
      <c r="H1524" t="b">
        <v>1</v>
      </c>
      <c r="I1524" t="b">
        <v>0</v>
      </c>
    </row>
    <row r="1525" spans="1:9" x14ac:dyDescent="0.2">
      <c r="A1525" t="s">
        <v>1437</v>
      </c>
      <c r="B1525" t="s">
        <v>2368</v>
      </c>
      <c r="D1525" t="b">
        <f>IFERROR(VLOOKUP(B1525,PatData!$A$2:$A$2030,1,),"")&lt;&gt;""</f>
        <v>1</v>
      </c>
      <c r="E1525" t="b">
        <v>0</v>
      </c>
      <c r="F1525" t="b">
        <v>0</v>
      </c>
      <c r="G1525" t="b">
        <v>1</v>
      </c>
      <c r="H1525" t="b">
        <v>1</v>
      </c>
      <c r="I1525" t="b">
        <v>0</v>
      </c>
    </row>
    <row r="1526" spans="1:9" x14ac:dyDescent="0.2">
      <c r="A1526" t="s">
        <v>1438</v>
      </c>
      <c r="B1526" t="s">
        <v>2369</v>
      </c>
      <c r="D1526" t="b">
        <f>IFERROR(VLOOKUP(B1526,PatData!$A$2:$A$2030,1,),"")&lt;&gt;""</f>
        <v>1</v>
      </c>
      <c r="E1526" t="b">
        <v>0</v>
      </c>
      <c r="F1526" t="b">
        <v>0</v>
      </c>
      <c r="G1526" t="b">
        <v>1</v>
      </c>
      <c r="H1526" t="b">
        <v>1</v>
      </c>
      <c r="I1526" t="b">
        <v>0</v>
      </c>
    </row>
    <row r="1527" spans="1:9" x14ac:dyDescent="0.2">
      <c r="A1527" t="s">
        <v>1439</v>
      </c>
      <c r="B1527" t="s">
        <v>2370</v>
      </c>
      <c r="D1527" t="b">
        <f>IFERROR(VLOOKUP(B1527,PatData!$A$2:$A$2030,1,),"")&lt;&gt;""</f>
        <v>1</v>
      </c>
      <c r="E1527" t="b">
        <v>0</v>
      </c>
      <c r="F1527" t="b">
        <v>0</v>
      </c>
      <c r="G1527" t="b">
        <v>1</v>
      </c>
      <c r="H1527" t="b">
        <v>1</v>
      </c>
      <c r="I1527" t="b">
        <v>0</v>
      </c>
    </row>
    <row r="1528" spans="1:9" x14ac:dyDescent="0.2">
      <c r="A1528" t="s">
        <v>1440</v>
      </c>
      <c r="B1528" t="s">
        <v>2371</v>
      </c>
      <c r="D1528" t="b">
        <f>IFERROR(VLOOKUP(B1528,PatData!$A$2:$A$2030,1,),"")&lt;&gt;""</f>
        <v>1</v>
      </c>
      <c r="E1528" t="b">
        <v>0</v>
      </c>
      <c r="F1528" t="b">
        <v>0</v>
      </c>
      <c r="G1528" t="b">
        <v>1</v>
      </c>
      <c r="H1528" t="b">
        <v>1</v>
      </c>
      <c r="I1528" t="b">
        <v>0</v>
      </c>
    </row>
    <row r="1529" spans="1:9" x14ac:dyDescent="0.2">
      <c r="A1529" t="s">
        <v>1441</v>
      </c>
      <c r="B1529" t="s">
        <v>2372</v>
      </c>
      <c r="D1529" t="b">
        <f>IFERROR(VLOOKUP(B1529,PatData!$A$2:$A$2030,1,),"")&lt;&gt;""</f>
        <v>1</v>
      </c>
      <c r="E1529" t="b">
        <v>0</v>
      </c>
      <c r="F1529" t="b">
        <v>0</v>
      </c>
      <c r="G1529" t="b">
        <v>1</v>
      </c>
      <c r="H1529" t="b">
        <v>1</v>
      </c>
      <c r="I1529" t="b">
        <v>0</v>
      </c>
    </row>
    <row r="1530" spans="1:9" x14ac:dyDescent="0.2">
      <c r="A1530" t="s">
        <v>1412</v>
      </c>
      <c r="B1530" t="s">
        <v>2373</v>
      </c>
      <c r="D1530" t="b">
        <f>IFERROR(VLOOKUP(B1530,PatData!$A$2:$A$2030,1,),"")&lt;&gt;""</f>
        <v>1</v>
      </c>
      <c r="E1530" t="b">
        <v>0</v>
      </c>
      <c r="F1530" t="b">
        <v>0</v>
      </c>
      <c r="G1530" t="b">
        <v>1</v>
      </c>
      <c r="H1530" t="b">
        <v>1</v>
      </c>
      <c r="I1530" t="b">
        <v>0</v>
      </c>
    </row>
    <row r="1531" spans="1:9" x14ac:dyDescent="0.2">
      <c r="A1531" t="s">
        <v>1413</v>
      </c>
      <c r="B1531" t="s">
        <v>2374</v>
      </c>
      <c r="D1531" t="b">
        <f>IFERROR(VLOOKUP(B1531,PatData!$A$2:$A$2030,1,),"")&lt;&gt;""</f>
        <v>1</v>
      </c>
      <c r="E1531" t="b">
        <v>0</v>
      </c>
      <c r="F1531" t="b">
        <v>0</v>
      </c>
      <c r="G1531" t="b">
        <v>1</v>
      </c>
      <c r="H1531" t="b">
        <v>1</v>
      </c>
      <c r="I1531" t="b">
        <v>0</v>
      </c>
    </row>
    <row r="1532" spans="1:9" x14ac:dyDescent="0.2">
      <c r="A1532" t="s">
        <v>1414</v>
      </c>
      <c r="B1532" t="s">
        <v>2375</v>
      </c>
      <c r="D1532" t="b">
        <f>IFERROR(VLOOKUP(B1532,PatData!$A$2:$A$2030,1,),"")&lt;&gt;""</f>
        <v>1</v>
      </c>
      <c r="E1532" t="b">
        <v>0</v>
      </c>
      <c r="F1532" t="b">
        <v>0</v>
      </c>
      <c r="G1532" t="b">
        <v>1</v>
      </c>
      <c r="H1532" t="b">
        <v>1</v>
      </c>
      <c r="I1532" t="b">
        <v>0</v>
      </c>
    </row>
    <row r="1533" spans="1:9" x14ac:dyDescent="0.2">
      <c r="A1533" t="s">
        <v>1415</v>
      </c>
      <c r="B1533" t="s">
        <v>2376</v>
      </c>
      <c r="D1533" t="b">
        <f>IFERROR(VLOOKUP(B1533,PatData!$A$2:$A$2030,1,),"")&lt;&gt;""</f>
        <v>1</v>
      </c>
      <c r="E1533" t="b">
        <v>0</v>
      </c>
      <c r="F1533" t="b">
        <v>0</v>
      </c>
      <c r="G1533" t="b">
        <v>1</v>
      </c>
      <c r="H1533" t="b">
        <v>1</v>
      </c>
      <c r="I1533" t="b">
        <v>0</v>
      </c>
    </row>
    <row r="1534" spans="1:9" x14ac:dyDescent="0.2">
      <c r="A1534" t="s">
        <v>1416</v>
      </c>
      <c r="B1534" t="s">
        <v>2377</v>
      </c>
      <c r="D1534" t="b">
        <f>IFERROR(VLOOKUP(B1534,PatData!$A$2:$A$2030,1,),"")&lt;&gt;""</f>
        <v>1</v>
      </c>
      <c r="E1534" t="b">
        <v>0</v>
      </c>
      <c r="F1534" t="b">
        <v>0</v>
      </c>
      <c r="G1534" t="b">
        <v>1</v>
      </c>
      <c r="H1534" t="b">
        <v>1</v>
      </c>
      <c r="I1534" t="b">
        <v>0</v>
      </c>
    </row>
    <row r="1535" spans="1:9" x14ac:dyDescent="0.2">
      <c r="A1535" t="s">
        <v>1417</v>
      </c>
      <c r="B1535" t="s">
        <v>2378</v>
      </c>
      <c r="D1535" t="b">
        <f>IFERROR(VLOOKUP(B1535,PatData!$A$2:$A$2030,1,),"")&lt;&gt;""</f>
        <v>1</v>
      </c>
      <c r="E1535" t="b">
        <v>0</v>
      </c>
      <c r="F1535" t="b">
        <v>0</v>
      </c>
      <c r="G1535" t="b">
        <v>1</v>
      </c>
      <c r="H1535" t="b">
        <v>1</v>
      </c>
      <c r="I1535" t="b">
        <v>0</v>
      </c>
    </row>
    <row r="1536" spans="1:9" x14ac:dyDescent="0.2">
      <c r="A1536" t="s">
        <v>1418</v>
      </c>
      <c r="B1536" t="s">
        <v>2379</v>
      </c>
      <c r="D1536" t="b">
        <f>IFERROR(VLOOKUP(B1536,PatData!$A$2:$A$2030,1,),"")&lt;&gt;""</f>
        <v>1</v>
      </c>
      <c r="E1536" t="b">
        <v>0</v>
      </c>
      <c r="F1536" t="b">
        <v>0</v>
      </c>
      <c r="G1536" t="b">
        <v>1</v>
      </c>
      <c r="H1536" t="b">
        <v>1</v>
      </c>
      <c r="I1536" t="b">
        <v>0</v>
      </c>
    </row>
    <row r="1537" spans="1:9" x14ac:dyDescent="0.2">
      <c r="A1537" t="s">
        <v>1419</v>
      </c>
      <c r="B1537" t="s">
        <v>2380</v>
      </c>
      <c r="D1537" t="b">
        <f>IFERROR(VLOOKUP(B1537,PatData!$A$2:$A$2030,1,),"")&lt;&gt;""</f>
        <v>1</v>
      </c>
      <c r="E1537" t="b">
        <v>0</v>
      </c>
      <c r="F1537" t="b">
        <v>0</v>
      </c>
      <c r="G1537" t="b">
        <v>1</v>
      </c>
      <c r="H1537" t="b">
        <v>1</v>
      </c>
      <c r="I1537" t="b">
        <v>0</v>
      </c>
    </row>
    <row r="1538" spans="1:9" x14ac:dyDescent="0.2">
      <c r="A1538" t="s">
        <v>1420</v>
      </c>
      <c r="B1538" t="s">
        <v>2381</v>
      </c>
      <c r="D1538" t="b">
        <f>IFERROR(VLOOKUP(B1538,PatData!$A$2:$A$2030,1,),"")&lt;&gt;""</f>
        <v>1</v>
      </c>
      <c r="E1538" t="b">
        <v>0</v>
      </c>
      <c r="F1538" t="b">
        <v>0</v>
      </c>
      <c r="G1538" t="b">
        <v>1</v>
      </c>
      <c r="H1538" t="b">
        <v>1</v>
      </c>
      <c r="I1538" t="b">
        <v>0</v>
      </c>
    </row>
    <row r="1539" spans="1:9" x14ac:dyDescent="0.2">
      <c r="A1539" t="s">
        <v>1421</v>
      </c>
      <c r="B1539" t="s">
        <v>2382</v>
      </c>
      <c r="D1539" t="b">
        <f>IFERROR(VLOOKUP(B1539,PatData!$A$2:$A$2030,1,),"")&lt;&gt;""</f>
        <v>1</v>
      </c>
      <c r="E1539" t="b">
        <v>0</v>
      </c>
      <c r="F1539" t="b">
        <v>0</v>
      </c>
      <c r="G1539" t="b">
        <v>1</v>
      </c>
      <c r="H1539" t="b">
        <v>1</v>
      </c>
      <c r="I1539" t="b">
        <v>0</v>
      </c>
    </row>
    <row r="1540" spans="1:9" x14ac:dyDescent="0.2">
      <c r="A1540" t="s">
        <v>1423</v>
      </c>
      <c r="B1540" t="s">
        <v>2383</v>
      </c>
      <c r="D1540" t="b">
        <f>IFERROR(VLOOKUP(B1540,PatData!$A$2:$A$2030,1,),"")&lt;&gt;""</f>
        <v>1</v>
      </c>
      <c r="E1540" t="b">
        <v>0</v>
      </c>
      <c r="F1540" t="b">
        <v>0</v>
      </c>
      <c r="G1540" t="b">
        <v>1</v>
      </c>
      <c r="H1540" t="b">
        <v>1</v>
      </c>
      <c r="I1540" t="b">
        <v>0</v>
      </c>
    </row>
    <row r="1541" spans="1:9" x14ac:dyDescent="0.2">
      <c r="A1541" t="s">
        <v>1424</v>
      </c>
      <c r="B1541" t="s">
        <v>2384</v>
      </c>
      <c r="D1541" t="b">
        <f>IFERROR(VLOOKUP(B1541,PatData!$A$2:$A$2030,1,),"")&lt;&gt;""</f>
        <v>1</v>
      </c>
      <c r="E1541" t="b">
        <v>0</v>
      </c>
      <c r="F1541" t="b">
        <v>0</v>
      </c>
      <c r="G1541" t="b">
        <v>1</v>
      </c>
      <c r="H1541" t="b">
        <v>1</v>
      </c>
      <c r="I1541" t="b">
        <v>0</v>
      </c>
    </row>
    <row r="1542" spans="1:9" x14ac:dyDescent="0.2">
      <c r="A1542" t="s">
        <v>1425</v>
      </c>
      <c r="B1542" t="s">
        <v>2385</v>
      </c>
      <c r="D1542" t="b">
        <f>IFERROR(VLOOKUP(B1542,PatData!$A$2:$A$2030,1,),"")&lt;&gt;""</f>
        <v>1</v>
      </c>
      <c r="E1542" t="b">
        <v>0</v>
      </c>
      <c r="F1542" t="b">
        <v>0</v>
      </c>
      <c r="G1542" t="b">
        <v>1</v>
      </c>
      <c r="H1542" t="b">
        <v>1</v>
      </c>
      <c r="I1542" t="b">
        <v>0</v>
      </c>
    </row>
    <row r="1543" spans="1:9" x14ac:dyDescent="0.2">
      <c r="A1543" t="s">
        <v>1426</v>
      </c>
      <c r="B1543" t="s">
        <v>2386</v>
      </c>
      <c r="D1543" t="b">
        <f>IFERROR(VLOOKUP(B1543,PatData!$A$2:$A$2030,1,),"")&lt;&gt;""</f>
        <v>1</v>
      </c>
      <c r="E1543" t="b">
        <v>0</v>
      </c>
      <c r="F1543" t="b">
        <v>0</v>
      </c>
      <c r="G1543" t="b">
        <v>1</v>
      </c>
      <c r="H1543" t="b">
        <v>1</v>
      </c>
      <c r="I1543" t="b">
        <v>0</v>
      </c>
    </row>
    <row r="1544" spans="1:9" x14ac:dyDescent="0.2">
      <c r="A1544" t="s">
        <v>1427</v>
      </c>
      <c r="B1544" t="s">
        <v>2387</v>
      </c>
      <c r="D1544" t="b">
        <f>IFERROR(VLOOKUP(B1544,PatData!$A$2:$A$2030,1,),"")&lt;&gt;""</f>
        <v>1</v>
      </c>
      <c r="E1544" t="b">
        <v>0</v>
      </c>
      <c r="F1544" t="b">
        <v>0</v>
      </c>
      <c r="G1544" t="b">
        <v>1</v>
      </c>
      <c r="H1544" t="b">
        <v>1</v>
      </c>
      <c r="I1544" t="b">
        <v>0</v>
      </c>
    </row>
    <row r="1545" spans="1:9" x14ac:dyDescent="0.2">
      <c r="A1545" t="s">
        <v>1428</v>
      </c>
      <c r="B1545" t="s">
        <v>2388</v>
      </c>
      <c r="D1545" t="b">
        <f>IFERROR(VLOOKUP(B1545,PatData!$A$2:$A$2030,1,),"")&lt;&gt;""</f>
        <v>1</v>
      </c>
      <c r="E1545" t="b">
        <v>0</v>
      </c>
      <c r="F1545" t="b">
        <v>0</v>
      </c>
      <c r="G1545" t="b">
        <v>1</v>
      </c>
      <c r="H1545" t="b">
        <v>1</v>
      </c>
      <c r="I1545" t="b">
        <v>0</v>
      </c>
    </row>
    <row r="1546" spans="1:9" x14ac:dyDescent="0.2">
      <c r="A1546" t="s">
        <v>1429</v>
      </c>
      <c r="B1546" t="s">
        <v>2389</v>
      </c>
      <c r="D1546" t="b">
        <f>IFERROR(VLOOKUP(B1546,PatData!$A$2:$A$2030,1,),"")&lt;&gt;""</f>
        <v>1</v>
      </c>
      <c r="E1546" t="b">
        <v>0</v>
      </c>
      <c r="F1546" t="b">
        <v>0</v>
      </c>
      <c r="G1546" t="b">
        <v>1</v>
      </c>
      <c r="H1546" t="b">
        <v>1</v>
      </c>
      <c r="I1546" t="b">
        <v>0</v>
      </c>
    </row>
    <row r="1547" spans="1:9" x14ac:dyDescent="0.2">
      <c r="A1547" t="s">
        <v>1430</v>
      </c>
      <c r="B1547" t="s">
        <v>2390</v>
      </c>
      <c r="D1547" t="b">
        <f>IFERROR(VLOOKUP(B1547,PatData!$A$2:$A$2030,1,),"")&lt;&gt;""</f>
        <v>1</v>
      </c>
      <c r="E1547" t="b">
        <v>0</v>
      </c>
      <c r="F1547" t="b">
        <v>0</v>
      </c>
      <c r="G1547" t="b">
        <v>1</v>
      </c>
      <c r="H1547" t="b">
        <v>1</v>
      </c>
      <c r="I1547" t="b">
        <v>0</v>
      </c>
    </row>
    <row r="1548" spans="1:9" x14ac:dyDescent="0.2">
      <c r="A1548" t="s">
        <v>1431</v>
      </c>
      <c r="B1548" t="s">
        <v>2391</v>
      </c>
      <c r="D1548" t="b">
        <f>IFERROR(VLOOKUP(B1548,PatData!$A$2:$A$2030,1,),"")&lt;&gt;""</f>
        <v>1</v>
      </c>
      <c r="E1548" t="b">
        <v>0</v>
      </c>
      <c r="F1548" t="b">
        <v>0</v>
      </c>
      <c r="G1548" t="b">
        <v>1</v>
      </c>
      <c r="H1548" t="b">
        <v>1</v>
      </c>
      <c r="I1548" t="b">
        <v>0</v>
      </c>
    </row>
    <row r="1549" spans="1:9" x14ac:dyDescent="0.2">
      <c r="A1549" t="s">
        <v>1432</v>
      </c>
      <c r="B1549" t="s">
        <v>2392</v>
      </c>
      <c r="D1549" t="b">
        <f>IFERROR(VLOOKUP(B1549,PatData!$A$2:$A$2030,1,),"")&lt;&gt;""</f>
        <v>1</v>
      </c>
      <c r="E1549" t="b">
        <v>0</v>
      </c>
      <c r="F1549" t="b">
        <v>0</v>
      </c>
      <c r="G1549" t="b">
        <v>1</v>
      </c>
      <c r="H1549" t="b">
        <v>1</v>
      </c>
      <c r="I1549" t="b">
        <v>0</v>
      </c>
    </row>
    <row r="1550" spans="1:9" x14ac:dyDescent="0.2">
      <c r="A1550" t="s">
        <v>1434</v>
      </c>
      <c r="B1550" t="s">
        <v>2393</v>
      </c>
      <c r="D1550" t="b">
        <f>IFERROR(VLOOKUP(B1550,PatData!$A$2:$A$2030,1,),"")&lt;&gt;""</f>
        <v>1</v>
      </c>
      <c r="E1550" t="b">
        <v>0</v>
      </c>
      <c r="F1550" t="b">
        <v>0</v>
      </c>
      <c r="G1550" t="b">
        <v>1</v>
      </c>
      <c r="H1550" t="b">
        <v>1</v>
      </c>
      <c r="I1550" t="b">
        <v>0</v>
      </c>
    </row>
    <row r="1551" spans="1:9" x14ac:dyDescent="0.2">
      <c r="A1551" t="s">
        <v>1435</v>
      </c>
      <c r="B1551" t="s">
        <v>2394</v>
      </c>
      <c r="D1551" t="b">
        <f>IFERROR(VLOOKUP(B1551,PatData!$A$2:$A$2030,1,),"")&lt;&gt;""</f>
        <v>1</v>
      </c>
      <c r="E1551" t="b">
        <v>0</v>
      </c>
      <c r="F1551" t="b">
        <v>0</v>
      </c>
      <c r="G1551" t="b">
        <v>1</v>
      </c>
      <c r="H1551" t="b">
        <v>1</v>
      </c>
      <c r="I1551" t="b">
        <v>0</v>
      </c>
    </row>
    <row r="1552" spans="1:9" x14ac:dyDescent="0.2">
      <c r="A1552" t="s">
        <v>1442</v>
      </c>
      <c r="B1552" t="s">
        <v>2395</v>
      </c>
      <c r="D1552" t="b">
        <f>IFERROR(VLOOKUP(B1552,PatData!$A$2:$A$2030,1,),"")&lt;&gt;""</f>
        <v>1</v>
      </c>
      <c r="E1552" t="b">
        <v>0</v>
      </c>
      <c r="F1552" t="b">
        <v>0</v>
      </c>
      <c r="G1552" t="b">
        <v>1</v>
      </c>
      <c r="H1552" t="b">
        <v>1</v>
      </c>
      <c r="I1552" t="b">
        <v>0</v>
      </c>
    </row>
    <row r="1553" spans="1:9" x14ac:dyDescent="0.2">
      <c r="A1553" t="s">
        <v>1453</v>
      </c>
      <c r="B1553" t="s">
        <v>2396</v>
      </c>
      <c r="D1553" t="b">
        <f>IFERROR(VLOOKUP(B1553,PatData!$A$2:$A$2030,1,),"")&lt;&gt;""</f>
        <v>1</v>
      </c>
      <c r="E1553" t="b">
        <v>0</v>
      </c>
      <c r="F1553" t="b">
        <v>0</v>
      </c>
      <c r="G1553" t="b">
        <v>1</v>
      </c>
      <c r="H1553" t="b">
        <v>1</v>
      </c>
      <c r="I1553" t="b">
        <v>0</v>
      </c>
    </row>
    <row r="1554" spans="1:9" x14ac:dyDescent="0.2">
      <c r="A1554" t="s">
        <v>1464</v>
      </c>
      <c r="B1554" t="s">
        <v>2397</v>
      </c>
      <c r="D1554" t="b">
        <f>IFERROR(VLOOKUP(B1554,PatData!$A$2:$A$2030,1,),"")&lt;&gt;""</f>
        <v>1</v>
      </c>
      <c r="E1554" t="b">
        <v>0</v>
      </c>
      <c r="F1554" t="b">
        <v>0</v>
      </c>
      <c r="G1554" t="b">
        <v>1</v>
      </c>
      <c r="H1554" t="b">
        <v>1</v>
      </c>
      <c r="I1554" t="b">
        <v>0</v>
      </c>
    </row>
    <row r="1555" spans="1:9" x14ac:dyDescent="0.2">
      <c r="A1555" t="s">
        <v>1467</v>
      </c>
      <c r="B1555" t="s">
        <v>2398</v>
      </c>
      <c r="D1555" t="b">
        <f>IFERROR(VLOOKUP(B1555,PatData!$A$2:$A$2030,1,),"")&lt;&gt;""</f>
        <v>1</v>
      </c>
      <c r="E1555" t="b">
        <v>0</v>
      </c>
      <c r="F1555" t="b">
        <v>0</v>
      </c>
      <c r="G1555" t="b">
        <v>1</v>
      </c>
      <c r="H1555" t="b">
        <v>1</v>
      </c>
      <c r="I1555" t="b">
        <v>0</v>
      </c>
    </row>
    <row r="1556" spans="1:9" x14ac:dyDescent="0.2">
      <c r="A1556" t="s">
        <v>1468</v>
      </c>
      <c r="B1556" t="s">
        <v>2399</v>
      </c>
      <c r="D1556" t="b">
        <f>IFERROR(VLOOKUP(B1556,PatData!$A$2:$A$2030,1,),"")&lt;&gt;""</f>
        <v>1</v>
      </c>
      <c r="E1556" t="b">
        <v>0</v>
      </c>
      <c r="F1556" t="b">
        <v>0</v>
      </c>
      <c r="G1556" t="b">
        <v>1</v>
      </c>
      <c r="H1556" t="b">
        <v>1</v>
      </c>
      <c r="I1556" t="b">
        <v>0</v>
      </c>
    </row>
    <row r="1557" spans="1:9" x14ac:dyDescent="0.2">
      <c r="A1557" t="s">
        <v>1469</v>
      </c>
      <c r="B1557" t="s">
        <v>2400</v>
      </c>
      <c r="D1557" t="b">
        <f>IFERROR(VLOOKUP(B1557,PatData!$A$2:$A$2030,1,),"")&lt;&gt;""</f>
        <v>1</v>
      </c>
      <c r="E1557" t="b">
        <v>0</v>
      </c>
      <c r="F1557" t="b">
        <v>0</v>
      </c>
      <c r="G1557" t="b">
        <v>1</v>
      </c>
      <c r="H1557" t="b">
        <v>1</v>
      </c>
      <c r="I1557" t="b">
        <v>0</v>
      </c>
    </row>
    <row r="1558" spans="1:9" x14ac:dyDescent="0.2">
      <c r="A1558" t="s">
        <v>1470</v>
      </c>
      <c r="B1558" t="s">
        <v>2401</v>
      </c>
      <c r="D1558" t="b">
        <f>IFERROR(VLOOKUP(B1558,PatData!$A$2:$A$2030,1,),"")&lt;&gt;""</f>
        <v>1</v>
      </c>
      <c r="E1558" t="b">
        <v>0</v>
      </c>
      <c r="F1558" t="b">
        <v>0</v>
      </c>
      <c r="G1558" t="b">
        <v>1</v>
      </c>
      <c r="H1558" t="b">
        <v>1</v>
      </c>
      <c r="I1558" t="b">
        <v>0</v>
      </c>
    </row>
    <row r="1559" spans="1:9" x14ac:dyDescent="0.2">
      <c r="A1559" t="s">
        <v>1471</v>
      </c>
      <c r="B1559" t="s">
        <v>2402</v>
      </c>
      <c r="D1559" t="b">
        <f>IFERROR(VLOOKUP(B1559,PatData!$A$2:$A$2030,1,),"")&lt;&gt;""</f>
        <v>1</v>
      </c>
      <c r="E1559" t="b">
        <v>0</v>
      </c>
      <c r="F1559" t="b">
        <v>0</v>
      </c>
      <c r="G1559" t="b">
        <v>1</v>
      </c>
      <c r="H1559" t="b">
        <v>1</v>
      </c>
      <c r="I1559" t="b">
        <v>0</v>
      </c>
    </row>
    <row r="1560" spans="1:9" x14ac:dyDescent="0.2">
      <c r="A1560" t="s">
        <v>1472</v>
      </c>
      <c r="B1560" t="s">
        <v>2403</v>
      </c>
      <c r="D1560" t="b">
        <f>IFERROR(VLOOKUP(B1560,PatData!$A$2:$A$2030,1,),"")&lt;&gt;""</f>
        <v>1</v>
      </c>
      <c r="E1560" t="b">
        <v>0</v>
      </c>
      <c r="F1560" t="b">
        <v>0</v>
      </c>
      <c r="G1560" t="b">
        <v>1</v>
      </c>
      <c r="H1560" t="b">
        <v>1</v>
      </c>
      <c r="I1560" t="b">
        <v>0</v>
      </c>
    </row>
    <row r="1561" spans="1:9" x14ac:dyDescent="0.2">
      <c r="A1561" t="s">
        <v>1443</v>
      </c>
      <c r="B1561" t="s">
        <v>2404</v>
      </c>
      <c r="D1561" t="b">
        <f>IFERROR(VLOOKUP(B1561,PatData!$A$2:$A$2030,1,),"")&lt;&gt;""</f>
        <v>1</v>
      </c>
      <c r="E1561" t="b">
        <v>0</v>
      </c>
      <c r="F1561" t="b">
        <v>0</v>
      </c>
      <c r="G1561" t="b">
        <v>1</v>
      </c>
      <c r="H1561" t="b">
        <v>1</v>
      </c>
      <c r="I1561" t="b">
        <v>0</v>
      </c>
    </row>
    <row r="1562" spans="1:9" x14ac:dyDescent="0.2">
      <c r="A1562" t="s">
        <v>1444</v>
      </c>
      <c r="B1562" t="s">
        <v>2405</v>
      </c>
      <c r="D1562" t="b">
        <f>IFERROR(VLOOKUP(B1562,PatData!$A$2:$A$2030,1,),"")&lt;&gt;""</f>
        <v>1</v>
      </c>
      <c r="E1562" t="b">
        <v>0</v>
      </c>
      <c r="F1562" t="b">
        <v>0</v>
      </c>
      <c r="G1562" t="b">
        <v>1</v>
      </c>
      <c r="H1562" t="b">
        <v>1</v>
      </c>
      <c r="I1562" t="b">
        <v>0</v>
      </c>
    </row>
    <row r="1563" spans="1:9" x14ac:dyDescent="0.2">
      <c r="A1563" t="s">
        <v>1445</v>
      </c>
      <c r="B1563" t="s">
        <v>2406</v>
      </c>
      <c r="D1563" t="b">
        <f>IFERROR(VLOOKUP(B1563,PatData!$A$2:$A$2030,1,),"")&lt;&gt;""</f>
        <v>1</v>
      </c>
      <c r="E1563" t="b">
        <v>0</v>
      </c>
      <c r="F1563" t="b">
        <v>0</v>
      </c>
      <c r="G1563" t="b">
        <v>1</v>
      </c>
      <c r="H1563" t="b">
        <v>1</v>
      </c>
      <c r="I1563" t="b">
        <v>0</v>
      </c>
    </row>
    <row r="1564" spans="1:9" x14ac:dyDescent="0.2">
      <c r="A1564" t="s">
        <v>1446</v>
      </c>
      <c r="B1564" t="s">
        <v>2407</v>
      </c>
      <c r="D1564" t="b">
        <f>IFERROR(VLOOKUP(B1564,PatData!$A$2:$A$2030,1,),"")&lt;&gt;""</f>
        <v>1</v>
      </c>
      <c r="E1564" t="b">
        <v>0</v>
      </c>
      <c r="F1564" t="b">
        <v>0</v>
      </c>
      <c r="G1564" t="b">
        <v>1</v>
      </c>
      <c r="H1564" t="b">
        <v>1</v>
      </c>
      <c r="I1564" t="b">
        <v>0</v>
      </c>
    </row>
    <row r="1565" spans="1:9" x14ac:dyDescent="0.2">
      <c r="A1565" t="s">
        <v>1447</v>
      </c>
      <c r="B1565" t="s">
        <v>2408</v>
      </c>
      <c r="D1565" t="b">
        <f>IFERROR(VLOOKUP(B1565,PatData!$A$2:$A$2030,1,),"")&lt;&gt;""</f>
        <v>1</v>
      </c>
      <c r="E1565" t="b">
        <v>0</v>
      </c>
      <c r="F1565" t="b">
        <v>0</v>
      </c>
      <c r="G1565" t="b">
        <v>1</v>
      </c>
      <c r="H1565" t="b">
        <v>1</v>
      </c>
      <c r="I1565" t="b">
        <v>0</v>
      </c>
    </row>
    <row r="1566" spans="1:9" x14ac:dyDescent="0.2">
      <c r="A1566" t="s">
        <v>1448</v>
      </c>
      <c r="B1566" t="s">
        <v>2409</v>
      </c>
      <c r="D1566" t="b">
        <f>IFERROR(VLOOKUP(B1566,PatData!$A$2:$A$2030,1,),"")&lt;&gt;""</f>
        <v>1</v>
      </c>
      <c r="E1566" t="b">
        <v>0</v>
      </c>
      <c r="F1566" t="b">
        <v>0</v>
      </c>
      <c r="G1566" t="b">
        <v>1</v>
      </c>
      <c r="H1566" t="b">
        <v>1</v>
      </c>
      <c r="I1566" t="b">
        <v>0</v>
      </c>
    </row>
    <row r="1567" spans="1:9" x14ac:dyDescent="0.2">
      <c r="A1567" t="s">
        <v>1449</v>
      </c>
      <c r="B1567" t="s">
        <v>2410</v>
      </c>
      <c r="D1567" t="b">
        <f>IFERROR(VLOOKUP(B1567,PatData!$A$2:$A$2030,1,),"")&lt;&gt;""</f>
        <v>1</v>
      </c>
      <c r="E1567" t="b">
        <v>0</v>
      </c>
      <c r="F1567" t="b">
        <v>0</v>
      </c>
      <c r="G1567" t="b">
        <v>1</v>
      </c>
      <c r="H1567" t="b">
        <v>1</v>
      </c>
      <c r="I1567" t="b">
        <v>0</v>
      </c>
    </row>
    <row r="1568" spans="1:9" x14ac:dyDescent="0.2">
      <c r="A1568" t="s">
        <v>1450</v>
      </c>
      <c r="B1568" t="s">
        <v>2411</v>
      </c>
      <c r="D1568" t="b">
        <f>IFERROR(VLOOKUP(B1568,PatData!$A$2:$A$2030,1,),"")&lt;&gt;""</f>
        <v>1</v>
      </c>
      <c r="E1568" t="b">
        <v>0</v>
      </c>
      <c r="F1568" t="b">
        <v>0</v>
      </c>
      <c r="G1568" t="b">
        <v>1</v>
      </c>
      <c r="H1568" t="b">
        <v>1</v>
      </c>
      <c r="I1568" t="b">
        <v>0</v>
      </c>
    </row>
    <row r="1569" spans="1:9" x14ac:dyDescent="0.2">
      <c r="A1569" t="s">
        <v>1451</v>
      </c>
      <c r="B1569" t="s">
        <v>2412</v>
      </c>
      <c r="D1569" t="b">
        <f>IFERROR(VLOOKUP(B1569,PatData!$A$2:$A$2030,1,),"")&lt;&gt;""</f>
        <v>1</v>
      </c>
      <c r="E1569" t="b">
        <v>0</v>
      </c>
      <c r="F1569" t="b">
        <v>0</v>
      </c>
      <c r="G1569" t="b">
        <v>1</v>
      </c>
      <c r="H1569" t="b">
        <v>1</v>
      </c>
      <c r="I1569" t="b">
        <v>0</v>
      </c>
    </row>
    <row r="1570" spans="1:9" x14ac:dyDescent="0.2">
      <c r="A1570" t="s">
        <v>1452</v>
      </c>
      <c r="B1570" t="s">
        <v>2413</v>
      </c>
      <c r="D1570" t="b">
        <f>IFERROR(VLOOKUP(B1570,PatData!$A$2:$A$2030,1,),"")&lt;&gt;""</f>
        <v>1</v>
      </c>
      <c r="E1570" t="b">
        <v>0</v>
      </c>
      <c r="F1570" t="b">
        <v>0</v>
      </c>
      <c r="G1570" t="b">
        <v>1</v>
      </c>
      <c r="H1570" t="b">
        <v>1</v>
      </c>
      <c r="I1570" t="b">
        <v>0</v>
      </c>
    </row>
    <row r="1571" spans="1:9" x14ac:dyDescent="0.2">
      <c r="A1571" t="s">
        <v>1454</v>
      </c>
      <c r="B1571" t="s">
        <v>2414</v>
      </c>
      <c r="D1571" t="b">
        <f>IFERROR(VLOOKUP(B1571,PatData!$A$2:$A$2030,1,),"")&lt;&gt;""</f>
        <v>1</v>
      </c>
      <c r="E1571" t="b">
        <v>0</v>
      </c>
      <c r="F1571" t="b">
        <v>0</v>
      </c>
      <c r="G1571" t="b">
        <v>1</v>
      </c>
      <c r="H1571" t="b">
        <v>1</v>
      </c>
      <c r="I1571" t="b">
        <v>0</v>
      </c>
    </row>
    <row r="1572" spans="1:9" x14ac:dyDescent="0.2">
      <c r="A1572" t="s">
        <v>1455</v>
      </c>
      <c r="B1572" t="s">
        <v>2415</v>
      </c>
      <c r="D1572" t="b">
        <f>IFERROR(VLOOKUP(B1572,PatData!$A$2:$A$2030,1,),"")&lt;&gt;""</f>
        <v>1</v>
      </c>
      <c r="E1572" t="b">
        <v>0</v>
      </c>
      <c r="F1572" t="b">
        <v>0</v>
      </c>
      <c r="G1572" t="b">
        <v>1</v>
      </c>
      <c r="H1572" t="b">
        <v>1</v>
      </c>
      <c r="I1572" t="b">
        <v>0</v>
      </c>
    </row>
    <row r="1573" spans="1:9" x14ac:dyDescent="0.2">
      <c r="A1573" t="s">
        <v>1456</v>
      </c>
      <c r="B1573" t="s">
        <v>2416</v>
      </c>
      <c r="D1573" t="b">
        <f>IFERROR(VLOOKUP(B1573,PatData!$A$2:$A$2030,1,),"")&lt;&gt;""</f>
        <v>1</v>
      </c>
      <c r="E1573" t="b">
        <v>0</v>
      </c>
      <c r="F1573" t="b">
        <v>0</v>
      </c>
      <c r="G1573" t="b">
        <v>1</v>
      </c>
      <c r="H1573" t="b">
        <v>1</v>
      </c>
      <c r="I1573" t="b">
        <v>0</v>
      </c>
    </row>
    <row r="1574" spans="1:9" x14ac:dyDescent="0.2">
      <c r="A1574" t="s">
        <v>1457</v>
      </c>
      <c r="B1574" t="s">
        <v>2417</v>
      </c>
      <c r="D1574" t="b">
        <f>IFERROR(VLOOKUP(B1574,PatData!$A$2:$A$2030,1,),"")&lt;&gt;""</f>
        <v>1</v>
      </c>
      <c r="E1574" t="b">
        <v>0</v>
      </c>
      <c r="F1574" t="b">
        <v>0</v>
      </c>
      <c r="G1574" t="b">
        <v>1</v>
      </c>
      <c r="H1574" t="b">
        <v>1</v>
      </c>
      <c r="I1574" t="b">
        <v>0</v>
      </c>
    </row>
    <row r="1575" spans="1:9" x14ac:dyDescent="0.2">
      <c r="A1575" t="s">
        <v>1458</v>
      </c>
      <c r="B1575" t="s">
        <v>2418</v>
      </c>
      <c r="D1575" t="b">
        <f>IFERROR(VLOOKUP(B1575,PatData!$A$2:$A$2030,1,),"")&lt;&gt;""</f>
        <v>1</v>
      </c>
      <c r="E1575" t="b">
        <v>0</v>
      </c>
      <c r="F1575" t="b">
        <v>0</v>
      </c>
      <c r="G1575" t="b">
        <v>1</v>
      </c>
      <c r="H1575" t="b">
        <v>1</v>
      </c>
      <c r="I1575" t="b">
        <v>0</v>
      </c>
    </row>
    <row r="1576" spans="1:9" x14ac:dyDescent="0.2">
      <c r="A1576" t="s">
        <v>1459</v>
      </c>
      <c r="B1576" t="s">
        <v>2419</v>
      </c>
      <c r="D1576" t="b">
        <f>IFERROR(VLOOKUP(B1576,PatData!$A$2:$A$2030,1,),"")&lt;&gt;""</f>
        <v>1</v>
      </c>
      <c r="E1576" t="b">
        <v>0</v>
      </c>
      <c r="F1576" t="b">
        <v>0</v>
      </c>
      <c r="G1576" t="b">
        <v>1</v>
      </c>
      <c r="H1576" t="b">
        <v>1</v>
      </c>
      <c r="I1576" t="b">
        <v>0</v>
      </c>
    </row>
    <row r="1577" spans="1:9" x14ac:dyDescent="0.2">
      <c r="A1577" t="s">
        <v>1460</v>
      </c>
      <c r="B1577" t="s">
        <v>2420</v>
      </c>
      <c r="D1577" t="b">
        <f>IFERROR(VLOOKUP(B1577,PatData!$A$2:$A$2030,1,),"")&lt;&gt;""</f>
        <v>1</v>
      </c>
      <c r="E1577" t="b">
        <v>0</v>
      </c>
      <c r="F1577" t="b">
        <v>0</v>
      </c>
      <c r="G1577" t="b">
        <v>1</v>
      </c>
      <c r="H1577" t="b">
        <v>1</v>
      </c>
      <c r="I1577" t="b">
        <v>0</v>
      </c>
    </row>
    <row r="1578" spans="1:9" x14ac:dyDescent="0.2">
      <c r="A1578" t="s">
        <v>1461</v>
      </c>
      <c r="B1578" t="s">
        <v>2421</v>
      </c>
      <c r="D1578" t="b">
        <f>IFERROR(VLOOKUP(B1578,PatData!$A$2:$A$2030,1,),"")&lt;&gt;""</f>
        <v>1</v>
      </c>
      <c r="E1578" t="b">
        <v>0</v>
      </c>
      <c r="F1578" t="b">
        <v>0</v>
      </c>
      <c r="G1578" t="b">
        <v>1</v>
      </c>
      <c r="H1578" t="b">
        <v>1</v>
      </c>
      <c r="I1578" t="b">
        <v>0</v>
      </c>
    </row>
    <row r="1579" spans="1:9" x14ac:dyDescent="0.2">
      <c r="A1579" t="s">
        <v>1462</v>
      </c>
      <c r="B1579" t="s">
        <v>2422</v>
      </c>
      <c r="D1579" t="b">
        <f>IFERROR(VLOOKUP(B1579,PatData!$A$2:$A$2030,1,),"")&lt;&gt;""</f>
        <v>1</v>
      </c>
      <c r="E1579" t="b">
        <v>0</v>
      </c>
      <c r="F1579" t="b">
        <v>0</v>
      </c>
      <c r="G1579" t="b">
        <v>1</v>
      </c>
      <c r="H1579" t="b">
        <v>1</v>
      </c>
      <c r="I1579" t="b">
        <v>0</v>
      </c>
    </row>
    <row r="1580" spans="1:9" x14ac:dyDescent="0.2">
      <c r="A1580" t="s">
        <v>1463</v>
      </c>
      <c r="B1580" t="s">
        <v>2423</v>
      </c>
      <c r="D1580" t="b">
        <f>IFERROR(VLOOKUP(B1580,PatData!$A$2:$A$2030,1,),"")&lt;&gt;""</f>
        <v>1</v>
      </c>
      <c r="E1580" t="b">
        <v>0</v>
      </c>
      <c r="F1580" t="b">
        <v>0</v>
      </c>
      <c r="G1580" t="b">
        <v>1</v>
      </c>
      <c r="H1580" t="b">
        <v>1</v>
      </c>
      <c r="I1580" t="b">
        <v>0</v>
      </c>
    </row>
    <row r="1581" spans="1:9" x14ac:dyDescent="0.2">
      <c r="A1581" t="s">
        <v>1465</v>
      </c>
      <c r="B1581" t="s">
        <v>2424</v>
      </c>
      <c r="D1581" t="b">
        <f>IFERROR(VLOOKUP(B1581,PatData!$A$2:$A$2030,1,),"")&lt;&gt;""</f>
        <v>1</v>
      </c>
      <c r="E1581" t="b">
        <v>0</v>
      </c>
      <c r="F1581" t="b">
        <v>0</v>
      </c>
      <c r="G1581" t="b">
        <v>1</v>
      </c>
      <c r="H1581" t="b">
        <v>1</v>
      </c>
      <c r="I1581" t="b">
        <v>0</v>
      </c>
    </row>
    <row r="1582" spans="1:9" x14ac:dyDescent="0.2">
      <c r="A1582" t="s">
        <v>1466</v>
      </c>
      <c r="B1582" t="s">
        <v>2425</v>
      </c>
      <c r="D1582" t="b">
        <f>IFERROR(VLOOKUP(B1582,PatData!$A$2:$A$2030,1,),"")&lt;&gt;""</f>
        <v>1</v>
      </c>
      <c r="E1582" t="b">
        <v>0</v>
      </c>
      <c r="F1582" t="b">
        <v>0</v>
      </c>
      <c r="G1582" t="b">
        <v>1</v>
      </c>
      <c r="H1582" t="b">
        <v>1</v>
      </c>
      <c r="I1582" t="b">
        <v>0</v>
      </c>
    </row>
    <row r="1583" spans="1:9" x14ac:dyDescent="0.2">
      <c r="A1583" t="s">
        <v>1473</v>
      </c>
      <c r="B1583" t="s">
        <v>2426</v>
      </c>
      <c r="D1583" t="b">
        <f>IFERROR(VLOOKUP(B1583,PatData!$A$2:$A$2030,1,),"")&lt;&gt;""</f>
        <v>1</v>
      </c>
      <c r="E1583"/>
      <c r="F1583" t="b">
        <v>0</v>
      </c>
      <c r="G1583" t="b">
        <v>1</v>
      </c>
      <c r="H1583" t="b">
        <v>1</v>
      </c>
      <c r="I1583" t="b">
        <v>0</v>
      </c>
    </row>
    <row r="1584" spans="1:9" x14ac:dyDescent="0.2">
      <c r="A1584" t="s">
        <v>1474</v>
      </c>
      <c r="B1584" t="s">
        <v>2427</v>
      </c>
      <c r="D1584" t="b">
        <f>IFERROR(VLOOKUP(B1584,PatData!$A$2:$A$2030,1,),"")&lt;&gt;""</f>
        <v>1</v>
      </c>
      <c r="E1584" t="b">
        <v>0</v>
      </c>
      <c r="F1584" t="b">
        <v>0</v>
      </c>
      <c r="G1584" t="b">
        <v>1</v>
      </c>
      <c r="H1584" t="b">
        <v>1</v>
      </c>
      <c r="I1584" t="b">
        <v>0</v>
      </c>
    </row>
    <row r="1585" spans="1:9" x14ac:dyDescent="0.2">
      <c r="A1585" t="s">
        <v>1485</v>
      </c>
      <c r="B1585" t="s">
        <v>2428</v>
      </c>
      <c r="D1585" t="b">
        <f>IFERROR(VLOOKUP(B1585,PatData!$A$2:$A$2030,1,),"")&lt;&gt;""</f>
        <v>1</v>
      </c>
      <c r="E1585" t="b">
        <v>0</v>
      </c>
      <c r="F1585" t="b">
        <v>0</v>
      </c>
      <c r="G1585" t="b">
        <v>1</v>
      </c>
      <c r="H1585" t="b">
        <v>1</v>
      </c>
      <c r="I1585" t="b">
        <v>0</v>
      </c>
    </row>
    <row r="1586" spans="1:9" x14ac:dyDescent="0.2">
      <c r="A1586" t="s">
        <v>1496</v>
      </c>
      <c r="B1586" t="s">
        <v>2429</v>
      </c>
      <c r="D1586" t="b">
        <f>IFERROR(VLOOKUP(B1586,PatData!$A$2:$A$2030,1,),"")&lt;&gt;""</f>
        <v>1</v>
      </c>
      <c r="E1586" t="b">
        <v>0</v>
      </c>
      <c r="F1586" t="b">
        <v>0</v>
      </c>
      <c r="G1586" t="b">
        <v>1</v>
      </c>
      <c r="H1586" t="b">
        <v>1</v>
      </c>
      <c r="I1586" t="b">
        <v>0</v>
      </c>
    </row>
    <row r="1587" spans="1:9" x14ac:dyDescent="0.2">
      <c r="A1587" t="s">
        <v>1500</v>
      </c>
      <c r="B1587" t="s">
        <v>2430</v>
      </c>
      <c r="D1587" t="b">
        <f>IFERROR(VLOOKUP(B1587,PatData!$A$2:$A$2030,1,),"")&lt;&gt;""</f>
        <v>1</v>
      </c>
      <c r="E1587" t="b">
        <v>0</v>
      </c>
      <c r="F1587" t="b">
        <v>0</v>
      </c>
      <c r="G1587" t="b">
        <v>1</v>
      </c>
      <c r="H1587" t="b">
        <v>1</v>
      </c>
      <c r="I1587" t="b">
        <v>0</v>
      </c>
    </row>
    <row r="1588" spans="1:9" x14ac:dyDescent="0.2">
      <c r="A1588" t="s">
        <v>1501</v>
      </c>
      <c r="B1588" t="s">
        <v>2431</v>
      </c>
      <c r="D1588" t="b">
        <f>IFERROR(VLOOKUP(B1588,PatData!$A$2:$A$2030,1,),"")&lt;&gt;""</f>
        <v>1</v>
      </c>
      <c r="E1588" t="b">
        <v>0</v>
      </c>
      <c r="F1588" t="b">
        <v>0</v>
      </c>
      <c r="G1588" t="b">
        <v>1</v>
      </c>
      <c r="H1588" t="b">
        <v>1</v>
      </c>
      <c r="I1588" t="b">
        <v>0</v>
      </c>
    </row>
    <row r="1589" spans="1:9" x14ac:dyDescent="0.2">
      <c r="A1589" t="s">
        <v>1502</v>
      </c>
      <c r="B1589" t="s">
        <v>2432</v>
      </c>
      <c r="D1589" t="b">
        <f>IFERROR(VLOOKUP(B1589,PatData!$A$2:$A$2030,1,),"")&lt;&gt;""</f>
        <v>1</v>
      </c>
      <c r="E1589" t="b">
        <v>0</v>
      </c>
      <c r="F1589" t="b">
        <v>0</v>
      </c>
      <c r="G1589" t="b">
        <v>1</v>
      </c>
      <c r="H1589" t="b">
        <v>1</v>
      </c>
      <c r="I1589" t="b">
        <v>0</v>
      </c>
    </row>
    <row r="1590" spans="1:9" x14ac:dyDescent="0.2">
      <c r="A1590" t="s">
        <v>1503</v>
      </c>
      <c r="B1590" t="s">
        <v>2433</v>
      </c>
      <c r="D1590" t="b">
        <f>IFERROR(VLOOKUP(B1590,PatData!$A$2:$A$2030,1,),"")&lt;&gt;""</f>
        <v>1</v>
      </c>
      <c r="E1590" t="b">
        <v>0</v>
      </c>
      <c r="F1590" t="b">
        <v>0</v>
      </c>
      <c r="G1590" t="b">
        <v>1</v>
      </c>
      <c r="H1590" t="b">
        <v>1</v>
      </c>
      <c r="I1590" t="b">
        <v>0</v>
      </c>
    </row>
    <row r="1591" spans="1:9" x14ac:dyDescent="0.2">
      <c r="A1591" t="s">
        <v>1504</v>
      </c>
      <c r="B1591" t="s">
        <v>2434</v>
      </c>
      <c r="D1591" t="b">
        <f>IFERROR(VLOOKUP(B1591,PatData!$A$2:$A$2030,1,),"")&lt;&gt;""</f>
        <v>1</v>
      </c>
      <c r="E1591" t="b">
        <v>0</v>
      </c>
      <c r="F1591" t="b">
        <v>0</v>
      </c>
      <c r="G1591" t="b">
        <v>1</v>
      </c>
      <c r="H1591" t="b">
        <v>1</v>
      </c>
      <c r="I1591" t="b">
        <v>0</v>
      </c>
    </row>
    <row r="1592" spans="1:9" x14ac:dyDescent="0.2">
      <c r="A1592" t="s">
        <v>1505</v>
      </c>
      <c r="B1592" t="s">
        <v>2435</v>
      </c>
      <c r="D1592" t="b">
        <f>IFERROR(VLOOKUP(B1592,PatData!$A$2:$A$2030,1,),"")&lt;&gt;""</f>
        <v>1</v>
      </c>
      <c r="E1592" t="b">
        <v>0</v>
      </c>
      <c r="F1592" t="b">
        <v>0</v>
      </c>
      <c r="G1592" t="b">
        <v>1</v>
      </c>
      <c r="H1592" t="b">
        <v>1</v>
      </c>
      <c r="I1592" t="b">
        <v>0</v>
      </c>
    </row>
    <row r="1593" spans="1:9" x14ac:dyDescent="0.2">
      <c r="A1593" t="s">
        <v>1475</v>
      </c>
      <c r="B1593" t="s">
        <v>2436</v>
      </c>
      <c r="D1593" t="b">
        <f>IFERROR(VLOOKUP(B1593,PatData!$A$2:$A$2030,1,),"")&lt;&gt;""</f>
        <v>1</v>
      </c>
      <c r="E1593" t="b">
        <v>0</v>
      </c>
      <c r="F1593" t="b">
        <v>0</v>
      </c>
      <c r="G1593" t="b">
        <v>1</v>
      </c>
      <c r="H1593" t="b">
        <v>1</v>
      </c>
      <c r="I1593" t="b">
        <v>0</v>
      </c>
    </row>
    <row r="1594" spans="1:9" x14ac:dyDescent="0.2">
      <c r="A1594" t="s">
        <v>1476</v>
      </c>
      <c r="B1594" t="s">
        <v>2437</v>
      </c>
      <c r="D1594" t="b">
        <f>IFERROR(VLOOKUP(B1594,PatData!$A$2:$A$2030,1,),"")&lt;&gt;""</f>
        <v>1</v>
      </c>
      <c r="E1594" t="b">
        <v>0</v>
      </c>
      <c r="F1594" t="b">
        <v>0</v>
      </c>
      <c r="G1594" t="b">
        <v>1</v>
      </c>
      <c r="H1594" t="b">
        <v>1</v>
      </c>
      <c r="I1594" t="b">
        <v>0</v>
      </c>
    </row>
    <row r="1595" spans="1:9" x14ac:dyDescent="0.2">
      <c r="A1595" t="s">
        <v>1477</v>
      </c>
      <c r="B1595" t="s">
        <v>2438</v>
      </c>
      <c r="D1595" t="b">
        <f>IFERROR(VLOOKUP(B1595,PatData!$A$2:$A$2030,1,),"")&lt;&gt;""</f>
        <v>1</v>
      </c>
      <c r="E1595" t="b">
        <v>0</v>
      </c>
      <c r="F1595" t="b">
        <v>0</v>
      </c>
      <c r="G1595" t="b">
        <v>1</v>
      </c>
      <c r="H1595" t="b">
        <v>1</v>
      </c>
      <c r="I1595" t="b">
        <v>0</v>
      </c>
    </row>
    <row r="1596" spans="1:9" x14ac:dyDescent="0.2">
      <c r="A1596" t="s">
        <v>1478</v>
      </c>
      <c r="B1596" t="s">
        <v>2439</v>
      </c>
      <c r="D1596" t="b">
        <f>IFERROR(VLOOKUP(B1596,PatData!$A$2:$A$2030,1,),"")&lt;&gt;""</f>
        <v>1</v>
      </c>
      <c r="E1596" t="b">
        <v>0</v>
      </c>
      <c r="F1596" t="b">
        <v>0</v>
      </c>
      <c r="G1596" t="b">
        <v>1</v>
      </c>
      <c r="H1596" t="b">
        <v>1</v>
      </c>
      <c r="I1596" t="b">
        <v>0</v>
      </c>
    </row>
    <row r="1597" spans="1:9" x14ac:dyDescent="0.2">
      <c r="A1597" t="s">
        <v>1479</v>
      </c>
      <c r="B1597" t="s">
        <v>2440</v>
      </c>
      <c r="D1597" t="b">
        <f>IFERROR(VLOOKUP(B1597,PatData!$A$2:$A$2030,1,),"")&lt;&gt;""</f>
        <v>1</v>
      </c>
      <c r="E1597" t="b">
        <v>0</v>
      </c>
      <c r="F1597" t="b">
        <v>0</v>
      </c>
      <c r="G1597" t="b">
        <v>1</v>
      </c>
      <c r="H1597" t="b">
        <v>1</v>
      </c>
      <c r="I1597" t="b">
        <v>0</v>
      </c>
    </row>
    <row r="1598" spans="1:9" x14ac:dyDescent="0.2">
      <c r="A1598" t="s">
        <v>1480</v>
      </c>
      <c r="B1598" t="s">
        <v>2441</v>
      </c>
      <c r="D1598" t="b">
        <f>IFERROR(VLOOKUP(B1598,PatData!$A$2:$A$2030,1,),"")&lt;&gt;""</f>
        <v>1</v>
      </c>
      <c r="E1598" t="b">
        <v>0</v>
      </c>
      <c r="F1598" t="b">
        <v>0</v>
      </c>
      <c r="G1598" t="b">
        <v>1</v>
      </c>
      <c r="H1598" t="b">
        <v>1</v>
      </c>
      <c r="I1598" t="b">
        <v>0</v>
      </c>
    </row>
    <row r="1599" spans="1:9" x14ac:dyDescent="0.2">
      <c r="A1599" t="s">
        <v>1481</v>
      </c>
      <c r="B1599" t="s">
        <v>2442</v>
      </c>
      <c r="D1599" t="b">
        <f>IFERROR(VLOOKUP(B1599,PatData!$A$2:$A$2030,1,),"")&lt;&gt;""</f>
        <v>1</v>
      </c>
      <c r="E1599" t="b">
        <v>0</v>
      </c>
      <c r="F1599" t="b">
        <v>0</v>
      </c>
      <c r="G1599" t="b">
        <v>1</v>
      </c>
      <c r="H1599" t="b">
        <v>1</v>
      </c>
      <c r="I1599" t="b">
        <v>0</v>
      </c>
    </row>
    <row r="1600" spans="1:9" x14ac:dyDescent="0.2">
      <c r="A1600" t="s">
        <v>1482</v>
      </c>
      <c r="B1600" t="s">
        <v>2443</v>
      </c>
      <c r="D1600" t="b">
        <f>IFERROR(VLOOKUP(B1600,PatData!$A$2:$A$2030,1,),"")&lt;&gt;""</f>
        <v>1</v>
      </c>
      <c r="E1600" t="b">
        <v>0</v>
      </c>
      <c r="F1600" t="b">
        <v>0</v>
      </c>
      <c r="G1600" t="b">
        <v>1</v>
      </c>
      <c r="H1600" t="b">
        <v>1</v>
      </c>
      <c r="I1600" t="b">
        <v>0</v>
      </c>
    </row>
    <row r="1601" spans="1:9" x14ac:dyDescent="0.2">
      <c r="A1601" t="s">
        <v>1483</v>
      </c>
      <c r="B1601" t="s">
        <v>2444</v>
      </c>
      <c r="D1601" t="b">
        <f>IFERROR(VLOOKUP(B1601,PatData!$A$2:$A$2030,1,),"")&lt;&gt;""</f>
        <v>1</v>
      </c>
      <c r="E1601" t="b">
        <v>0</v>
      </c>
      <c r="F1601" t="b">
        <v>0</v>
      </c>
      <c r="G1601" t="b">
        <v>1</v>
      </c>
      <c r="H1601" t="b">
        <v>1</v>
      </c>
      <c r="I1601" t="b">
        <v>0</v>
      </c>
    </row>
    <row r="1602" spans="1:9" x14ac:dyDescent="0.2">
      <c r="A1602" t="s">
        <v>1484</v>
      </c>
      <c r="B1602" t="s">
        <v>2445</v>
      </c>
      <c r="D1602" t="b">
        <f>IFERROR(VLOOKUP(B1602,PatData!$A$2:$A$2030,1,),"")&lt;&gt;""</f>
        <v>1</v>
      </c>
      <c r="E1602" t="b">
        <v>0</v>
      </c>
      <c r="F1602" t="b">
        <v>0</v>
      </c>
      <c r="G1602" t="b">
        <v>1</v>
      </c>
      <c r="H1602" t="b">
        <v>1</v>
      </c>
      <c r="I1602" t="b">
        <v>0</v>
      </c>
    </row>
    <row r="1603" spans="1:9" x14ac:dyDescent="0.2">
      <c r="A1603" t="s">
        <v>1486</v>
      </c>
      <c r="B1603" t="s">
        <v>2446</v>
      </c>
      <c r="D1603" t="b">
        <f>IFERROR(VLOOKUP(B1603,PatData!$A$2:$A$2030,1,),"")&lt;&gt;""</f>
        <v>1</v>
      </c>
      <c r="E1603" t="b">
        <v>0</v>
      </c>
      <c r="F1603" t="b">
        <v>0</v>
      </c>
      <c r="G1603" t="b">
        <v>1</v>
      </c>
      <c r="H1603" t="b">
        <v>1</v>
      </c>
      <c r="I1603" t="b">
        <v>0</v>
      </c>
    </row>
    <row r="1604" spans="1:9" x14ac:dyDescent="0.2">
      <c r="A1604" t="s">
        <v>1487</v>
      </c>
      <c r="B1604" t="s">
        <v>2447</v>
      </c>
      <c r="D1604" t="b">
        <f>IFERROR(VLOOKUP(B1604,PatData!$A$2:$A$2030,1,),"")&lt;&gt;""</f>
        <v>1</v>
      </c>
      <c r="E1604" t="b">
        <v>0</v>
      </c>
      <c r="F1604" t="b">
        <v>0</v>
      </c>
      <c r="G1604" t="b">
        <v>1</v>
      </c>
      <c r="H1604" t="b">
        <v>1</v>
      </c>
      <c r="I1604" t="b">
        <v>0</v>
      </c>
    </row>
    <row r="1605" spans="1:9" x14ac:dyDescent="0.2">
      <c r="A1605" t="s">
        <v>1488</v>
      </c>
      <c r="B1605" t="s">
        <v>2448</v>
      </c>
      <c r="D1605" t="b">
        <f>IFERROR(VLOOKUP(B1605,PatData!$A$2:$A$2030,1,),"")&lt;&gt;""</f>
        <v>1</v>
      </c>
      <c r="E1605" t="b">
        <v>0</v>
      </c>
      <c r="F1605" t="b">
        <v>0</v>
      </c>
      <c r="G1605" t="b">
        <v>1</v>
      </c>
      <c r="H1605" t="b">
        <v>1</v>
      </c>
      <c r="I1605" t="b">
        <v>0</v>
      </c>
    </row>
    <row r="1606" spans="1:9" x14ac:dyDescent="0.2">
      <c r="A1606" t="s">
        <v>1489</v>
      </c>
      <c r="B1606" t="s">
        <v>2449</v>
      </c>
      <c r="D1606" t="b">
        <f>IFERROR(VLOOKUP(B1606,PatData!$A$2:$A$2030,1,),"")&lt;&gt;""</f>
        <v>1</v>
      </c>
      <c r="E1606" t="b">
        <v>0</v>
      </c>
      <c r="F1606" t="b">
        <v>0</v>
      </c>
      <c r="G1606" t="b">
        <v>1</v>
      </c>
      <c r="H1606" t="b">
        <v>1</v>
      </c>
      <c r="I1606" t="b">
        <v>0</v>
      </c>
    </row>
    <row r="1607" spans="1:9" x14ac:dyDescent="0.2">
      <c r="A1607" t="s">
        <v>1490</v>
      </c>
      <c r="B1607" t="s">
        <v>2450</v>
      </c>
      <c r="D1607" t="b">
        <f>IFERROR(VLOOKUP(B1607,PatData!$A$2:$A$2030,1,),"")&lt;&gt;""</f>
        <v>1</v>
      </c>
      <c r="E1607" t="b">
        <v>0</v>
      </c>
      <c r="F1607" t="b">
        <v>0</v>
      </c>
      <c r="G1607" t="b">
        <v>1</v>
      </c>
      <c r="H1607" t="b">
        <v>1</v>
      </c>
      <c r="I1607" t="b">
        <v>0</v>
      </c>
    </row>
    <row r="1608" spans="1:9" x14ac:dyDescent="0.2">
      <c r="A1608" t="s">
        <v>1491</v>
      </c>
      <c r="B1608" t="s">
        <v>2451</v>
      </c>
      <c r="D1608" t="b">
        <f>IFERROR(VLOOKUP(B1608,PatData!$A$2:$A$2030,1,),"")&lt;&gt;""</f>
        <v>1</v>
      </c>
      <c r="E1608" t="b">
        <v>0</v>
      </c>
      <c r="F1608" t="b">
        <v>0</v>
      </c>
      <c r="G1608" t="b">
        <v>1</v>
      </c>
      <c r="H1608" t="b">
        <v>1</v>
      </c>
      <c r="I1608" t="b">
        <v>0</v>
      </c>
    </row>
    <row r="1609" spans="1:9" x14ac:dyDescent="0.2">
      <c r="A1609" t="s">
        <v>1492</v>
      </c>
      <c r="B1609" t="s">
        <v>2452</v>
      </c>
      <c r="D1609" t="b">
        <f>IFERROR(VLOOKUP(B1609,PatData!$A$2:$A$2030,1,),"")&lt;&gt;""</f>
        <v>1</v>
      </c>
      <c r="E1609" t="b">
        <v>0</v>
      </c>
      <c r="F1609" t="b">
        <v>0</v>
      </c>
      <c r="G1609" t="b">
        <v>1</v>
      </c>
      <c r="H1609" t="b">
        <v>1</v>
      </c>
      <c r="I1609" t="b">
        <v>0</v>
      </c>
    </row>
    <row r="1610" spans="1:9" x14ac:dyDescent="0.2">
      <c r="A1610" t="s">
        <v>1493</v>
      </c>
      <c r="B1610" t="s">
        <v>2453</v>
      </c>
      <c r="D1610" t="b">
        <f>IFERROR(VLOOKUP(B1610,PatData!$A$2:$A$2030,1,),"")&lt;&gt;""</f>
        <v>1</v>
      </c>
      <c r="E1610" t="b">
        <v>0</v>
      </c>
      <c r="F1610" t="b">
        <v>0</v>
      </c>
      <c r="G1610" t="b">
        <v>1</v>
      </c>
      <c r="H1610" t="b">
        <v>1</v>
      </c>
      <c r="I1610" t="b">
        <v>0</v>
      </c>
    </row>
    <row r="1611" spans="1:9" x14ac:dyDescent="0.2">
      <c r="A1611" t="s">
        <v>1494</v>
      </c>
      <c r="B1611" t="s">
        <v>2454</v>
      </c>
      <c r="D1611" t="b">
        <f>IFERROR(VLOOKUP(B1611,PatData!$A$2:$A$2030,1,),"")&lt;&gt;""</f>
        <v>1</v>
      </c>
      <c r="E1611" t="b">
        <v>0</v>
      </c>
      <c r="F1611" t="b">
        <v>0</v>
      </c>
      <c r="G1611" t="b">
        <v>1</v>
      </c>
      <c r="H1611" t="b">
        <v>1</v>
      </c>
      <c r="I1611" t="b">
        <v>0</v>
      </c>
    </row>
    <row r="1612" spans="1:9" x14ac:dyDescent="0.2">
      <c r="A1612" t="s">
        <v>1495</v>
      </c>
      <c r="B1612" t="s">
        <v>2455</v>
      </c>
      <c r="D1612" t="b">
        <f>IFERROR(VLOOKUP(B1612,PatData!$A$2:$A$2030,1,),"")&lt;&gt;""</f>
        <v>1</v>
      </c>
      <c r="E1612" t="b">
        <v>0</v>
      </c>
      <c r="F1612" t="b">
        <v>0</v>
      </c>
      <c r="G1612" t="b">
        <v>1</v>
      </c>
      <c r="H1612" t="b">
        <v>1</v>
      </c>
      <c r="I1612" t="b">
        <v>0</v>
      </c>
    </row>
    <row r="1613" spans="1:9" x14ac:dyDescent="0.2">
      <c r="A1613" t="s">
        <v>1497</v>
      </c>
      <c r="B1613" t="s">
        <v>2456</v>
      </c>
      <c r="D1613" t="b">
        <f>IFERROR(VLOOKUP(B1613,PatData!$A$2:$A$2030,1,),"")&lt;&gt;""</f>
        <v>1</v>
      </c>
      <c r="E1613" t="b">
        <v>0</v>
      </c>
      <c r="F1613" t="b">
        <v>0</v>
      </c>
      <c r="G1613" t="b">
        <v>1</v>
      </c>
      <c r="H1613" t="b">
        <v>1</v>
      </c>
      <c r="I1613" t="b">
        <v>0</v>
      </c>
    </row>
    <row r="1614" spans="1:9" x14ac:dyDescent="0.2">
      <c r="A1614" t="s">
        <v>1498</v>
      </c>
      <c r="B1614" t="s">
        <v>2457</v>
      </c>
      <c r="D1614" t="b">
        <f>IFERROR(VLOOKUP(B1614,PatData!$A$2:$A$2030,1,),"")&lt;&gt;""</f>
        <v>1</v>
      </c>
      <c r="E1614" t="b">
        <v>0</v>
      </c>
      <c r="F1614" t="b">
        <v>0</v>
      </c>
      <c r="G1614" t="b">
        <v>1</v>
      </c>
      <c r="H1614" t="b">
        <v>1</v>
      </c>
      <c r="I1614" t="b">
        <v>0</v>
      </c>
    </row>
    <row r="1615" spans="1:9" x14ac:dyDescent="0.2">
      <c r="A1615" t="s">
        <v>1499</v>
      </c>
      <c r="B1615" t="s">
        <v>2458</v>
      </c>
      <c r="D1615" t="b">
        <f>IFERROR(VLOOKUP(B1615,PatData!$A$2:$A$2030,1,),"")&lt;&gt;""</f>
        <v>1</v>
      </c>
      <c r="E1615" t="b">
        <v>0</v>
      </c>
      <c r="F1615" t="b">
        <v>0</v>
      </c>
      <c r="G1615" t="b">
        <v>1</v>
      </c>
      <c r="H1615" t="b">
        <v>1</v>
      </c>
      <c r="I1615" t="b">
        <v>0</v>
      </c>
    </row>
    <row r="1616" spans="1:9" x14ac:dyDescent="0.2">
      <c r="A1616" t="s">
        <v>3171</v>
      </c>
      <c r="B1616" t="s">
        <v>3168</v>
      </c>
      <c r="D1616" t="b">
        <f>IFERROR(VLOOKUP(B1616,PatData!$A$2:$A$2030,1,),"")&lt;&gt;""</f>
        <v>1</v>
      </c>
      <c r="E1616">
        <v>0</v>
      </c>
      <c r="F1616" t="b">
        <v>0</v>
      </c>
      <c r="G1616" t="b">
        <v>1</v>
      </c>
      <c r="H1616" t="b">
        <v>0</v>
      </c>
      <c r="I1616" t="b">
        <v>0</v>
      </c>
    </row>
    <row r="1617" spans="1:9" x14ac:dyDescent="0.2">
      <c r="A1617" t="s">
        <v>3167</v>
      </c>
      <c r="B1617" t="s">
        <v>5168</v>
      </c>
      <c r="D1617" t="b">
        <f>IFERROR(VLOOKUP(B1617,PatData!$A$2:$A$2030,1,),"")&lt;&gt;""</f>
        <v>1</v>
      </c>
      <c r="E1617" t="s">
        <v>7674</v>
      </c>
      <c r="F1617" t="b">
        <v>0</v>
      </c>
      <c r="G1617" t="b">
        <v>1</v>
      </c>
      <c r="H1617" t="b">
        <v>0</v>
      </c>
      <c r="I1617" t="b">
        <v>0</v>
      </c>
    </row>
    <row r="1618" spans="1:9" x14ac:dyDescent="0.2">
      <c r="A1618" t="s">
        <v>3423</v>
      </c>
      <c r="B1618" t="s">
        <v>4120</v>
      </c>
      <c r="D1618" t="b">
        <f>IFERROR(VLOOKUP(B1618,PatData!$A$2:$A$2030,1,),"")&lt;&gt;""</f>
        <v>1</v>
      </c>
      <c r="E1618">
        <v>0</v>
      </c>
      <c r="F1618" t="b">
        <v>0</v>
      </c>
      <c r="G1618" t="b">
        <v>1</v>
      </c>
      <c r="H1618" t="b">
        <v>0</v>
      </c>
      <c r="I1618" t="b">
        <v>0</v>
      </c>
    </row>
    <row r="1619" spans="1:9" x14ac:dyDescent="0.2">
      <c r="A1619" t="s">
        <v>5169</v>
      </c>
      <c r="B1619" t="s">
        <v>4121</v>
      </c>
      <c r="D1619" t="b">
        <f>IFERROR(VLOOKUP(B1619,PatData!$A$2:$A$2030,1,),"")&lt;&gt;""</f>
        <v>1</v>
      </c>
      <c r="E1619">
        <v>0</v>
      </c>
      <c r="F1619" t="b">
        <v>0</v>
      </c>
      <c r="G1619" t="b">
        <v>1</v>
      </c>
      <c r="H1619" t="b">
        <v>0</v>
      </c>
      <c r="I1619" t="b">
        <v>0</v>
      </c>
    </row>
    <row r="1620" spans="1:9" x14ac:dyDescent="0.2">
      <c r="A1620" t="s">
        <v>3169</v>
      </c>
      <c r="B1620" t="s">
        <v>2745</v>
      </c>
      <c r="D1620" t="b">
        <f>IFERROR(VLOOKUP(B1620,PatData!$A$2:$A$2030,1,),"")&lt;&gt;""</f>
        <v>1</v>
      </c>
      <c r="E1620">
        <v>10</v>
      </c>
      <c r="F1620" t="b">
        <v>0</v>
      </c>
      <c r="G1620" t="b">
        <v>1</v>
      </c>
      <c r="H1620" t="b">
        <v>0</v>
      </c>
      <c r="I1620" t="b">
        <v>0</v>
      </c>
    </row>
    <row r="1621" spans="1:9" x14ac:dyDescent="0.2">
      <c r="A1621" t="s">
        <v>3170</v>
      </c>
      <c r="B1621" t="s">
        <v>2746</v>
      </c>
      <c r="D1621" t="b">
        <f>IFERROR(VLOOKUP(B1621,PatData!$A$2:$A$2030,1,),"")&lt;&gt;""</f>
        <v>1</v>
      </c>
      <c r="E1621">
        <v>58</v>
      </c>
      <c r="F1621" t="b">
        <v>0</v>
      </c>
      <c r="G1621" t="b">
        <v>1</v>
      </c>
      <c r="H1621" t="b">
        <v>0</v>
      </c>
      <c r="I1621" t="b">
        <v>0</v>
      </c>
    </row>
    <row r="1622" spans="1:9" x14ac:dyDescent="0.2">
      <c r="A1622" t="s">
        <v>4119</v>
      </c>
      <c r="B1622" t="s">
        <v>2744</v>
      </c>
      <c r="D1622" t="b">
        <f>IFERROR(VLOOKUP(B1622,PatData!$A$2:$A$2030,1,),"")&lt;&gt;""</f>
        <v>1</v>
      </c>
      <c r="E1622">
        <v>42898</v>
      </c>
      <c r="F1622" t="b">
        <v>0</v>
      </c>
      <c r="G1622" t="b">
        <v>1</v>
      </c>
      <c r="H1622" t="b">
        <v>0</v>
      </c>
      <c r="I1622" t="b">
        <v>0</v>
      </c>
    </row>
    <row r="1623" spans="1:9" x14ac:dyDescent="0.2">
      <c r="A1623" t="s">
        <v>3172</v>
      </c>
      <c r="B1623" t="s">
        <v>1638</v>
      </c>
      <c r="D1623" t="b">
        <f>IFERROR(VLOOKUP(B1623,PatData!$A$2:$A$2030,1,),"")&lt;&gt;""</f>
        <v>1</v>
      </c>
      <c r="E1623" t="b">
        <v>1</v>
      </c>
      <c r="F1623" t="b">
        <v>0</v>
      </c>
      <c r="G1623" t="b">
        <v>1</v>
      </c>
      <c r="H1623" t="b">
        <v>0</v>
      </c>
      <c r="I1623" t="b">
        <v>1</v>
      </c>
    </row>
    <row r="1624" spans="1:9" x14ac:dyDescent="0.2">
      <c r="A1624" t="s">
        <v>3173</v>
      </c>
      <c r="B1624" t="s">
        <v>1639</v>
      </c>
      <c r="D1624" t="b">
        <f>IFERROR(VLOOKUP(B1624,PatData!$A$2:$A$2030,1,),"")&lt;&gt;""</f>
        <v>1</v>
      </c>
      <c r="E1624" t="b">
        <v>0</v>
      </c>
      <c r="F1624" t="b">
        <v>0</v>
      </c>
      <c r="G1624" t="b">
        <v>1</v>
      </c>
      <c r="H1624" t="b">
        <v>0</v>
      </c>
      <c r="I1624" t="b">
        <v>1</v>
      </c>
    </row>
    <row r="1625" spans="1:9" x14ac:dyDescent="0.2">
      <c r="A1625" t="s">
        <v>3174</v>
      </c>
      <c r="B1625" t="s">
        <v>1640</v>
      </c>
      <c r="D1625" t="b">
        <f>IFERROR(VLOOKUP(B1625,PatData!$A$2:$A$2030,1,),"")&lt;&gt;""</f>
        <v>1</v>
      </c>
      <c r="E1625" t="b">
        <v>1</v>
      </c>
      <c r="F1625" t="b">
        <v>0</v>
      </c>
      <c r="G1625" t="b">
        <v>1</v>
      </c>
      <c r="H1625" t="b">
        <v>0</v>
      </c>
      <c r="I1625" t="b">
        <v>1</v>
      </c>
    </row>
    <row r="1626" spans="1:9" x14ac:dyDescent="0.2">
      <c r="A1626" t="s">
        <v>3175</v>
      </c>
      <c r="B1626" t="s">
        <v>1641</v>
      </c>
      <c r="D1626" t="b">
        <f>IFERROR(VLOOKUP(B1626,PatData!$A$2:$A$2030,1,),"")&lt;&gt;""</f>
        <v>1</v>
      </c>
      <c r="E1626" t="b">
        <v>0</v>
      </c>
      <c r="F1626" t="b">
        <v>0</v>
      </c>
      <c r="G1626" t="b">
        <v>1</v>
      </c>
      <c r="H1626" t="b">
        <v>0</v>
      </c>
      <c r="I1626" t="b">
        <v>1</v>
      </c>
    </row>
    <row r="1627" spans="1:9" x14ac:dyDescent="0.2">
      <c r="A1627" t="s">
        <v>3176</v>
      </c>
      <c r="B1627" t="s">
        <v>1642</v>
      </c>
      <c r="D1627" t="b">
        <f>IFERROR(VLOOKUP(B1627,PatData!$A$2:$A$2030,1,),"")&lt;&gt;""</f>
        <v>1</v>
      </c>
      <c r="E1627" t="b">
        <v>0</v>
      </c>
      <c r="F1627" t="b">
        <v>0</v>
      </c>
      <c r="G1627" t="b">
        <v>1</v>
      </c>
      <c r="H1627" t="b">
        <v>0</v>
      </c>
      <c r="I1627" t="b">
        <v>1</v>
      </c>
    </row>
    <row r="1628" spans="1:9" x14ac:dyDescent="0.2">
      <c r="A1628" t="s">
        <v>3177</v>
      </c>
      <c r="B1628" t="s">
        <v>1643</v>
      </c>
      <c r="D1628" t="b">
        <f>IFERROR(VLOOKUP(B1628,PatData!$A$2:$A$2030,1,),"")&lt;&gt;""</f>
        <v>1</v>
      </c>
      <c r="E1628" t="b">
        <v>1</v>
      </c>
      <c r="F1628" t="b">
        <v>0</v>
      </c>
      <c r="G1628" t="b">
        <v>1</v>
      </c>
      <c r="H1628" t="b">
        <v>0</v>
      </c>
      <c r="I1628" t="b">
        <v>1</v>
      </c>
    </row>
    <row r="1629" spans="1:9" x14ac:dyDescent="0.2">
      <c r="A1629" t="s">
        <v>3178</v>
      </c>
      <c r="B1629" t="s">
        <v>1644</v>
      </c>
      <c r="D1629" t="b">
        <f>IFERROR(VLOOKUP(B1629,PatData!$A$2:$A$2030,1,),"")&lt;&gt;""</f>
        <v>1</v>
      </c>
      <c r="E1629" t="b">
        <v>0</v>
      </c>
      <c r="F1629" t="b">
        <v>0</v>
      </c>
      <c r="G1629" t="b">
        <v>1</v>
      </c>
      <c r="H1629" t="b">
        <v>0</v>
      </c>
      <c r="I1629" t="b">
        <v>1</v>
      </c>
    </row>
    <row r="1630" spans="1:9" x14ac:dyDescent="0.2">
      <c r="A1630" t="s">
        <v>3179</v>
      </c>
      <c r="B1630" t="s">
        <v>1645</v>
      </c>
      <c r="D1630" t="b">
        <f>IFERROR(VLOOKUP(B1630,PatData!$A$2:$A$2030,1,),"")&lt;&gt;""</f>
        <v>1</v>
      </c>
      <c r="E1630" t="b">
        <v>1</v>
      </c>
      <c r="F1630" t="b">
        <v>0</v>
      </c>
      <c r="G1630" t="b">
        <v>1</v>
      </c>
      <c r="H1630" t="b">
        <v>0</v>
      </c>
      <c r="I1630" t="b">
        <v>1</v>
      </c>
    </row>
    <row r="1631" spans="1:9" x14ac:dyDescent="0.2">
      <c r="A1631" t="s">
        <v>3180</v>
      </c>
      <c r="B1631" t="s">
        <v>1646</v>
      </c>
      <c r="D1631" t="b">
        <f>IFERROR(VLOOKUP(B1631,PatData!$A$2:$A$2030,1,),"")&lt;&gt;""</f>
        <v>1</v>
      </c>
      <c r="E1631" t="b">
        <v>0</v>
      </c>
      <c r="F1631" t="b">
        <v>0</v>
      </c>
      <c r="G1631" t="b">
        <v>1</v>
      </c>
      <c r="H1631" t="b">
        <v>0</v>
      </c>
      <c r="I1631" t="b">
        <v>1</v>
      </c>
    </row>
    <row r="1632" spans="1:9" x14ac:dyDescent="0.2">
      <c r="A1632" t="s">
        <v>3181</v>
      </c>
      <c r="B1632" t="s">
        <v>1647</v>
      </c>
      <c r="D1632" t="b">
        <f>IFERROR(VLOOKUP(B1632,PatData!$A$2:$A$2030,1,),"")&lt;&gt;""</f>
        <v>1</v>
      </c>
      <c r="E1632" t="b">
        <v>0</v>
      </c>
      <c r="F1632" t="b">
        <v>0</v>
      </c>
      <c r="G1632" t="b">
        <v>1</v>
      </c>
      <c r="H1632" t="b">
        <v>0</v>
      </c>
      <c r="I1632" t="b">
        <v>1</v>
      </c>
    </row>
    <row r="1633" spans="1:9" x14ac:dyDescent="0.2">
      <c r="A1633" t="s">
        <v>3182</v>
      </c>
      <c r="B1633" t="s">
        <v>1648</v>
      </c>
      <c r="D1633" t="b">
        <f>IFERROR(VLOOKUP(B1633,PatData!$A$2:$A$2030,1,),"")&lt;&gt;""</f>
        <v>1</v>
      </c>
      <c r="E1633" t="b">
        <v>1</v>
      </c>
      <c r="F1633" t="b">
        <v>0</v>
      </c>
      <c r="G1633" t="b">
        <v>1</v>
      </c>
      <c r="H1633" t="b">
        <v>0</v>
      </c>
      <c r="I1633" t="b">
        <v>1</v>
      </c>
    </row>
    <row r="1634" spans="1:9" x14ac:dyDescent="0.2">
      <c r="A1634" t="s">
        <v>3183</v>
      </c>
      <c r="B1634" t="s">
        <v>1649</v>
      </c>
      <c r="D1634" t="b">
        <f>IFERROR(VLOOKUP(B1634,PatData!$A$2:$A$2030,1,),"")&lt;&gt;""</f>
        <v>1</v>
      </c>
      <c r="E1634" t="b">
        <v>1</v>
      </c>
      <c r="F1634" t="b">
        <v>0</v>
      </c>
      <c r="G1634" t="b">
        <v>1</v>
      </c>
      <c r="H1634" t="b">
        <v>0</v>
      </c>
      <c r="I1634" t="b">
        <v>1</v>
      </c>
    </row>
    <row r="1635" spans="1:9" x14ac:dyDescent="0.2">
      <c r="A1635" t="s">
        <v>3184</v>
      </c>
      <c r="B1635" t="s">
        <v>1650</v>
      </c>
      <c r="D1635" t="b">
        <f>IFERROR(VLOOKUP(B1635,PatData!$A$2:$A$2030,1,),"")&lt;&gt;""</f>
        <v>1</v>
      </c>
      <c r="E1635" t="b">
        <v>0</v>
      </c>
      <c r="F1635" t="b">
        <v>0</v>
      </c>
      <c r="G1635" t="b">
        <v>1</v>
      </c>
      <c r="H1635" t="b">
        <v>0</v>
      </c>
      <c r="I1635" t="b">
        <v>1</v>
      </c>
    </row>
    <row r="1636" spans="1:9" x14ac:dyDescent="0.2">
      <c r="A1636" t="s">
        <v>3185</v>
      </c>
      <c r="B1636" t="s">
        <v>1651</v>
      </c>
      <c r="D1636" t="b">
        <f>IFERROR(VLOOKUP(B1636,PatData!$A$2:$A$2030,1,),"")&lt;&gt;""</f>
        <v>1</v>
      </c>
      <c r="E1636" t="b">
        <v>0</v>
      </c>
      <c r="F1636" t="b">
        <v>0</v>
      </c>
      <c r="G1636" t="b">
        <v>1</v>
      </c>
      <c r="H1636" t="b">
        <v>0</v>
      </c>
      <c r="I1636" t="b">
        <v>1</v>
      </c>
    </row>
    <row r="1637" spans="1:9" x14ac:dyDescent="0.2">
      <c r="A1637" t="s">
        <v>3186</v>
      </c>
      <c r="B1637" t="s">
        <v>1652</v>
      </c>
      <c r="D1637" t="b">
        <f>IFERROR(VLOOKUP(B1637,PatData!$A$2:$A$2030,1,),"")&lt;&gt;""</f>
        <v>1</v>
      </c>
      <c r="E1637" t="b">
        <v>0</v>
      </c>
      <c r="F1637" t="b">
        <v>0</v>
      </c>
      <c r="G1637" t="b">
        <v>1</v>
      </c>
      <c r="H1637" t="b">
        <v>0</v>
      </c>
      <c r="I1637" t="b">
        <v>1</v>
      </c>
    </row>
    <row r="1638" spans="1:9" x14ac:dyDescent="0.2">
      <c r="A1638" t="s">
        <v>3187</v>
      </c>
      <c r="B1638" t="s">
        <v>1653</v>
      </c>
      <c r="D1638" t="b">
        <f>IFERROR(VLOOKUP(B1638,PatData!$A$2:$A$2030,1,),"")&lt;&gt;""</f>
        <v>1</v>
      </c>
      <c r="E1638" t="b">
        <v>1</v>
      </c>
      <c r="F1638" t="b">
        <v>0</v>
      </c>
      <c r="G1638" t="b">
        <v>1</v>
      </c>
      <c r="H1638" t="b">
        <v>0</v>
      </c>
      <c r="I1638" t="b">
        <v>1</v>
      </c>
    </row>
    <row r="1639" spans="1:9" x14ac:dyDescent="0.2">
      <c r="A1639" t="s">
        <v>3188</v>
      </c>
      <c r="B1639" t="s">
        <v>1654</v>
      </c>
      <c r="D1639" t="b">
        <f>IFERROR(VLOOKUP(B1639,PatData!$A$2:$A$2030,1,),"")&lt;&gt;""</f>
        <v>1</v>
      </c>
      <c r="E1639" t="b">
        <v>1</v>
      </c>
      <c r="F1639" t="b">
        <v>0</v>
      </c>
      <c r="G1639" t="b">
        <v>1</v>
      </c>
      <c r="H1639" t="b">
        <v>0</v>
      </c>
      <c r="I1639" t="b">
        <v>1</v>
      </c>
    </row>
    <row r="1640" spans="1:9" x14ac:dyDescent="0.2">
      <c r="A1640" t="s">
        <v>3189</v>
      </c>
      <c r="B1640" t="s">
        <v>1655</v>
      </c>
      <c r="D1640" t="b">
        <f>IFERROR(VLOOKUP(B1640,PatData!$A$2:$A$2030,1,),"")&lt;&gt;""</f>
        <v>1</v>
      </c>
      <c r="E1640" t="b">
        <v>1</v>
      </c>
      <c r="F1640" t="b">
        <v>0</v>
      </c>
      <c r="G1640" t="b">
        <v>1</v>
      </c>
      <c r="H1640" t="b">
        <v>0</v>
      </c>
      <c r="I1640" t="b">
        <v>1</v>
      </c>
    </row>
    <row r="1641" spans="1:9" x14ac:dyDescent="0.2">
      <c r="A1641" t="s">
        <v>3190</v>
      </c>
      <c r="B1641" t="s">
        <v>1656</v>
      </c>
      <c r="D1641" t="b">
        <f>IFERROR(VLOOKUP(B1641,PatData!$A$2:$A$2030,1,),"")&lt;&gt;""</f>
        <v>1</v>
      </c>
      <c r="E1641" t="b">
        <v>1</v>
      </c>
      <c r="F1641" t="b">
        <v>0</v>
      </c>
      <c r="G1641" t="b">
        <v>1</v>
      </c>
      <c r="H1641" t="b">
        <v>0</v>
      </c>
      <c r="I1641" t="b">
        <v>1</v>
      </c>
    </row>
    <row r="1642" spans="1:9" x14ac:dyDescent="0.2">
      <c r="A1642" t="s">
        <v>3191</v>
      </c>
      <c r="B1642" t="s">
        <v>1657</v>
      </c>
      <c r="D1642" t="b">
        <f>IFERROR(VLOOKUP(B1642,PatData!$A$2:$A$2030,1,),"")&lt;&gt;""</f>
        <v>1</v>
      </c>
      <c r="E1642" t="b">
        <v>1</v>
      </c>
      <c r="F1642" t="b">
        <v>0</v>
      </c>
      <c r="G1642" t="b">
        <v>1</v>
      </c>
      <c r="H1642" t="b">
        <v>0</v>
      </c>
      <c r="I1642" t="b">
        <v>1</v>
      </c>
    </row>
    <row r="1643" spans="1:9" x14ac:dyDescent="0.2">
      <c r="A1643" t="s">
        <v>3192</v>
      </c>
      <c r="B1643" t="s">
        <v>1658</v>
      </c>
      <c r="D1643" t="b">
        <f>IFERROR(VLOOKUP(B1643,PatData!$A$2:$A$2030,1,),"")&lt;&gt;""</f>
        <v>1</v>
      </c>
      <c r="E1643" t="b">
        <v>0</v>
      </c>
      <c r="F1643" t="b">
        <v>0</v>
      </c>
      <c r="G1643" t="b">
        <v>1</v>
      </c>
      <c r="H1643" t="b">
        <v>0</v>
      </c>
      <c r="I1643" t="b">
        <v>1</v>
      </c>
    </row>
    <row r="1644" spans="1:9" x14ac:dyDescent="0.2">
      <c r="A1644" t="s">
        <v>3193</v>
      </c>
      <c r="B1644" t="s">
        <v>1659</v>
      </c>
      <c r="D1644" t="b">
        <f>IFERROR(VLOOKUP(B1644,PatData!$A$2:$A$2030,1,),"")&lt;&gt;""</f>
        <v>1</v>
      </c>
      <c r="E1644" t="b">
        <v>0</v>
      </c>
      <c r="F1644" t="b">
        <v>0</v>
      </c>
      <c r="G1644" t="b">
        <v>1</v>
      </c>
      <c r="H1644" t="b">
        <v>0</v>
      </c>
      <c r="I1644" t="b">
        <v>1</v>
      </c>
    </row>
    <row r="1645" spans="1:9" x14ac:dyDescent="0.2">
      <c r="A1645" t="s">
        <v>3194</v>
      </c>
      <c r="B1645" t="s">
        <v>1660</v>
      </c>
      <c r="D1645" t="b">
        <f>IFERROR(VLOOKUP(B1645,PatData!$A$2:$A$2030,1,),"")&lt;&gt;""</f>
        <v>1</v>
      </c>
      <c r="E1645" t="b">
        <v>0</v>
      </c>
      <c r="F1645" t="b">
        <v>0</v>
      </c>
      <c r="G1645" t="b">
        <v>1</v>
      </c>
      <c r="H1645" t="b">
        <v>0</v>
      </c>
      <c r="I1645" t="b">
        <v>1</v>
      </c>
    </row>
    <row r="1646" spans="1:9" x14ac:dyDescent="0.2">
      <c r="A1646" t="s">
        <v>3195</v>
      </c>
      <c r="B1646" t="s">
        <v>1661</v>
      </c>
      <c r="D1646" t="b">
        <f>IFERROR(VLOOKUP(B1646,PatData!$A$2:$A$2030,1,),"")&lt;&gt;""</f>
        <v>1</v>
      </c>
      <c r="E1646" t="b">
        <v>0</v>
      </c>
      <c r="F1646" t="b">
        <v>0</v>
      </c>
      <c r="G1646" t="b">
        <v>1</v>
      </c>
      <c r="H1646" t="b">
        <v>0</v>
      </c>
      <c r="I1646" t="b">
        <v>1</v>
      </c>
    </row>
    <row r="1647" spans="1:9" x14ac:dyDescent="0.2">
      <c r="A1647" t="s">
        <v>3196</v>
      </c>
      <c r="B1647" t="s">
        <v>1662</v>
      </c>
      <c r="D1647" t="b">
        <f>IFERROR(VLOOKUP(B1647,PatData!$A$2:$A$2030,1,),"")&lt;&gt;""</f>
        <v>1</v>
      </c>
      <c r="E1647" t="b">
        <v>1</v>
      </c>
      <c r="F1647" t="b">
        <v>0</v>
      </c>
      <c r="G1647" t="b">
        <v>1</v>
      </c>
      <c r="H1647" t="b">
        <v>0</v>
      </c>
      <c r="I1647" t="b">
        <v>1</v>
      </c>
    </row>
    <row r="1648" spans="1:9" x14ac:dyDescent="0.2">
      <c r="A1648" t="s">
        <v>3197</v>
      </c>
      <c r="B1648" t="s">
        <v>1663</v>
      </c>
      <c r="D1648" t="b">
        <f>IFERROR(VLOOKUP(B1648,PatData!$A$2:$A$2030,1,),"")&lt;&gt;""</f>
        <v>1</v>
      </c>
      <c r="E1648" t="b">
        <v>1</v>
      </c>
      <c r="F1648" t="b">
        <v>0</v>
      </c>
      <c r="G1648" t="b">
        <v>1</v>
      </c>
      <c r="H1648" t="b">
        <v>0</v>
      </c>
      <c r="I1648" t="b">
        <v>1</v>
      </c>
    </row>
    <row r="1649" spans="1:9" x14ac:dyDescent="0.2">
      <c r="A1649" t="s">
        <v>3198</v>
      </c>
      <c r="B1649" t="s">
        <v>1664</v>
      </c>
      <c r="D1649" t="b">
        <f>IFERROR(VLOOKUP(B1649,PatData!$A$2:$A$2030,1,),"")&lt;&gt;""</f>
        <v>1</v>
      </c>
      <c r="E1649" t="b">
        <v>1</v>
      </c>
      <c r="F1649" t="b">
        <v>0</v>
      </c>
      <c r="G1649" t="b">
        <v>1</v>
      </c>
      <c r="H1649" t="b">
        <v>0</v>
      </c>
      <c r="I1649" t="b">
        <v>1</v>
      </c>
    </row>
    <row r="1650" spans="1:9" x14ac:dyDescent="0.2">
      <c r="A1650" t="s">
        <v>3199</v>
      </c>
      <c r="B1650" t="s">
        <v>1665</v>
      </c>
      <c r="D1650" t="b">
        <f>IFERROR(VLOOKUP(B1650,PatData!$A$2:$A$2030,1,),"")&lt;&gt;""</f>
        <v>1</v>
      </c>
      <c r="E1650" t="b">
        <v>1</v>
      </c>
      <c r="F1650" t="b">
        <v>0</v>
      </c>
      <c r="G1650" t="b">
        <v>1</v>
      </c>
      <c r="H1650" t="b">
        <v>0</v>
      </c>
      <c r="I1650" t="b">
        <v>1</v>
      </c>
    </row>
    <row r="1651" spans="1:9" x14ac:dyDescent="0.2">
      <c r="A1651" t="s">
        <v>3200</v>
      </c>
      <c r="B1651" t="s">
        <v>1666</v>
      </c>
      <c r="D1651" t="b">
        <f>IFERROR(VLOOKUP(B1651,PatData!$A$2:$A$2030,1,),"")&lt;&gt;""</f>
        <v>1</v>
      </c>
      <c r="E1651" t="b">
        <v>1</v>
      </c>
      <c r="F1651" t="b">
        <v>0</v>
      </c>
      <c r="G1651" t="b">
        <v>1</v>
      </c>
      <c r="H1651" t="b">
        <v>0</v>
      </c>
      <c r="I1651" t="b">
        <v>1</v>
      </c>
    </row>
    <row r="1652" spans="1:9" x14ac:dyDescent="0.2">
      <c r="A1652" t="s">
        <v>3201</v>
      </c>
      <c r="B1652" t="s">
        <v>1667</v>
      </c>
      <c r="D1652" t="b">
        <f>IFERROR(VLOOKUP(B1652,PatData!$A$2:$A$2030,1,),"")&lt;&gt;""</f>
        <v>1</v>
      </c>
      <c r="E1652" t="b">
        <v>0</v>
      </c>
      <c r="F1652" t="b">
        <v>0</v>
      </c>
      <c r="G1652" t="b">
        <v>1</v>
      </c>
      <c r="H1652" t="b">
        <v>0</v>
      </c>
      <c r="I1652" t="b">
        <v>1</v>
      </c>
    </row>
    <row r="1653" spans="1:9" x14ac:dyDescent="0.2">
      <c r="A1653" t="s">
        <v>3202</v>
      </c>
      <c r="B1653" t="s">
        <v>1668</v>
      </c>
      <c r="D1653" t="b">
        <f>IFERROR(VLOOKUP(B1653,PatData!$A$2:$A$2030,1,),"")&lt;&gt;""</f>
        <v>1</v>
      </c>
      <c r="E1653" t="b">
        <v>0</v>
      </c>
      <c r="F1653" t="b">
        <v>0</v>
      </c>
      <c r="G1653" t="b">
        <v>1</v>
      </c>
      <c r="H1653" t="b">
        <v>0</v>
      </c>
      <c r="I1653" t="b">
        <v>1</v>
      </c>
    </row>
    <row r="1654" spans="1:9" x14ac:dyDescent="0.2">
      <c r="A1654" t="s">
        <v>3203</v>
      </c>
      <c r="B1654" t="s">
        <v>1669</v>
      </c>
      <c r="D1654" t="b">
        <f>IFERROR(VLOOKUP(B1654,PatData!$A$2:$A$2030,1,),"")&lt;&gt;""</f>
        <v>1</v>
      </c>
      <c r="E1654" t="b">
        <v>1</v>
      </c>
      <c r="F1654" t="b">
        <v>0</v>
      </c>
      <c r="G1654" t="b">
        <v>1</v>
      </c>
      <c r="H1654" t="b">
        <v>0</v>
      </c>
      <c r="I1654" t="b">
        <v>1</v>
      </c>
    </row>
    <row r="1655" spans="1:9" x14ac:dyDescent="0.2">
      <c r="A1655" t="s">
        <v>3204</v>
      </c>
      <c r="B1655" t="s">
        <v>1670</v>
      </c>
      <c r="D1655" t="b">
        <f>IFERROR(VLOOKUP(B1655,PatData!$A$2:$A$2030,1,),"")&lt;&gt;""</f>
        <v>1</v>
      </c>
      <c r="E1655" t="b">
        <v>0</v>
      </c>
      <c r="F1655" t="b">
        <v>0</v>
      </c>
      <c r="G1655" t="b">
        <v>1</v>
      </c>
      <c r="H1655" t="b">
        <v>0</v>
      </c>
      <c r="I1655" t="b">
        <v>1</v>
      </c>
    </row>
    <row r="1656" spans="1:9" x14ac:dyDescent="0.2">
      <c r="A1656" t="s">
        <v>3205</v>
      </c>
      <c r="B1656" t="s">
        <v>1671</v>
      </c>
      <c r="D1656" t="b">
        <f>IFERROR(VLOOKUP(B1656,PatData!$A$2:$A$2030,1,),"")&lt;&gt;""</f>
        <v>1</v>
      </c>
      <c r="E1656" t="b">
        <v>1</v>
      </c>
      <c r="F1656" t="b">
        <v>0</v>
      </c>
      <c r="G1656" t="b">
        <v>1</v>
      </c>
      <c r="H1656" t="b">
        <v>0</v>
      </c>
      <c r="I1656" t="b">
        <v>1</v>
      </c>
    </row>
    <row r="1657" spans="1:9" x14ac:dyDescent="0.2">
      <c r="A1657" t="s">
        <v>3206</v>
      </c>
      <c r="B1657" t="s">
        <v>1672</v>
      </c>
      <c r="D1657" t="b">
        <f>IFERROR(VLOOKUP(B1657,PatData!$A$2:$A$2030,1,),"")&lt;&gt;""</f>
        <v>1</v>
      </c>
      <c r="E1657" t="b">
        <v>0</v>
      </c>
      <c r="F1657" t="b">
        <v>0</v>
      </c>
      <c r="G1657" t="b">
        <v>1</v>
      </c>
      <c r="H1657" t="b">
        <v>0</v>
      </c>
      <c r="I1657" t="b">
        <v>1</v>
      </c>
    </row>
    <row r="1658" spans="1:9" x14ac:dyDescent="0.2">
      <c r="A1658" t="s">
        <v>3207</v>
      </c>
      <c r="B1658" t="s">
        <v>1673</v>
      </c>
      <c r="D1658" t="b">
        <f>IFERROR(VLOOKUP(B1658,PatData!$A$2:$A$2030,1,),"")&lt;&gt;""</f>
        <v>1</v>
      </c>
      <c r="E1658" t="b">
        <v>1</v>
      </c>
      <c r="F1658" t="b">
        <v>0</v>
      </c>
      <c r="G1658" t="b">
        <v>1</v>
      </c>
      <c r="H1658" t="b">
        <v>0</v>
      </c>
      <c r="I1658" t="b">
        <v>1</v>
      </c>
    </row>
    <row r="1659" spans="1:9" x14ac:dyDescent="0.2">
      <c r="A1659" t="s">
        <v>3208</v>
      </c>
      <c r="B1659" t="s">
        <v>1674</v>
      </c>
      <c r="D1659" t="b">
        <f>IFERROR(VLOOKUP(B1659,PatData!$A$2:$A$2030,1,),"")&lt;&gt;""</f>
        <v>1</v>
      </c>
      <c r="E1659" t="b">
        <v>0</v>
      </c>
      <c r="F1659" t="b">
        <v>0</v>
      </c>
      <c r="G1659" t="b">
        <v>1</v>
      </c>
      <c r="H1659" t="b">
        <v>0</v>
      </c>
      <c r="I1659" t="b">
        <v>1</v>
      </c>
    </row>
    <row r="1660" spans="1:9" x14ac:dyDescent="0.2">
      <c r="A1660" t="s">
        <v>3209</v>
      </c>
      <c r="B1660" t="s">
        <v>1675</v>
      </c>
      <c r="D1660" t="b">
        <f>IFERROR(VLOOKUP(B1660,PatData!$A$2:$A$2030,1,),"")&lt;&gt;""</f>
        <v>1</v>
      </c>
      <c r="E1660" t="b">
        <v>0</v>
      </c>
      <c r="F1660" t="b">
        <v>0</v>
      </c>
      <c r="G1660" t="b">
        <v>1</v>
      </c>
      <c r="H1660" t="b">
        <v>0</v>
      </c>
      <c r="I1660" t="b">
        <v>1</v>
      </c>
    </row>
    <row r="1661" spans="1:9" x14ac:dyDescent="0.2">
      <c r="A1661" t="s">
        <v>3210</v>
      </c>
      <c r="B1661" t="s">
        <v>1676</v>
      </c>
      <c r="D1661" t="b">
        <f>IFERROR(VLOOKUP(B1661,PatData!$A$2:$A$2030,1,),"")&lt;&gt;""</f>
        <v>1</v>
      </c>
      <c r="E1661" t="b">
        <v>0</v>
      </c>
      <c r="F1661" t="b">
        <v>0</v>
      </c>
      <c r="G1661" t="b">
        <v>1</v>
      </c>
      <c r="H1661" t="b">
        <v>0</v>
      </c>
      <c r="I1661" t="b">
        <v>1</v>
      </c>
    </row>
    <row r="1662" spans="1:9" x14ac:dyDescent="0.2">
      <c r="A1662" t="s">
        <v>3211</v>
      </c>
      <c r="B1662" t="s">
        <v>1677</v>
      </c>
      <c r="D1662" t="b">
        <f>IFERROR(VLOOKUP(B1662,PatData!$A$2:$A$2030,1,),"")&lt;&gt;""</f>
        <v>1</v>
      </c>
      <c r="E1662" t="b">
        <v>0</v>
      </c>
      <c r="F1662" t="b">
        <v>0</v>
      </c>
      <c r="G1662" t="b">
        <v>1</v>
      </c>
      <c r="H1662" t="b">
        <v>0</v>
      </c>
      <c r="I1662" t="b">
        <v>1</v>
      </c>
    </row>
    <row r="1663" spans="1:9" x14ac:dyDescent="0.2">
      <c r="A1663" t="s">
        <v>3212</v>
      </c>
      <c r="B1663" t="s">
        <v>1678</v>
      </c>
      <c r="D1663" t="b">
        <f>IFERROR(VLOOKUP(B1663,PatData!$A$2:$A$2030,1,),"")&lt;&gt;""</f>
        <v>1</v>
      </c>
      <c r="E1663" t="b">
        <v>0</v>
      </c>
      <c r="F1663" t="b">
        <v>0</v>
      </c>
      <c r="G1663" t="b">
        <v>1</v>
      </c>
      <c r="H1663" t="b">
        <v>0</v>
      </c>
      <c r="I1663" t="b">
        <v>1</v>
      </c>
    </row>
    <row r="1664" spans="1:9" x14ac:dyDescent="0.2">
      <c r="A1664" t="s">
        <v>3213</v>
      </c>
      <c r="B1664" t="s">
        <v>1679</v>
      </c>
      <c r="D1664" t="b">
        <f>IFERROR(VLOOKUP(B1664,PatData!$A$2:$A$2030,1,),"")&lt;&gt;""</f>
        <v>1</v>
      </c>
      <c r="E1664" t="b">
        <v>0</v>
      </c>
      <c r="F1664" t="b">
        <v>0</v>
      </c>
      <c r="G1664" t="b">
        <v>1</v>
      </c>
      <c r="H1664" t="b">
        <v>0</v>
      </c>
      <c r="I1664" t="b">
        <v>1</v>
      </c>
    </row>
    <row r="1665" spans="1:9" x14ac:dyDescent="0.2">
      <c r="A1665" t="s">
        <v>3214</v>
      </c>
      <c r="B1665" t="s">
        <v>1680</v>
      </c>
      <c r="D1665" t="b">
        <f>IFERROR(VLOOKUP(B1665,PatData!$A$2:$A$2030,1,),"")&lt;&gt;""</f>
        <v>1</v>
      </c>
      <c r="E1665">
        <v>4</v>
      </c>
      <c r="F1665" t="b">
        <v>0</v>
      </c>
      <c r="G1665" t="b">
        <v>1</v>
      </c>
      <c r="H1665" t="b">
        <v>0</v>
      </c>
      <c r="I1665" t="b">
        <v>1</v>
      </c>
    </row>
    <row r="1666" spans="1:9" x14ac:dyDescent="0.2">
      <c r="A1666" t="s">
        <v>3215</v>
      </c>
      <c r="B1666" t="s">
        <v>1681</v>
      </c>
      <c r="D1666" t="b">
        <f>IFERROR(VLOOKUP(B1666,PatData!$A$2:$A$2030,1,),"")&lt;&gt;""</f>
        <v>1</v>
      </c>
      <c r="E1666">
        <v>1</v>
      </c>
      <c r="F1666" t="b">
        <v>0</v>
      </c>
      <c r="G1666" t="b">
        <v>1</v>
      </c>
      <c r="H1666" t="b">
        <v>0</v>
      </c>
      <c r="I1666" t="b">
        <v>1</v>
      </c>
    </row>
    <row r="1667" spans="1:9" x14ac:dyDescent="0.2">
      <c r="A1667" t="s">
        <v>3216</v>
      </c>
      <c r="B1667" t="s">
        <v>1682</v>
      </c>
      <c r="D1667" t="b">
        <f>IFERROR(VLOOKUP(B1667,PatData!$A$2:$A$2030,1,),"")&lt;&gt;""</f>
        <v>1</v>
      </c>
      <c r="E1667">
        <v>2</v>
      </c>
      <c r="F1667" t="b">
        <v>0</v>
      </c>
      <c r="G1667" t="b">
        <v>1</v>
      </c>
      <c r="H1667" t="b">
        <v>0</v>
      </c>
      <c r="I1667" t="b">
        <v>1</v>
      </c>
    </row>
    <row r="1668" spans="1:9" x14ac:dyDescent="0.2">
      <c r="A1668" t="s">
        <v>3217</v>
      </c>
      <c r="B1668" t="s">
        <v>1683</v>
      </c>
      <c r="D1668" t="b">
        <f>IFERROR(VLOOKUP(B1668,PatData!$A$2:$A$2030,1,),"")&lt;&gt;""</f>
        <v>1</v>
      </c>
      <c r="E1668">
        <v>1</v>
      </c>
      <c r="F1668" t="b">
        <v>0</v>
      </c>
      <c r="G1668" t="b">
        <v>1</v>
      </c>
      <c r="H1668" t="b">
        <v>0</v>
      </c>
      <c r="I1668" t="b">
        <v>1</v>
      </c>
    </row>
    <row r="1669" spans="1:9" x14ac:dyDescent="0.2">
      <c r="A1669" t="s">
        <v>3218</v>
      </c>
      <c r="B1669" t="s">
        <v>1684</v>
      </c>
      <c r="D1669" t="b">
        <f>IFERROR(VLOOKUP(B1669,PatData!$A$2:$A$2030,1,),"")&lt;&gt;""</f>
        <v>1</v>
      </c>
      <c r="E1669">
        <v>4</v>
      </c>
      <c r="F1669" t="b">
        <v>0</v>
      </c>
      <c r="G1669" t="b">
        <v>1</v>
      </c>
      <c r="H1669" t="b">
        <v>0</v>
      </c>
      <c r="I1669" t="b">
        <v>1</v>
      </c>
    </row>
    <row r="1670" spans="1:9" x14ac:dyDescent="0.2">
      <c r="A1670" t="s">
        <v>3219</v>
      </c>
      <c r="B1670" t="s">
        <v>1685</v>
      </c>
      <c r="D1670" t="b">
        <f>IFERROR(VLOOKUP(B1670,PatData!$A$2:$A$2030,1,),"")&lt;&gt;""</f>
        <v>1</v>
      </c>
      <c r="E1670">
        <v>5</v>
      </c>
      <c r="F1670" t="b">
        <v>0</v>
      </c>
      <c r="G1670" t="b">
        <v>1</v>
      </c>
      <c r="H1670" t="b">
        <v>0</v>
      </c>
      <c r="I1670" t="b">
        <v>1</v>
      </c>
    </row>
    <row r="1671" spans="1:9" x14ac:dyDescent="0.2">
      <c r="A1671" t="s">
        <v>3220</v>
      </c>
      <c r="B1671" t="s">
        <v>1686</v>
      </c>
      <c r="D1671" t="b">
        <f>IFERROR(VLOOKUP(B1671,PatData!$A$2:$A$2030,1,),"")&lt;&gt;""</f>
        <v>1</v>
      </c>
      <c r="E1671">
        <v>3</v>
      </c>
      <c r="F1671" t="b">
        <v>0</v>
      </c>
      <c r="G1671" t="b">
        <v>1</v>
      </c>
      <c r="H1671" t="b">
        <v>0</v>
      </c>
      <c r="I1671" t="b">
        <v>1</v>
      </c>
    </row>
    <row r="1672" spans="1:9" x14ac:dyDescent="0.2">
      <c r="A1672" t="s">
        <v>3221</v>
      </c>
      <c r="B1672" t="s">
        <v>1687</v>
      </c>
      <c r="D1672" t="b">
        <f>IFERROR(VLOOKUP(B1672,PatData!$A$2:$A$2030,1,),"")&lt;&gt;""</f>
        <v>1</v>
      </c>
      <c r="E1672">
        <v>6</v>
      </c>
      <c r="F1672" t="b">
        <v>0</v>
      </c>
      <c r="G1672" t="b">
        <v>1</v>
      </c>
      <c r="H1672" t="b">
        <v>0</v>
      </c>
      <c r="I1672" t="b">
        <v>1</v>
      </c>
    </row>
    <row r="1673" spans="1:9" x14ac:dyDescent="0.2">
      <c r="A1673" t="s">
        <v>3222</v>
      </c>
      <c r="B1673" t="s">
        <v>1688</v>
      </c>
      <c r="D1673" t="b">
        <f>IFERROR(VLOOKUP(B1673,PatData!$A$2:$A$2030,1,),"")&lt;&gt;""</f>
        <v>1</v>
      </c>
      <c r="E1673">
        <v>2</v>
      </c>
      <c r="F1673" t="b">
        <v>0</v>
      </c>
      <c r="G1673" t="b">
        <v>1</v>
      </c>
      <c r="H1673" t="b">
        <v>0</v>
      </c>
      <c r="I1673" t="b">
        <v>1</v>
      </c>
    </row>
    <row r="1674" spans="1:9" x14ac:dyDescent="0.2">
      <c r="A1674" t="s">
        <v>3223</v>
      </c>
      <c r="B1674" t="s">
        <v>1689</v>
      </c>
      <c r="D1674" t="b">
        <f>IFERROR(VLOOKUP(B1674,PatData!$A$2:$A$2030,1,),"")&lt;&gt;""</f>
        <v>1</v>
      </c>
      <c r="E1674"/>
      <c r="F1674" t="b">
        <v>0</v>
      </c>
      <c r="G1674" t="b">
        <v>1</v>
      </c>
      <c r="H1674" t="b">
        <v>0</v>
      </c>
      <c r="I1674" t="b">
        <v>1</v>
      </c>
    </row>
    <row r="1675" spans="1:9" x14ac:dyDescent="0.2">
      <c r="A1675" t="s">
        <v>4495</v>
      </c>
      <c r="B1675" t="s">
        <v>4496</v>
      </c>
      <c r="D1675" t="b">
        <f>IFERROR(VLOOKUP(B1675,PatData!$A$2:$A$2030,1,),"")&lt;&gt;""</f>
        <v>1</v>
      </c>
      <c r="E1675">
        <v>4</v>
      </c>
      <c r="F1675" t="b">
        <v>0</v>
      </c>
      <c r="G1675" t="b">
        <v>1</v>
      </c>
      <c r="H1675" t="b">
        <v>0</v>
      </c>
      <c r="I1675" t="b">
        <v>1</v>
      </c>
    </row>
    <row r="1676" spans="1:9" x14ac:dyDescent="0.2">
      <c r="A1676" t="s">
        <v>3224</v>
      </c>
      <c r="B1676" t="s">
        <v>1690</v>
      </c>
      <c r="D1676" t="b">
        <f>IFERROR(VLOOKUP(B1676,PatData!$A$2:$A$2030,1,),"")&lt;&gt;""</f>
        <v>1</v>
      </c>
      <c r="E1676">
        <v>1</v>
      </c>
      <c r="F1676" t="b">
        <v>0</v>
      </c>
      <c r="G1676" t="b">
        <v>1</v>
      </c>
      <c r="H1676" t="b">
        <v>0</v>
      </c>
      <c r="I1676" t="b">
        <v>1</v>
      </c>
    </row>
    <row r="1677" spans="1:9" x14ac:dyDescent="0.2">
      <c r="A1677" t="s">
        <v>3225</v>
      </c>
      <c r="B1677" t="s">
        <v>1691</v>
      </c>
      <c r="D1677" t="b">
        <f>IFERROR(VLOOKUP(B1677,PatData!$A$2:$A$2030,1,),"")&lt;&gt;""</f>
        <v>1</v>
      </c>
      <c r="E1677">
        <v>3</v>
      </c>
      <c r="F1677" t="b">
        <v>0</v>
      </c>
      <c r="G1677" t="b">
        <v>1</v>
      </c>
      <c r="H1677" t="b">
        <v>0</v>
      </c>
      <c r="I1677" t="b">
        <v>1</v>
      </c>
    </row>
    <row r="1678" spans="1:9" x14ac:dyDescent="0.2">
      <c r="A1678" t="s">
        <v>3226</v>
      </c>
      <c r="B1678" t="s">
        <v>1692</v>
      </c>
      <c r="D1678" t="b">
        <f>IFERROR(VLOOKUP(B1678,PatData!$A$2:$A$2030,1,),"")&lt;&gt;""</f>
        <v>1</v>
      </c>
      <c r="E1678">
        <v>1</v>
      </c>
      <c r="F1678" t="b">
        <v>0</v>
      </c>
      <c r="G1678" t="b">
        <v>1</v>
      </c>
      <c r="H1678" t="b">
        <v>0</v>
      </c>
      <c r="I1678" t="b">
        <v>1</v>
      </c>
    </row>
    <row r="1679" spans="1:9" x14ac:dyDescent="0.2">
      <c r="A1679" t="s">
        <v>3227</v>
      </c>
      <c r="B1679" t="s">
        <v>1693</v>
      </c>
      <c r="D1679" t="b">
        <f>IFERROR(VLOOKUP(B1679,PatData!$A$2:$A$2030,1,),"")&lt;&gt;""</f>
        <v>1</v>
      </c>
      <c r="E1679">
        <v>3</v>
      </c>
      <c r="F1679" t="b">
        <v>0</v>
      </c>
      <c r="G1679" t="b">
        <v>1</v>
      </c>
      <c r="H1679" t="b">
        <v>0</v>
      </c>
      <c r="I1679" t="b">
        <v>1</v>
      </c>
    </row>
    <row r="1680" spans="1:9" x14ac:dyDescent="0.2">
      <c r="A1680" t="s">
        <v>3228</v>
      </c>
      <c r="B1680" t="s">
        <v>1694</v>
      </c>
      <c r="D1680" t="b">
        <f>IFERROR(VLOOKUP(B1680,PatData!$A$2:$A$2030,1,),"")&lt;&gt;""</f>
        <v>1</v>
      </c>
      <c r="E1680">
        <v>2</v>
      </c>
      <c r="F1680" t="b">
        <v>0</v>
      </c>
      <c r="G1680" t="b">
        <v>1</v>
      </c>
      <c r="H1680" t="b">
        <v>0</v>
      </c>
      <c r="I1680" t="b">
        <v>1</v>
      </c>
    </row>
    <row r="1681" spans="1:9" x14ac:dyDescent="0.2">
      <c r="A1681" t="s">
        <v>3229</v>
      </c>
      <c r="B1681" t="s">
        <v>1695</v>
      </c>
      <c r="D1681" t="b">
        <f>IFERROR(VLOOKUP(B1681,PatData!$A$2:$A$2030,1,),"")&lt;&gt;""</f>
        <v>1</v>
      </c>
      <c r="E1681">
        <v>1</v>
      </c>
      <c r="F1681" t="b">
        <v>0</v>
      </c>
      <c r="G1681" t="b">
        <v>1</v>
      </c>
      <c r="H1681" t="b">
        <v>0</v>
      </c>
      <c r="I1681" t="b">
        <v>1</v>
      </c>
    </row>
    <row r="1682" spans="1:9" x14ac:dyDescent="0.2">
      <c r="A1682" t="s">
        <v>3230</v>
      </c>
      <c r="B1682" t="s">
        <v>1696</v>
      </c>
      <c r="D1682" t="b">
        <f>IFERROR(VLOOKUP(B1682,PatData!$A$2:$A$2030,1,),"")&lt;&gt;""</f>
        <v>1</v>
      </c>
      <c r="E1682">
        <v>1</v>
      </c>
      <c r="F1682" t="b">
        <v>0</v>
      </c>
      <c r="G1682" t="b">
        <v>1</v>
      </c>
      <c r="H1682" t="b">
        <v>0</v>
      </c>
      <c r="I1682" t="b">
        <v>1</v>
      </c>
    </row>
    <row r="1683" spans="1:9" x14ac:dyDescent="0.2">
      <c r="A1683" t="s">
        <v>3231</v>
      </c>
      <c r="B1683" t="s">
        <v>1697</v>
      </c>
      <c r="D1683" t="b">
        <f>IFERROR(VLOOKUP(B1683,PatData!$A$2:$A$2030,1,),"")&lt;&gt;""</f>
        <v>1</v>
      </c>
      <c r="E1683">
        <v>1</v>
      </c>
      <c r="F1683" t="b">
        <v>0</v>
      </c>
      <c r="G1683" t="b">
        <v>1</v>
      </c>
      <c r="H1683" t="b">
        <v>0</v>
      </c>
      <c r="I1683" t="b">
        <v>1</v>
      </c>
    </row>
    <row r="1684" spans="1:9" x14ac:dyDescent="0.2">
      <c r="A1684" t="s">
        <v>3232</v>
      </c>
      <c r="B1684" t="s">
        <v>1698</v>
      </c>
      <c r="D1684" t="b">
        <f>IFERROR(VLOOKUP(B1684,PatData!$A$2:$A$2030,1,),"")&lt;&gt;""</f>
        <v>1</v>
      </c>
      <c r="E1684">
        <v>1</v>
      </c>
      <c r="F1684" t="b">
        <v>0</v>
      </c>
      <c r="G1684" t="b">
        <v>1</v>
      </c>
      <c r="H1684" t="b">
        <v>0</v>
      </c>
      <c r="I1684" t="b">
        <v>1</v>
      </c>
    </row>
    <row r="1685" spans="1:9" x14ac:dyDescent="0.2">
      <c r="A1685" t="s">
        <v>3233</v>
      </c>
      <c r="B1685" t="s">
        <v>1699</v>
      </c>
      <c r="D1685" t="b">
        <f>IFERROR(VLOOKUP(B1685,PatData!$A$2:$A$2030,1,),"")&lt;&gt;""</f>
        <v>1</v>
      </c>
      <c r="E1685">
        <v>1</v>
      </c>
      <c r="F1685" t="b">
        <v>0</v>
      </c>
      <c r="G1685" t="b">
        <v>1</v>
      </c>
      <c r="H1685" t="b">
        <v>0</v>
      </c>
      <c r="I1685" t="b">
        <v>1</v>
      </c>
    </row>
    <row r="1686" spans="1:9" x14ac:dyDescent="0.2">
      <c r="A1686" t="s">
        <v>3234</v>
      </c>
      <c r="B1686" t="s">
        <v>1700</v>
      </c>
      <c r="D1686" t="b">
        <f>IFERROR(VLOOKUP(B1686,PatData!$A$2:$A$2030,1,),"")&lt;&gt;""</f>
        <v>1</v>
      </c>
      <c r="E1686">
        <v>1</v>
      </c>
      <c r="F1686" t="b">
        <v>0</v>
      </c>
      <c r="G1686" t="b">
        <v>1</v>
      </c>
      <c r="H1686" t="b">
        <v>0</v>
      </c>
      <c r="I1686" t="b">
        <v>1</v>
      </c>
    </row>
    <row r="1687" spans="1:9" x14ac:dyDescent="0.2">
      <c r="A1687" t="s">
        <v>3235</v>
      </c>
      <c r="B1687" t="s">
        <v>2459</v>
      </c>
      <c r="D1687" t="b">
        <f>IFERROR(VLOOKUP(B1687,PatData!$A$2:$A$2030,1,),"")&lt;&gt;""</f>
        <v>1</v>
      </c>
      <c r="E1687"/>
      <c r="F1687" t="b">
        <v>0</v>
      </c>
      <c r="G1687" t="b">
        <v>1</v>
      </c>
      <c r="H1687" t="b">
        <v>0</v>
      </c>
      <c r="I1687" t="b">
        <v>1</v>
      </c>
    </row>
    <row r="1688" spans="1:9" x14ac:dyDescent="0.2">
      <c r="A1688" t="s">
        <v>3235</v>
      </c>
      <c r="B1688" t="s">
        <v>1701</v>
      </c>
      <c r="D1688" t="b">
        <f>IFERROR(VLOOKUP(B1688,PatData!$A$2:$A$2030,1,),"")&lt;&gt;""</f>
        <v>1</v>
      </c>
      <c r="E1688"/>
      <c r="F1688" t="b">
        <v>0</v>
      </c>
      <c r="G1688" t="b">
        <v>1</v>
      </c>
      <c r="H1688" t="b">
        <v>0</v>
      </c>
      <c r="I1688" t="b">
        <v>1</v>
      </c>
    </row>
    <row r="1689" spans="1:9" x14ac:dyDescent="0.2">
      <c r="A1689" t="s">
        <v>3236</v>
      </c>
      <c r="B1689" t="s">
        <v>1702</v>
      </c>
      <c r="D1689" t="b">
        <f>IFERROR(VLOOKUP(B1689,PatData!$A$2:$A$2030,1,),"")&lt;&gt;""</f>
        <v>1</v>
      </c>
      <c r="E1689">
        <v>0</v>
      </c>
      <c r="F1689" t="b">
        <v>0</v>
      </c>
      <c r="G1689" t="b">
        <v>1</v>
      </c>
      <c r="H1689" t="b">
        <v>0</v>
      </c>
      <c r="I1689" t="b">
        <v>1</v>
      </c>
    </row>
    <row r="1690" spans="1:9" x14ac:dyDescent="0.2">
      <c r="A1690" t="s">
        <v>3223</v>
      </c>
      <c r="B1690" t="s">
        <v>1524</v>
      </c>
      <c r="D1690" t="b">
        <f>IFERROR(VLOOKUP(B1690,PatData!$A$2:$A$2030,1,),"")&lt;&gt;""</f>
        <v>1</v>
      </c>
      <c r="E1690"/>
      <c r="F1690" t="b">
        <v>0</v>
      </c>
      <c r="G1690" t="b">
        <v>1</v>
      </c>
      <c r="H1690" t="b">
        <v>0</v>
      </c>
      <c r="I1690" t="b">
        <v>1</v>
      </c>
    </row>
    <row r="1691" spans="1:9" x14ac:dyDescent="0.2">
      <c r="A1691" t="s">
        <v>4122</v>
      </c>
      <c r="B1691" t="s">
        <v>2460</v>
      </c>
      <c r="D1691" t="b">
        <f>IFERROR(VLOOKUP(B1691,PatData!$A$2:$A$2030,1,),"")&lt;&gt;""</f>
        <v>1</v>
      </c>
      <c r="E1691">
        <v>6</v>
      </c>
      <c r="F1691" t="b">
        <v>0</v>
      </c>
      <c r="G1691" t="b">
        <v>1</v>
      </c>
      <c r="H1691" t="b">
        <v>0</v>
      </c>
      <c r="I1691" t="b">
        <v>1</v>
      </c>
    </row>
    <row r="1692" spans="1:9" x14ac:dyDescent="0.2">
      <c r="A1692" t="s">
        <v>4123</v>
      </c>
      <c r="B1692" t="s">
        <v>2461</v>
      </c>
      <c r="D1692" t="b">
        <f>IFERROR(VLOOKUP(B1692,PatData!$A$2:$A$2030,1,),"")&lt;&gt;""</f>
        <v>1</v>
      </c>
      <c r="E1692">
        <v>1</v>
      </c>
      <c r="F1692" t="b">
        <v>0</v>
      </c>
      <c r="G1692" t="b">
        <v>1</v>
      </c>
      <c r="H1692" t="b">
        <v>0</v>
      </c>
      <c r="I1692" t="b">
        <v>1</v>
      </c>
    </row>
    <row r="1693" spans="1:9" x14ac:dyDescent="0.2">
      <c r="A1693" t="s">
        <v>4124</v>
      </c>
      <c r="B1693" t="s">
        <v>2462</v>
      </c>
      <c r="D1693" t="b">
        <f>IFERROR(VLOOKUP(B1693,PatData!$A$2:$A$2030,1,),"")&lt;&gt;""</f>
        <v>1</v>
      </c>
      <c r="E1693">
        <v>1</v>
      </c>
      <c r="F1693" t="b">
        <v>0</v>
      </c>
      <c r="G1693" t="b">
        <v>1</v>
      </c>
      <c r="H1693" t="b">
        <v>0</v>
      </c>
      <c r="I1693" t="b">
        <v>1</v>
      </c>
    </row>
    <row r="1694" spans="1:9" x14ac:dyDescent="0.2">
      <c r="A1694" t="s">
        <v>4785</v>
      </c>
      <c r="B1694" t="s">
        <v>2463</v>
      </c>
      <c r="D1694" t="b">
        <f>IFERROR(VLOOKUP(B1694,PatData!$A$2:$A$2030,1,),"")&lt;&gt;""</f>
        <v>1</v>
      </c>
      <c r="E1694">
        <v>1</v>
      </c>
      <c r="F1694" t="b">
        <v>0</v>
      </c>
      <c r="G1694" t="b">
        <v>1</v>
      </c>
      <c r="H1694" t="b">
        <v>0</v>
      </c>
      <c r="I1694" t="b">
        <v>1</v>
      </c>
    </row>
    <row r="1695" spans="1:9" x14ac:dyDescent="0.2">
      <c r="A1695" t="s">
        <v>4126</v>
      </c>
      <c r="B1695" t="s">
        <v>2464</v>
      </c>
      <c r="D1695" t="b">
        <f>IFERROR(VLOOKUP(B1695,PatData!$A$2:$A$2030,1,),"")&lt;&gt;""</f>
        <v>1</v>
      </c>
      <c r="E1695">
        <v>2</v>
      </c>
      <c r="F1695" t="b">
        <v>0</v>
      </c>
      <c r="G1695" t="b">
        <v>1</v>
      </c>
      <c r="H1695" t="b">
        <v>0</v>
      </c>
      <c r="I1695" t="b">
        <v>1</v>
      </c>
    </row>
    <row r="1696" spans="1:9" x14ac:dyDescent="0.2">
      <c r="A1696" t="s">
        <v>4127</v>
      </c>
      <c r="B1696" t="s">
        <v>2465</v>
      </c>
      <c r="D1696" t="b">
        <f>IFERROR(VLOOKUP(B1696,PatData!$A$2:$A$2030,1,),"")&lt;&gt;""</f>
        <v>1</v>
      </c>
      <c r="E1696">
        <v>1</v>
      </c>
      <c r="F1696" t="b">
        <v>0</v>
      </c>
      <c r="G1696" t="b">
        <v>1</v>
      </c>
      <c r="H1696" t="b">
        <v>0</v>
      </c>
      <c r="I1696" t="b">
        <v>1</v>
      </c>
    </row>
    <row r="1697" spans="1:9" x14ac:dyDescent="0.2">
      <c r="A1697" t="s">
        <v>4128</v>
      </c>
      <c r="B1697" t="s">
        <v>2466</v>
      </c>
      <c r="D1697" t="b">
        <f>IFERROR(VLOOKUP(B1697,PatData!$A$2:$A$2030,1,),"")&lt;&gt;""</f>
        <v>1</v>
      </c>
      <c r="E1697">
        <v>1</v>
      </c>
      <c r="F1697" t="b">
        <v>0</v>
      </c>
      <c r="G1697" t="b">
        <v>1</v>
      </c>
      <c r="H1697" t="b">
        <v>0</v>
      </c>
      <c r="I1697" t="b">
        <v>1</v>
      </c>
    </row>
    <row r="1698" spans="1:9" x14ac:dyDescent="0.2">
      <c r="A1698" t="s">
        <v>4786</v>
      </c>
      <c r="B1698" t="s">
        <v>2467</v>
      </c>
      <c r="D1698" t="b">
        <f>IFERROR(VLOOKUP(B1698,PatData!$A$2:$A$2030,1,),"")&lt;&gt;""</f>
        <v>1</v>
      </c>
      <c r="E1698">
        <v>1</v>
      </c>
      <c r="F1698" t="b">
        <v>0</v>
      </c>
      <c r="G1698" t="b">
        <v>1</v>
      </c>
      <c r="H1698" t="b">
        <v>0</v>
      </c>
      <c r="I1698" t="b">
        <v>1</v>
      </c>
    </row>
    <row r="1699" spans="1:9" x14ac:dyDescent="0.2">
      <c r="A1699" t="s">
        <v>4787</v>
      </c>
      <c r="B1699" t="s">
        <v>2468</v>
      </c>
      <c r="D1699" t="b">
        <f>IFERROR(VLOOKUP(B1699,PatData!$A$2:$A$2030,1,),"")&lt;&gt;""</f>
        <v>1</v>
      </c>
      <c r="E1699"/>
      <c r="F1699" t="b">
        <v>0</v>
      </c>
      <c r="G1699" t="b">
        <v>1</v>
      </c>
      <c r="H1699" t="b">
        <v>0</v>
      </c>
      <c r="I1699" t="b">
        <v>1</v>
      </c>
    </row>
    <row r="1700" spans="1:9" x14ac:dyDescent="0.2">
      <c r="A1700" t="s">
        <v>4125</v>
      </c>
      <c r="B1700" t="s">
        <v>2469</v>
      </c>
      <c r="D1700" t="b">
        <f>IFERROR(VLOOKUP(B1700,PatData!$A$2:$A$2030,1,),"")&lt;&gt;""</f>
        <v>1</v>
      </c>
      <c r="E1700">
        <v>1</v>
      </c>
      <c r="F1700" t="b">
        <v>0</v>
      </c>
      <c r="G1700" t="b">
        <v>1</v>
      </c>
      <c r="H1700" t="b">
        <v>0</v>
      </c>
      <c r="I1700" t="b">
        <v>1</v>
      </c>
    </row>
    <row r="1701" spans="1:9" x14ac:dyDescent="0.2">
      <c r="A1701" t="s">
        <v>4129</v>
      </c>
      <c r="B1701" t="s">
        <v>2470</v>
      </c>
      <c r="D1701" t="b">
        <f>IFERROR(VLOOKUP(B1701,PatData!$A$2:$A$2030,1,),"")&lt;&gt;""</f>
        <v>1</v>
      </c>
      <c r="E1701">
        <v>50</v>
      </c>
      <c r="F1701" t="b">
        <v>0</v>
      </c>
      <c r="G1701" t="b">
        <v>1</v>
      </c>
      <c r="H1701" t="b">
        <v>0</v>
      </c>
      <c r="I1701" t="b">
        <v>1</v>
      </c>
    </row>
    <row r="1702" spans="1:9" x14ac:dyDescent="0.2">
      <c r="A1702" t="s">
        <v>4130</v>
      </c>
      <c r="B1702" t="s">
        <v>2471</v>
      </c>
      <c r="D1702" t="b">
        <f>IFERROR(VLOOKUP(B1702,PatData!$A$2:$A$2030,1,),"")&lt;&gt;""</f>
        <v>1</v>
      </c>
      <c r="E1702">
        <v>0</v>
      </c>
      <c r="F1702" t="b">
        <v>0</v>
      </c>
      <c r="G1702" t="b">
        <v>1</v>
      </c>
      <c r="H1702" t="b">
        <v>0</v>
      </c>
      <c r="I1702" t="b">
        <v>1</v>
      </c>
    </row>
    <row r="1703" spans="1:9" x14ac:dyDescent="0.2">
      <c r="A1703" t="s">
        <v>4131</v>
      </c>
      <c r="B1703" t="s">
        <v>2472</v>
      </c>
      <c r="D1703" t="b">
        <f>IFERROR(VLOOKUP(B1703,PatData!$A$2:$A$2030,1,),"")&lt;&gt;""</f>
        <v>1</v>
      </c>
      <c r="E1703">
        <v>0</v>
      </c>
      <c r="F1703" t="b">
        <v>0</v>
      </c>
      <c r="G1703" t="b">
        <v>1</v>
      </c>
      <c r="H1703" t="b">
        <v>0</v>
      </c>
      <c r="I1703" t="b">
        <v>1</v>
      </c>
    </row>
    <row r="1704" spans="1:9" x14ac:dyDescent="0.2">
      <c r="A1704" t="s">
        <v>4788</v>
      </c>
      <c r="B1704" t="s">
        <v>2473</v>
      </c>
      <c r="D1704" t="b">
        <f>IFERROR(VLOOKUP(B1704,PatData!$A$2:$A$2030,1,),"")&lt;&gt;""</f>
        <v>1</v>
      </c>
      <c r="E1704">
        <v>0</v>
      </c>
      <c r="F1704" t="b">
        <v>0</v>
      </c>
      <c r="G1704" t="b">
        <v>1</v>
      </c>
      <c r="H1704" t="b">
        <v>0</v>
      </c>
      <c r="I1704" t="b">
        <v>1</v>
      </c>
    </row>
    <row r="1705" spans="1:9" x14ac:dyDescent="0.2">
      <c r="A1705" t="s">
        <v>932</v>
      </c>
      <c r="B1705" t="s">
        <v>2474</v>
      </c>
      <c r="D1705" t="b">
        <f>IFERROR(VLOOKUP(B1705,PatData!$A$2:$A$2030,1,),"")&lt;&gt;""</f>
        <v>1</v>
      </c>
      <c r="E1705" t="b">
        <v>0</v>
      </c>
      <c r="F1705" t="b">
        <v>0</v>
      </c>
      <c r="G1705" t="b">
        <v>1</v>
      </c>
      <c r="H1705" t="b">
        <v>0</v>
      </c>
      <c r="I1705" t="b">
        <v>1</v>
      </c>
    </row>
    <row r="1706" spans="1:9" x14ac:dyDescent="0.2">
      <c r="A1706" t="s">
        <v>933</v>
      </c>
      <c r="B1706" t="s">
        <v>2475</v>
      </c>
      <c r="D1706" t="b">
        <f>IFERROR(VLOOKUP(B1706,PatData!$A$2:$A$2030,1,),"")&lt;&gt;""</f>
        <v>1</v>
      </c>
      <c r="E1706" t="b">
        <v>0</v>
      </c>
      <c r="F1706" t="b">
        <v>0</v>
      </c>
      <c r="G1706" t="b">
        <v>1</v>
      </c>
      <c r="H1706" t="b">
        <v>0</v>
      </c>
      <c r="I1706" t="b">
        <v>1</v>
      </c>
    </row>
    <row r="1707" spans="1:9" x14ac:dyDescent="0.2">
      <c r="A1707" t="s">
        <v>934</v>
      </c>
      <c r="B1707" t="s">
        <v>2476</v>
      </c>
      <c r="D1707" t="b">
        <f>IFERROR(VLOOKUP(B1707,PatData!$A$2:$A$2030,1,),"")&lt;&gt;""</f>
        <v>1</v>
      </c>
      <c r="E1707" t="b">
        <v>0</v>
      </c>
      <c r="F1707" t="b">
        <v>0</v>
      </c>
      <c r="G1707" t="b">
        <v>1</v>
      </c>
      <c r="H1707" t="b">
        <v>0</v>
      </c>
      <c r="I1707" t="b">
        <v>1</v>
      </c>
    </row>
    <row r="1708" spans="1:9" x14ac:dyDescent="0.2">
      <c r="A1708" t="s">
        <v>935</v>
      </c>
      <c r="B1708" t="s">
        <v>2477</v>
      </c>
      <c r="D1708" t="b">
        <f>IFERROR(VLOOKUP(B1708,PatData!$A$2:$A$2030,1,),"")&lt;&gt;""</f>
        <v>1</v>
      </c>
      <c r="E1708" t="b">
        <v>0</v>
      </c>
      <c r="F1708" t="b">
        <v>0</v>
      </c>
      <c r="G1708" t="b">
        <v>1</v>
      </c>
      <c r="H1708" t="b">
        <v>0</v>
      </c>
      <c r="I1708" t="b">
        <v>1</v>
      </c>
    </row>
    <row r="1709" spans="1:9" x14ac:dyDescent="0.2">
      <c r="A1709" t="s">
        <v>936</v>
      </c>
      <c r="B1709" t="s">
        <v>2478</v>
      </c>
      <c r="D1709" t="b">
        <f>IFERROR(VLOOKUP(B1709,PatData!$A$2:$A$2030,1,),"")&lt;&gt;""</f>
        <v>1</v>
      </c>
      <c r="E1709" t="b">
        <v>0</v>
      </c>
      <c r="F1709" t="b">
        <v>0</v>
      </c>
      <c r="G1709" t="b">
        <v>1</v>
      </c>
      <c r="H1709" t="b">
        <v>0</v>
      </c>
      <c r="I1709" t="b">
        <v>1</v>
      </c>
    </row>
    <row r="1710" spans="1:9" x14ac:dyDescent="0.2">
      <c r="A1710" t="s">
        <v>937</v>
      </c>
      <c r="B1710" t="s">
        <v>2479</v>
      </c>
      <c r="D1710" t="b">
        <f>IFERROR(VLOOKUP(B1710,PatData!$A$2:$A$2030,1,),"")&lt;&gt;""</f>
        <v>1</v>
      </c>
      <c r="E1710" t="b">
        <v>0</v>
      </c>
      <c r="F1710" t="b">
        <v>0</v>
      </c>
      <c r="G1710" t="b">
        <v>1</v>
      </c>
      <c r="H1710" t="b">
        <v>0</v>
      </c>
      <c r="I1710" t="b">
        <v>1</v>
      </c>
    </row>
    <row r="1711" spans="1:9" x14ac:dyDescent="0.2">
      <c r="A1711" t="s">
        <v>938</v>
      </c>
      <c r="B1711" t="s">
        <v>2480</v>
      </c>
      <c r="D1711" t="b">
        <f>IFERROR(VLOOKUP(B1711,PatData!$A$2:$A$2030,1,),"")&lt;&gt;""</f>
        <v>1</v>
      </c>
      <c r="E1711" t="b">
        <v>0</v>
      </c>
      <c r="F1711" t="b">
        <v>0</v>
      </c>
      <c r="G1711" t="b">
        <v>1</v>
      </c>
      <c r="H1711" t="b">
        <v>0</v>
      </c>
      <c r="I1711" t="b">
        <v>1</v>
      </c>
    </row>
    <row r="1712" spans="1:9" x14ac:dyDescent="0.2">
      <c r="A1712" t="s">
        <v>939</v>
      </c>
      <c r="B1712" t="s">
        <v>2481</v>
      </c>
      <c r="D1712" t="b">
        <f>IFERROR(VLOOKUP(B1712,PatData!$A$2:$A$2030,1,),"")&lt;&gt;""</f>
        <v>1</v>
      </c>
      <c r="E1712" t="b">
        <v>0</v>
      </c>
      <c r="F1712" t="b">
        <v>0</v>
      </c>
      <c r="G1712" t="b">
        <v>1</v>
      </c>
      <c r="H1712" t="b">
        <v>0</v>
      </c>
      <c r="I1712" t="b">
        <v>1</v>
      </c>
    </row>
    <row r="1713" spans="1:9" x14ac:dyDescent="0.2">
      <c r="A1713" t="s">
        <v>940</v>
      </c>
      <c r="B1713" t="s">
        <v>2482</v>
      </c>
      <c r="D1713" t="b">
        <f>IFERROR(VLOOKUP(B1713,PatData!$A$2:$A$2030,1,),"")&lt;&gt;""</f>
        <v>1</v>
      </c>
      <c r="E1713" t="b">
        <v>0</v>
      </c>
      <c r="F1713" t="b">
        <v>0</v>
      </c>
      <c r="G1713" t="b">
        <v>1</v>
      </c>
      <c r="H1713" t="b">
        <v>0</v>
      </c>
      <c r="I1713" t="b">
        <v>1</v>
      </c>
    </row>
    <row r="1714" spans="1:9" x14ac:dyDescent="0.2">
      <c r="A1714" t="s">
        <v>941</v>
      </c>
      <c r="B1714" t="s">
        <v>2483</v>
      </c>
      <c r="D1714" t="b">
        <f>IFERROR(VLOOKUP(B1714,PatData!$A$2:$A$2030,1,),"")&lt;&gt;""</f>
        <v>1</v>
      </c>
      <c r="E1714" t="b">
        <v>0</v>
      </c>
      <c r="F1714" t="b">
        <v>0</v>
      </c>
      <c r="G1714" t="b">
        <v>1</v>
      </c>
      <c r="H1714" t="b">
        <v>0</v>
      </c>
      <c r="I1714" t="b">
        <v>1</v>
      </c>
    </row>
    <row r="1715" spans="1:9" x14ac:dyDescent="0.2">
      <c r="A1715" t="s">
        <v>942</v>
      </c>
      <c r="B1715" t="s">
        <v>2484</v>
      </c>
      <c r="D1715" t="b">
        <f>IFERROR(VLOOKUP(B1715,PatData!$A$2:$A$2030,1,),"")&lt;&gt;""</f>
        <v>1</v>
      </c>
      <c r="E1715" t="b">
        <v>0</v>
      </c>
      <c r="F1715" t="b">
        <v>0</v>
      </c>
      <c r="G1715" t="b">
        <v>1</v>
      </c>
      <c r="H1715" t="b">
        <v>0</v>
      </c>
      <c r="I1715" t="b">
        <v>1</v>
      </c>
    </row>
    <row r="1716" spans="1:9" x14ac:dyDescent="0.2">
      <c r="A1716" t="s">
        <v>943</v>
      </c>
      <c r="B1716" t="s">
        <v>2485</v>
      </c>
      <c r="D1716" t="b">
        <f>IFERROR(VLOOKUP(B1716,PatData!$A$2:$A$2030,1,),"")&lt;&gt;""</f>
        <v>1</v>
      </c>
      <c r="E1716" t="b">
        <v>0</v>
      </c>
      <c r="F1716" t="b">
        <v>0</v>
      </c>
      <c r="G1716" t="b">
        <v>1</v>
      </c>
      <c r="H1716" t="b">
        <v>0</v>
      </c>
      <c r="I1716" t="b">
        <v>1</v>
      </c>
    </row>
    <row r="1717" spans="1:9" x14ac:dyDescent="0.2">
      <c r="A1717" t="s">
        <v>944</v>
      </c>
      <c r="B1717" t="s">
        <v>2486</v>
      </c>
      <c r="D1717" t="b">
        <f>IFERROR(VLOOKUP(B1717,PatData!$A$2:$A$2030,1,),"")&lt;&gt;""</f>
        <v>1</v>
      </c>
      <c r="E1717" t="b">
        <v>0</v>
      </c>
      <c r="F1717" t="b">
        <v>0</v>
      </c>
      <c r="G1717" t="b">
        <v>1</v>
      </c>
      <c r="H1717" t="b">
        <v>0</v>
      </c>
      <c r="I1717" t="b">
        <v>1</v>
      </c>
    </row>
    <row r="1718" spans="1:9" x14ac:dyDescent="0.2">
      <c r="A1718" t="s">
        <v>945</v>
      </c>
      <c r="B1718" t="s">
        <v>2487</v>
      </c>
      <c r="D1718" t="b">
        <f>IFERROR(VLOOKUP(B1718,PatData!$A$2:$A$2030,1,),"")&lt;&gt;""</f>
        <v>1</v>
      </c>
      <c r="E1718" t="b">
        <v>0</v>
      </c>
      <c r="F1718" t="b">
        <v>0</v>
      </c>
      <c r="G1718" t="b">
        <v>1</v>
      </c>
      <c r="H1718" t="b">
        <v>0</v>
      </c>
      <c r="I1718" t="b">
        <v>1</v>
      </c>
    </row>
    <row r="1719" spans="1:9" x14ac:dyDescent="0.2">
      <c r="A1719" t="s">
        <v>946</v>
      </c>
      <c r="B1719" t="s">
        <v>2488</v>
      </c>
      <c r="D1719" t="b">
        <f>IFERROR(VLOOKUP(B1719,PatData!$A$2:$A$2030,1,),"")&lt;&gt;""</f>
        <v>1</v>
      </c>
      <c r="E1719" t="b">
        <v>0</v>
      </c>
      <c r="F1719" t="b">
        <v>0</v>
      </c>
      <c r="G1719" t="b">
        <v>1</v>
      </c>
      <c r="H1719" t="b">
        <v>0</v>
      </c>
      <c r="I1719" t="b">
        <v>1</v>
      </c>
    </row>
    <row r="1720" spans="1:9" x14ac:dyDescent="0.2">
      <c r="A1720" t="s">
        <v>947</v>
      </c>
      <c r="B1720" t="s">
        <v>2489</v>
      </c>
      <c r="D1720" t="b">
        <f>IFERROR(VLOOKUP(B1720,PatData!$A$2:$A$2030,1,),"")&lt;&gt;""</f>
        <v>1</v>
      </c>
      <c r="E1720" t="b">
        <v>0</v>
      </c>
      <c r="F1720" t="b">
        <v>0</v>
      </c>
      <c r="G1720" t="b">
        <v>1</v>
      </c>
      <c r="H1720" t="b">
        <v>0</v>
      </c>
      <c r="I1720" t="b">
        <v>1</v>
      </c>
    </row>
    <row r="1721" spans="1:9" x14ac:dyDescent="0.2">
      <c r="A1721" t="s">
        <v>948</v>
      </c>
      <c r="B1721" t="s">
        <v>2490</v>
      </c>
      <c r="D1721" t="b">
        <f>IFERROR(VLOOKUP(B1721,PatData!$A$2:$A$2030,1,),"")&lt;&gt;""</f>
        <v>1</v>
      </c>
      <c r="E1721" t="b">
        <v>0</v>
      </c>
      <c r="F1721" t="b">
        <v>0</v>
      </c>
      <c r="G1721" t="b">
        <v>1</v>
      </c>
      <c r="H1721" t="b">
        <v>0</v>
      </c>
      <c r="I1721" t="b">
        <v>1</v>
      </c>
    </row>
    <row r="1722" spans="1:9" x14ac:dyDescent="0.2">
      <c r="A1722" t="s">
        <v>949</v>
      </c>
      <c r="B1722" t="s">
        <v>2491</v>
      </c>
      <c r="D1722" t="b">
        <f>IFERROR(VLOOKUP(B1722,PatData!$A$2:$A$2030,1,),"")&lt;&gt;""</f>
        <v>1</v>
      </c>
      <c r="E1722" t="b">
        <v>0</v>
      </c>
      <c r="F1722" t="b">
        <v>0</v>
      </c>
      <c r="G1722" t="b">
        <v>1</v>
      </c>
      <c r="H1722" t="b">
        <v>0</v>
      </c>
      <c r="I1722" t="b">
        <v>1</v>
      </c>
    </row>
    <row r="1723" spans="1:9" x14ac:dyDescent="0.2">
      <c r="A1723" t="s">
        <v>950</v>
      </c>
      <c r="B1723" t="s">
        <v>2492</v>
      </c>
      <c r="D1723" t="b">
        <f>IFERROR(VLOOKUP(B1723,PatData!$A$2:$A$2030,1,),"")&lt;&gt;""</f>
        <v>1</v>
      </c>
      <c r="E1723" t="b">
        <v>0</v>
      </c>
      <c r="F1723" t="b">
        <v>0</v>
      </c>
      <c r="G1723" t="b">
        <v>1</v>
      </c>
      <c r="H1723" t="b">
        <v>0</v>
      </c>
      <c r="I1723" t="b">
        <v>1</v>
      </c>
    </row>
    <row r="1724" spans="1:9" x14ac:dyDescent="0.2">
      <c r="A1724" t="s">
        <v>951</v>
      </c>
      <c r="B1724" t="s">
        <v>2493</v>
      </c>
      <c r="D1724" t="b">
        <f>IFERROR(VLOOKUP(B1724,PatData!$A$2:$A$2030,1,),"")&lt;&gt;""</f>
        <v>1</v>
      </c>
      <c r="E1724" t="b">
        <v>0</v>
      </c>
      <c r="F1724" t="b">
        <v>0</v>
      </c>
      <c r="G1724" t="b">
        <v>1</v>
      </c>
      <c r="H1724" t="b">
        <v>0</v>
      </c>
      <c r="I1724" t="b">
        <v>1</v>
      </c>
    </row>
    <row r="1725" spans="1:9" x14ac:dyDescent="0.2">
      <c r="A1725" t="s">
        <v>952</v>
      </c>
      <c r="B1725" t="s">
        <v>2494</v>
      </c>
      <c r="D1725" t="b">
        <f>IFERROR(VLOOKUP(B1725,PatData!$A$2:$A$2030,1,),"")&lt;&gt;""</f>
        <v>1</v>
      </c>
      <c r="E1725" t="b">
        <v>0</v>
      </c>
      <c r="F1725" t="b">
        <v>0</v>
      </c>
      <c r="G1725" t="b">
        <v>1</v>
      </c>
      <c r="H1725" t="b">
        <v>0</v>
      </c>
      <c r="I1725" t="b">
        <v>1</v>
      </c>
    </row>
    <row r="1726" spans="1:9" x14ac:dyDescent="0.2">
      <c r="A1726" t="s">
        <v>953</v>
      </c>
      <c r="B1726" t="s">
        <v>2495</v>
      </c>
      <c r="D1726" t="b">
        <f>IFERROR(VLOOKUP(B1726,PatData!$A$2:$A$2030,1,),"")&lt;&gt;""</f>
        <v>1</v>
      </c>
      <c r="E1726" t="b">
        <v>0</v>
      </c>
      <c r="F1726" t="b">
        <v>0</v>
      </c>
      <c r="G1726" t="b">
        <v>1</v>
      </c>
      <c r="H1726" t="b">
        <v>0</v>
      </c>
      <c r="I1726" t="b">
        <v>1</v>
      </c>
    </row>
    <row r="1727" spans="1:9" x14ac:dyDescent="0.2">
      <c r="A1727" t="s">
        <v>954</v>
      </c>
      <c r="B1727" t="s">
        <v>2496</v>
      </c>
      <c r="D1727" t="b">
        <f>IFERROR(VLOOKUP(B1727,PatData!$A$2:$A$2030,1,),"")&lt;&gt;""</f>
        <v>1</v>
      </c>
      <c r="E1727" t="b">
        <v>0</v>
      </c>
      <c r="F1727" t="b">
        <v>0</v>
      </c>
      <c r="G1727" t="b">
        <v>1</v>
      </c>
      <c r="H1727" t="b">
        <v>0</v>
      </c>
      <c r="I1727" t="b">
        <v>1</v>
      </c>
    </row>
    <row r="1728" spans="1:9" x14ac:dyDescent="0.2">
      <c r="A1728" t="s">
        <v>955</v>
      </c>
      <c r="B1728" t="s">
        <v>2497</v>
      </c>
      <c r="D1728" t="b">
        <f>IFERROR(VLOOKUP(B1728,PatData!$A$2:$A$2030,1,),"")&lt;&gt;""</f>
        <v>1</v>
      </c>
      <c r="E1728" t="b">
        <v>0</v>
      </c>
      <c r="F1728" t="b">
        <v>0</v>
      </c>
      <c r="G1728" t="b">
        <v>1</v>
      </c>
      <c r="H1728" t="b">
        <v>0</v>
      </c>
      <c r="I1728" t="b">
        <v>1</v>
      </c>
    </row>
    <row r="1729" spans="1:9" x14ac:dyDescent="0.2">
      <c r="A1729" t="s">
        <v>956</v>
      </c>
      <c r="B1729" t="s">
        <v>2498</v>
      </c>
      <c r="D1729" t="b">
        <f>IFERROR(VLOOKUP(B1729,PatData!$A$2:$A$2030,1,),"")&lt;&gt;""</f>
        <v>1</v>
      </c>
      <c r="E1729" t="b">
        <v>0</v>
      </c>
      <c r="F1729" t="b">
        <v>0</v>
      </c>
      <c r="G1729" t="b">
        <v>1</v>
      </c>
      <c r="H1729" t="b">
        <v>0</v>
      </c>
      <c r="I1729" t="b">
        <v>1</v>
      </c>
    </row>
    <row r="1730" spans="1:9" x14ac:dyDescent="0.2">
      <c r="A1730" t="s">
        <v>957</v>
      </c>
      <c r="B1730" t="s">
        <v>2499</v>
      </c>
      <c r="D1730" t="b">
        <f>IFERROR(VLOOKUP(B1730,PatData!$A$2:$A$2030,1,),"")&lt;&gt;""</f>
        <v>1</v>
      </c>
      <c r="E1730" t="b">
        <v>0</v>
      </c>
      <c r="F1730" t="b">
        <v>0</v>
      </c>
      <c r="G1730" t="b">
        <v>1</v>
      </c>
      <c r="H1730" t="b">
        <v>0</v>
      </c>
      <c r="I1730" t="b">
        <v>1</v>
      </c>
    </row>
    <row r="1731" spans="1:9" x14ac:dyDescent="0.2">
      <c r="A1731" t="s">
        <v>958</v>
      </c>
      <c r="B1731" t="s">
        <v>2500</v>
      </c>
      <c r="D1731" t="b">
        <f>IFERROR(VLOOKUP(B1731,PatData!$A$2:$A$2030,1,),"")&lt;&gt;""</f>
        <v>1</v>
      </c>
      <c r="E1731" t="b">
        <v>0</v>
      </c>
      <c r="F1731" t="b">
        <v>0</v>
      </c>
      <c r="G1731" t="b">
        <v>1</v>
      </c>
      <c r="H1731" t="b">
        <v>0</v>
      </c>
      <c r="I1731" t="b">
        <v>1</v>
      </c>
    </row>
    <row r="1732" spans="1:9" x14ac:dyDescent="0.2">
      <c r="A1732" t="s">
        <v>959</v>
      </c>
      <c r="B1732" t="s">
        <v>2501</v>
      </c>
      <c r="D1732" t="b">
        <f>IFERROR(VLOOKUP(B1732,PatData!$A$2:$A$2030,1,),"")&lt;&gt;""</f>
        <v>1</v>
      </c>
      <c r="E1732" t="b">
        <v>0</v>
      </c>
      <c r="F1732" t="b">
        <v>0</v>
      </c>
      <c r="G1732" t="b">
        <v>1</v>
      </c>
      <c r="H1732" t="b">
        <v>0</v>
      </c>
      <c r="I1732" t="b">
        <v>1</v>
      </c>
    </row>
    <row r="1733" spans="1:9" x14ac:dyDescent="0.2">
      <c r="A1733" t="s">
        <v>960</v>
      </c>
      <c r="B1733" t="s">
        <v>2502</v>
      </c>
      <c r="D1733" t="b">
        <f>IFERROR(VLOOKUP(B1733,PatData!$A$2:$A$2030,1,),"")&lt;&gt;""</f>
        <v>1</v>
      </c>
      <c r="E1733" t="b">
        <v>0</v>
      </c>
      <c r="F1733" t="b">
        <v>0</v>
      </c>
      <c r="G1733" t="b">
        <v>1</v>
      </c>
      <c r="H1733" t="b">
        <v>0</v>
      </c>
      <c r="I1733" t="b">
        <v>1</v>
      </c>
    </row>
    <row r="1734" spans="1:9" x14ac:dyDescent="0.2">
      <c r="A1734" t="s">
        <v>961</v>
      </c>
      <c r="B1734" t="s">
        <v>2503</v>
      </c>
      <c r="D1734" t="b">
        <f>IFERROR(VLOOKUP(B1734,PatData!$A$2:$A$2030,1,),"")&lt;&gt;""</f>
        <v>1</v>
      </c>
      <c r="E1734" t="b">
        <v>0</v>
      </c>
      <c r="F1734" t="b">
        <v>0</v>
      </c>
      <c r="G1734" t="b">
        <v>1</v>
      </c>
      <c r="H1734" t="b">
        <v>0</v>
      </c>
      <c r="I1734" t="b">
        <v>1</v>
      </c>
    </row>
    <row r="1735" spans="1:9" x14ac:dyDescent="0.2">
      <c r="A1735" t="s">
        <v>962</v>
      </c>
      <c r="B1735" t="s">
        <v>2504</v>
      </c>
      <c r="D1735" t="b">
        <f>IFERROR(VLOOKUP(B1735,PatData!$A$2:$A$2030,1,),"")&lt;&gt;""</f>
        <v>1</v>
      </c>
      <c r="E1735" t="b">
        <v>0</v>
      </c>
      <c r="F1735" t="b">
        <v>0</v>
      </c>
      <c r="G1735" t="b">
        <v>1</v>
      </c>
      <c r="H1735" t="b">
        <v>0</v>
      </c>
      <c r="I1735" t="b">
        <v>1</v>
      </c>
    </row>
    <row r="1736" spans="1:9" x14ac:dyDescent="0.2">
      <c r="A1736" t="s">
        <v>963</v>
      </c>
      <c r="B1736" t="s">
        <v>2505</v>
      </c>
      <c r="D1736" t="b">
        <f>IFERROR(VLOOKUP(B1736,PatData!$A$2:$A$2030,1,),"")&lt;&gt;""</f>
        <v>1</v>
      </c>
      <c r="E1736" t="b">
        <v>0</v>
      </c>
      <c r="F1736" t="b">
        <v>0</v>
      </c>
      <c r="G1736" t="b">
        <v>1</v>
      </c>
      <c r="H1736" t="b">
        <v>0</v>
      </c>
      <c r="I1736" t="b">
        <v>1</v>
      </c>
    </row>
    <row r="1737" spans="1:9" x14ac:dyDescent="0.2">
      <c r="A1737" t="s">
        <v>964</v>
      </c>
      <c r="B1737" t="s">
        <v>2506</v>
      </c>
      <c r="D1737" t="b">
        <f>IFERROR(VLOOKUP(B1737,PatData!$A$2:$A$2030,1,),"")&lt;&gt;""</f>
        <v>1</v>
      </c>
      <c r="E1737" t="b">
        <v>0</v>
      </c>
      <c r="F1737" t="b">
        <v>0</v>
      </c>
      <c r="G1737" t="b">
        <v>1</v>
      </c>
      <c r="H1737" t="b">
        <v>0</v>
      </c>
      <c r="I1737" t="b">
        <v>1</v>
      </c>
    </row>
    <row r="1738" spans="1:9" x14ac:dyDescent="0.2">
      <c r="A1738" t="s">
        <v>965</v>
      </c>
      <c r="B1738" t="s">
        <v>2507</v>
      </c>
      <c r="D1738" t="b">
        <f>IFERROR(VLOOKUP(B1738,PatData!$A$2:$A$2030,1,),"")&lt;&gt;""</f>
        <v>1</v>
      </c>
      <c r="E1738" t="b">
        <v>0</v>
      </c>
      <c r="F1738" t="b">
        <v>0</v>
      </c>
      <c r="G1738" t="b">
        <v>1</v>
      </c>
      <c r="H1738" t="b">
        <v>0</v>
      </c>
      <c r="I1738" t="b">
        <v>1</v>
      </c>
    </row>
    <row r="1739" spans="1:9" x14ac:dyDescent="0.2">
      <c r="A1739" t="s">
        <v>966</v>
      </c>
      <c r="B1739" t="s">
        <v>2508</v>
      </c>
      <c r="D1739" t="b">
        <f>IFERROR(VLOOKUP(B1739,PatData!$A$2:$A$2030,1,),"")&lt;&gt;""</f>
        <v>1</v>
      </c>
      <c r="E1739" t="b">
        <v>0</v>
      </c>
      <c r="F1739" t="b">
        <v>0</v>
      </c>
      <c r="G1739" t="b">
        <v>1</v>
      </c>
      <c r="H1739" t="b">
        <v>0</v>
      </c>
      <c r="I1739" t="b">
        <v>1</v>
      </c>
    </row>
    <row r="1740" spans="1:9" x14ac:dyDescent="0.2">
      <c r="A1740" t="s">
        <v>967</v>
      </c>
      <c r="B1740" t="s">
        <v>2509</v>
      </c>
      <c r="D1740" t="b">
        <f>IFERROR(VLOOKUP(B1740,PatData!$A$2:$A$2030,1,),"")&lt;&gt;""</f>
        <v>1</v>
      </c>
      <c r="E1740" t="b">
        <v>0</v>
      </c>
      <c r="F1740" t="b">
        <v>0</v>
      </c>
      <c r="G1740" t="b">
        <v>1</v>
      </c>
      <c r="H1740" t="b">
        <v>0</v>
      </c>
      <c r="I1740" t="b">
        <v>1</v>
      </c>
    </row>
    <row r="1741" spans="1:9" x14ac:dyDescent="0.2">
      <c r="A1741" t="s">
        <v>968</v>
      </c>
      <c r="B1741" t="s">
        <v>2510</v>
      </c>
      <c r="D1741" t="b">
        <f>IFERROR(VLOOKUP(B1741,PatData!$A$2:$A$2030,1,),"")&lt;&gt;""</f>
        <v>1</v>
      </c>
      <c r="E1741" t="b">
        <v>0</v>
      </c>
      <c r="F1741" t="b">
        <v>0</v>
      </c>
      <c r="G1741" t="b">
        <v>1</v>
      </c>
      <c r="H1741" t="b">
        <v>0</v>
      </c>
      <c r="I1741" t="b">
        <v>1</v>
      </c>
    </row>
    <row r="1742" spans="1:9" x14ac:dyDescent="0.2">
      <c r="A1742" t="s">
        <v>969</v>
      </c>
      <c r="B1742" t="s">
        <v>2511</v>
      </c>
      <c r="D1742" t="b">
        <f>IFERROR(VLOOKUP(B1742,PatData!$A$2:$A$2030,1,),"")&lt;&gt;""</f>
        <v>1</v>
      </c>
      <c r="E1742" t="b">
        <v>0</v>
      </c>
      <c r="F1742" t="b">
        <v>0</v>
      </c>
      <c r="G1742" t="b">
        <v>1</v>
      </c>
      <c r="H1742" t="b">
        <v>0</v>
      </c>
      <c r="I1742" t="b">
        <v>1</v>
      </c>
    </row>
    <row r="1743" spans="1:9" x14ac:dyDescent="0.2">
      <c r="A1743" t="s">
        <v>970</v>
      </c>
      <c r="B1743" t="s">
        <v>2512</v>
      </c>
      <c r="D1743" t="b">
        <f>IFERROR(VLOOKUP(B1743,PatData!$A$2:$A$2030,1,),"")&lt;&gt;""</f>
        <v>1</v>
      </c>
      <c r="E1743" t="b">
        <v>0</v>
      </c>
      <c r="F1743" t="b">
        <v>0</v>
      </c>
      <c r="G1743" t="b">
        <v>1</v>
      </c>
      <c r="H1743" t="b">
        <v>0</v>
      </c>
      <c r="I1743" t="b">
        <v>1</v>
      </c>
    </row>
    <row r="1744" spans="1:9" x14ac:dyDescent="0.2">
      <c r="A1744" t="s">
        <v>971</v>
      </c>
      <c r="B1744" t="s">
        <v>2513</v>
      </c>
      <c r="D1744" t="b">
        <f>IFERROR(VLOOKUP(B1744,PatData!$A$2:$A$2030,1,),"")&lt;&gt;""</f>
        <v>1</v>
      </c>
      <c r="E1744" t="b">
        <v>0</v>
      </c>
      <c r="F1744" t="b">
        <v>0</v>
      </c>
      <c r="G1744" t="b">
        <v>1</v>
      </c>
      <c r="H1744" t="b">
        <v>0</v>
      </c>
      <c r="I1744" t="b">
        <v>1</v>
      </c>
    </row>
    <row r="1745" spans="1:9" x14ac:dyDescent="0.2">
      <c r="A1745" t="s">
        <v>972</v>
      </c>
      <c r="B1745" t="s">
        <v>2514</v>
      </c>
      <c r="D1745" t="b">
        <f>IFERROR(VLOOKUP(B1745,PatData!$A$2:$A$2030,1,),"")&lt;&gt;""</f>
        <v>1</v>
      </c>
      <c r="E1745" t="b">
        <v>0</v>
      </c>
      <c r="F1745" t="b">
        <v>0</v>
      </c>
      <c r="G1745" t="b">
        <v>1</v>
      </c>
      <c r="H1745" t="b">
        <v>0</v>
      </c>
      <c r="I1745" t="b">
        <v>1</v>
      </c>
    </row>
    <row r="1746" spans="1:9" x14ac:dyDescent="0.2">
      <c r="A1746" t="s">
        <v>973</v>
      </c>
      <c r="B1746" t="s">
        <v>2515</v>
      </c>
      <c r="D1746" t="b">
        <f>IFERROR(VLOOKUP(B1746,PatData!$A$2:$A$2030,1,),"")&lt;&gt;""</f>
        <v>1</v>
      </c>
      <c r="E1746" t="b">
        <v>0</v>
      </c>
      <c r="F1746" t="b">
        <v>0</v>
      </c>
      <c r="G1746" t="b">
        <v>1</v>
      </c>
      <c r="H1746" t="b">
        <v>0</v>
      </c>
      <c r="I1746" t="b">
        <v>1</v>
      </c>
    </row>
    <row r="1747" spans="1:9" x14ac:dyDescent="0.2">
      <c r="A1747" t="s">
        <v>974</v>
      </c>
      <c r="B1747" t="s">
        <v>2516</v>
      </c>
      <c r="D1747" t="b">
        <f>IFERROR(VLOOKUP(B1747,PatData!$A$2:$A$2030,1,),"")&lt;&gt;""</f>
        <v>1</v>
      </c>
      <c r="E1747" t="b">
        <v>0</v>
      </c>
      <c r="F1747" t="b">
        <v>0</v>
      </c>
      <c r="G1747" t="b">
        <v>1</v>
      </c>
      <c r="H1747" t="b">
        <v>0</v>
      </c>
      <c r="I1747" t="b">
        <v>1</v>
      </c>
    </row>
    <row r="1748" spans="1:9" x14ac:dyDescent="0.2">
      <c r="A1748" t="s">
        <v>975</v>
      </c>
      <c r="B1748" t="s">
        <v>2517</v>
      </c>
      <c r="D1748" t="b">
        <f>IFERROR(VLOOKUP(B1748,PatData!$A$2:$A$2030,1,),"")&lt;&gt;""</f>
        <v>1</v>
      </c>
      <c r="E1748" t="b">
        <v>0</v>
      </c>
      <c r="F1748" t="b">
        <v>0</v>
      </c>
      <c r="G1748" t="b">
        <v>1</v>
      </c>
      <c r="H1748" t="b">
        <v>0</v>
      </c>
      <c r="I1748" t="b">
        <v>1</v>
      </c>
    </row>
    <row r="1749" spans="1:9" x14ac:dyDescent="0.2">
      <c r="A1749" t="s">
        <v>976</v>
      </c>
      <c r="B1749" t="s">
        <v>2518</v>
      </c>
      <c r="D1749" t="b">
        <f>IFERROR(VLOOKUP(B1749,PatData!$A$2:$A$2030,1,),"")&lt;&gt;""</f>
        <v>1</v>
      </c>
      <c r="E1749" t="b">
        <v>0</v>
      </c>
      <c r="F1749" t="b">
        <v>0</v>
      </c>
      <c r="G1749" t="b">
        <v>1</v>
      </c>
      <c r="H1749" t="b">
        <v>0</v>
      </c>
      <c r="I1749" t="b">
        <v>1</v>
      </c>
    </row>
    <row r="1750" spans="1:9" x14ac:dyDescent="0.2">
      <c r="A1750" t="s">
        <v>977</v>
      </c>
      <c r="B1750" t="s">
        <v>2519</v>
      </c>
      <c r="D1750" t="b">
        <f>IFERROR(VLOOKUP(B1750,PatData!$A$2:$A$2030,1,),"")&lt;&gt;""</f>
        <v>1</v>
      </c>
      <c r="E1750" t="b">
        <v>0</v>
      </c>
      <c r="F1750" t="b">
        <v>0</v>
      </c>
      <c r="G1750" t="b">
        <v>1</v>
      </c>
      <c r="H1750" t="b">
        <v>0</v>
      </c>
      <c r="I1750" t="b">
        <v>1</v>
      </c>
    </row>
    <row r="1751" spans="1:9" x14ac:dyDescent="0.2">
      <c r="A1751" t="s">
        <v>978</v>
      </c>
      <c r="B1751" t="s">
        <v>2520</v>
      </c>
      <c r="D1751" t="b">
        <f>IFERROR(VLOOKUP(B1751,PatData!$A$2:$A$2030,1,),"")&lt;&gt;""</f>
        <v>1</v>
      </c>
      <c r="E1751" t="b">
        <v>0</v>
      </c>
      <c r="F1751" t="b">
        <v>0</v>
      </c>
      <c r="G1751" t="b">
        <v>1</v>
      </c>
      <c r="H1751" t="b">
        <v>0</v>
      </c>
      <c r="I1751" t="b">
        <v>1</v>
      </c>
    </row>
    <row r="1752" spans="1:9" x14ac:dyDescent="0.2">
      <c r="A1752" t="s">
        <v>979</v>
      </c>
      <c r="B1752" t="s">
        <v>2521</v>
      </c>
      <c r="D1752" t="b">
        <f>IFERROR(VLOOKUP(B1752,PatData!$A$2:$A$2030,1,),"")&lt;&gt;""</f>
        <v>1</v>
      </c>
      <c r="E1752" t="b">
        <v>0</v>
      </c>
      <c r="F1752" t="b">
        <v>0</v>
      </c>
      <c r="G1752" t="b">
        <v>1</v>
      </c>
      <c r="H1752" t="b">
        <v>0</v>
      </c>
      <c r="I1752" t="b">
        <v>1</v>
      </c>
    </row>
    <row r="1753" spans="1:9" x14ac:dyDescent="0.2">
      <c r="A1753" t="s">
        <v>980</v>
      </c>
      <c r="B1753" t="s">
        <v>2522</v>
      </c>
      <c r="D1753" t="b">
        <f>IFERROR(VLOOKUP(B1753,PatData!$A$2:$A$2030,1,),"")&lt;&gt;""</f>
        <v>1</v>
      </c>
      <c r="E1753" t="b">
        <v>0</v>
      </c>
      <c r="F1753" t="b">
        <v>0</v>
      </c>
      <c r="G1753" t="b">
        <v>1</v>
      </c>
      <c r="H1753" t="b">
        <v>0</v>
      </c>
      <c r="I1753" t="b">
        <v>1</v>
      </c>
    </row>
    <row r="1754" spans="1:9" x14ac:dyDescent="0.2">
      <c r="A1754" t="s">
        <v>981</v>
      </c>
      <c r="B1754" t="s">
        <v>2523</v>
      </c>
      <c r="D1754" t="b">
        <f>IFERROR(VLOOKUP(B1754,PatData!$A$2:$A$2030,1,),"")&lt;&gt;""</f>
        <v>1</v>
      </c>
      <c r="E1754" t="b">
        <v>0</v>
      </c>
      <c r="F1754" t="b">
        <v>0</v>
      </c>
      <c r="G1754" t="b">
        <v>1</v>
      </c>
      <c r="H1754" t="b">
        <v>0</v>
      </c>
      <c r="I1754" t="b">
        <v>1</v>
      </c>
    </row>
    <row r="1755" spans="1:9" x14ac:dyDescent="0.2">
      <c r="A1755" t="s">
        <v>982</v>
      </c>
      <c r="B1755" t="s">
        <v>2524</v>
      </c>
      <c r="D1755" t="b">
        <f>IFERROR(VLOOKUP(B1755,PatData!$A$2:$A$2030,1,),"")&lt;&gt;""</f>
        <v>1</v>
      </c>
      <c r="E1755" t="b">
        <v>0</v>
      </c>
      <c r="F1755" t="b">
        <v>0</v>
      </c>
      <c r="G1755" t="b">
        <v>1</v>
      </c>
      <c r="H1755" t="b">
        <v>0</v>
      </c>
      <c r="I1755" t="b">
        <v>1</v>
      </c>
    </row>
    <row r="1756" spans="1:9" x14ac:dyDescent="0.2">
      <c r="A1756" t="s">
        <v>983</v>
      </c>
      <c r="B1756" t="s">
        <v>2525</v>
      </c>
      <c r="D1756" t="b">
        <f>IFERROR(VLOOKUP(B1756,PatData!$A$2:$A$2030,1,),"")&lt;&gt;""</f>
        <v>1</v>
      </c>
      <c r="E1756" t="b">
        <v>0</v>
      </c>
      <c r="F1756" t="b">
        <v>0</v>
      </c>
      <c r="G1756" t="b">
        <v>1</v>
      </c>
      <c r="H1756" t="b">
        <v>0</v>
      </c>
      <c r="I1756" t="b">
        <v>1</v>
      </c>
    </row>
    <row r="1757" spans="1:9" x14ac:dyDescent="0.2">
      <c r="A1757" t="s">
        <v>984</v>
      </c>
      <c r="B1757" t="s">
        <v>2526</v>
      </c>
      <c r="D1757" t="b">
        <f>IFERROR(VLOOKUP(B1757,PatData!$A$2:$A$2030,1,),"")&lt;&gt;""</f>
        <v>1</v>
      </c>
      <c r="E1757" t="b">
        <v>0</v>
      </c>
      <c r="F1757" t="b">
        <v>0</v>
      </c>
      <c r="G1757" t="b">
        <v>1</v>
      </c>
      <c r="H1757" t="b">
        <v>0</v>
      </c>
      <c r="I1757" t="b">
        <v>1</v>
      </c>
    </row>
    <row r="1758" spans="1:9" x14ac:dyDescent="0.2">
      <c r="A1758" t="s">
        <v>985</v>
      </c>
      <c r="B1758" t="s">
        <v>2527</v>
      </c>
      <c r="D1758" t="b">
        <f>IFERROR(VLOOKUP(B1758,PatData!$A$2:$A$2030,1,),"")&lt;&gt;""</f>
        <v>1</v>
      </c>
      <c r="E1758" t="b">
        <v>0</v>
      </c>
      <c r="F1758" t="b">
        <v>0</v>
      </c>
      <c r="G1758" t="b">
        <v>1</v>
      </c>
      <c r="H1758" t="b">
        <v>0</v>
      </c>
      <c r="I1758" t="b">
        <v>1</v>
      </c>
    </row>
    <row r="1759" spans="1:9" x14ac:dyDescent="0.2">
      <c r="A1759" t="s">
        <v>986</v>
      </c>
      <c r="B1759" t="s">
        <v>2528</v>
      </c>
      <c r="D1759" t="b">
        <f>IFERROR(VLOOKUP(B1759,PatData!$A$2:$A$2030,1,),"")&lt;&gt;""</f>
        <v>1</v>
      </c>
      <c r="E1759" t="b">
        <v>0</v>
      </c>
      <c r="F1759" t="b">
        <v>0</v>
      </c>
      <c r="G1759" t="b">
        <v>1</v>
      </c>
      <c r="H1759" t="b">
        <v>0</v>
      </c>
      <c r="I1759" t="b">
        <v>1</v>
      </c>
    </row>
    <row r="1760" spans="1:9" x14ac:dyDescent="0.2">
      <c r="A1760" t="s">
        <v>987</v>
      </c>
      <c r="B1760" t="s">
        <v>2529</v>
      </c>
      <c r="D1760" t="b">
        <f>IFERROR(VLOOKUP(B1760,PatData!$A$2:$A$2030,1,),"")&lt;&gt;""</f>
        <v>1</v>
      </c>
      <c r="E1760" t="b">
        <v>0</v>
      </c>
      <c r="F1760" t="b">
        <v>0</v>
      </c>
      <c r="G1760" t="b">
        <v>1</v>
      </c>
      <c r="H1760" t="b">
        <v>0</v>
      </c>
      <c r="I1760" t="b">
        <v>1</v>
      </c>
    </row>
    <row r="1761" spans="1:9" x14ac:dyDescent="0.2">
      <c r="A1761" t="s">
        <v>988</v>
      </c>
      <c r="B1761" t="s">
        <v>2530</v>
      </c>
      <c r="D1761" t="b">
        <f>IFERROR(VLOOKUP(B1761,PatData!$A$2:$A$2030,1,),"")&lt;&gt;""</f>
        <v>1</v>
      </c>
      <c r="E1761" t="b">
        <v>0</v>
      </c>
      <c r="F1761" t="b">
        <v>0</v>
      </c>
      <c r="G1761" t="b">
        <v>1</v>
      </c>
      <c r="H1761" t="b">
        <v>0</v>
      </c>
      <c r="I1761" t="b">
        <v>1</v>
      </c>
    </row>
    <row r="1762" spans="1:9" x14ac:dyDescent="0.2">
      <c r="A1762" t="s">
        <v>989</v>
      </c>
      <c r="B1762" t="s">
        <v>2531</v>
      </c>
      <c r="D1762" t="b">
        <f>IFERROR(VLOOKUP(B1762,PatData!$A$2:$A$2030,1,),"")&lt;&gt;""</f>
        <v>1</v>
      </c>
      <c r="E1762" t="b">
        <v>0</v>
      </c>
      <c r="F1762" t="b">
        <v>0</v>
      </c>
      <c r="G1762" t="b">
        <v>1</v>
      </c>
      <c r="H1762" t="b">
        <v>0</v>
      </c>
      <c r="I1762" t="b">
        <v>1</v>
      </c>
    </row>
    <row r="1763" spans="1:9" x14ac:dyDescent="0.2">
      <c r="A1763" t="s">
        <v>990</v>
      </c>
      <c r="B1763" t="s">
        <v>2532</v>
      </c>
      <c r="D1763" t="b">
        <f>IFERROR(VLOOKUP(B1763,PatData!$A$2:$A$2030,1,),"")&lt;&gt;""</f>
        <v>1</v>
      </c>
      <c r="E1763" t="b">
        <v>0</v>
      </c>
      <c r="F1763" t="b">
        <v>0</v>
      </c>
      <c r="G1763" t="b">
        <v>1</v>
      </c>
      <c r="H1763" t="b">
        <v>0</v>
      </c>
      <c r="I1763" t="b">
        <v>1</v>
      </c>
    </row>
    <row r="1764" spans="1:9" x14ac:dyDescent="0.2">
      <c r="A1764" t="s">
        <v>991</v>
      </c>
      <c r="B1764" t="s">
        <v>2533</v>
      </c>
      <c r="D1764" t="b">
        <f>IFERROR(VLOOKUP(B1764,PatData!$A$2:$A$2030,1,),"")&lt;&gt;""</f>
        <v>1</v>
      </c>
      <c r="E1764" t="b">
        <v>0</v>
      </c>
      <c r="F1764" t="b">
        <v>0</v>
      </c>
      <c r="G1764" t="b">
        <v>1</v>
      </c>
      <c r="H1764" t="b">
        <v>0</v>
      </c>
      <c r="I1764" t="b">
        <v>1</v>
      </c>
    </row>
    <row r="1765" spans="1:9" x14ac:dyDescent="0.2">
      <c r="A1765" t="s">
        <v>992</v>
      </c>
      <c r="B1765" t="s">
        <v>2534</v>
      </c>
      <c r="D1765" t="b">
        <f>IFERROR(VLOOKUP(B1765,PatData!$A$2:$A$2030,1,),"")&lt;&gt;""</f>
        <v>1</v>
      </c>
      <c r="E1765" t="b">
        <v>0</v>
      </c>
      <c r="F1765" t="b">
        <v>0</v>
      </c>
      <c r="G1765" t="b">
        <v>1</v>
      </c>
      <c r="H1765" t="b">
        <v>0</v>
      </c>
      <c r="I1765" t="b">
        <v>1</v>
      </c>
    </row>
    <row r="1766" spans="1:9" x14ac:dyDescent="0.2">
      <c r="A1766" t="s">
        <v>993</v>
      </c>
      <c r="B1766" t="s">
        <v>2535</v>
      </c>
      <c r="D1766" t="b">
        <f>IFERROR(VLOOKUP(B1766,PatData!$A$2:$A$2030,1,),"")&lt;&gt;""</f>
        <v>1</v>
      </c>
      <c r="E1766" t="b">
        <v>0</v>
      </c>
      <c r="F1766" t="b">
        <v>0</v>
      </c>
      <c r="G1766" t="b">
        <v>1</v>
      </c>
      <c r="H1766" t="b">
        <v>0</v>
      </c>
      <c r="I1766" t="b">
        <v>1</v>
      </c>
    </row>
    <row r="1767" spans="1:9" x14ac:dyDescent="0.2">
      <c r="A1767" t="s">
        <v>994</v>
      </c>
      <c r="B1767" t="s">
        <v>2536</v>
      </c>
      <c r="D1767" t="b">
        <f>IFERROR(VLOOKUP(B1767,PatData!$A$2:$A$2030,1,),"")&lt;&gt;""</f>
        <v>1</v>
      </c>
      <c r="E1767" t="b">
        <v>0</v>
      </c>
      <c r="F1767" t="b">
        <v>0</v>
      </c>
      <c r="G1767" t="b">
        <v>1</v>
      </c>
      <c r="H1767" t="b">
        <v>0</v>
      </c>
      <c r="I1767" t="b">
        <v>1</v>
      </c>
    </row>
    <row r="1768" spans="1:9" x14ac:dyDescent="0.2">
      <c r="A1768" t="s">
        <v>995</v>
      </c>
      <c r="B1768" t="s">
        <v>2537</v>
      </c>
      <c r="D1768" t="b">
        <f>IFERROR(VLOOKUP(B1768,PatData!$A$2:$A$2030,1,),"")&lt;&gt;""</f>
        <v>1</v>
      </c>
      <c r="E1768" t="b">
        <v>0</v>
      </c>
      <c r="F1768" t="b">
        <v>0</v>
      </c>
      <c r="G1768" t="b">
        <v>1</v>
      </c>
      <c r="H1768" t="b">
        <v>0</v>
      </c>
      <c r="I1768" t="b">
        <v>1</v>
      </c>
    </row>
    <row r="1769" spans="1:9" x14ac:dyDescent="0.2">
      <c r="A1769" t="s">
        <v>996</v>
      </c>
      <c r="B1769" t="s">
        <v>2538</v>
      </c>
      <c r="D1769" t="b">
        <f>IFERROR(VLOOKUP(B1769,PatData!$A$2:$A$2030,1,),"")&lt;&gt;""</f>
        <v>1</v>
      </c>
      <c r="E1769" t="b">
        <v>0</v>
      </c>
      <c r="F1769" t="b">
        <v>0</v>
      </c>
      <c r="G1769" t="b">
        <v>1</v>
      </c>
      <c r="H1769" t="b">
        <v>0</v>
      </c>
      <c r="I1769" t="b">
        <v>1</v>
      </c>
    </row>
    <row r="1770" spans="1:9" x14ac:dyDescent="0.2">
      <c r="A1770" t="s">
        <v>997</v>
      </c>
      <c r="B1770" t="s">
        <v>2539</v>
      </c>
      <c r="D1770" t="b">
        <f>IFERROR(VLOOKUP(B1770,PatData!$A$2:$A$2030,1,),"")&lt;&gt;""</f>
        <v>1</v>
      </c>
      <c r="E1770" t="b">
        <v>0</v>
      </c>
      <c r="F1770" t="b">
        <v>0</v>
      </c>
      <c r="G1770" t="b">
        <v>1</v>
      </c>
      <c r="H1770" t="b">
        <v>0</v>
      </c>
      <c r="I1770" t="b">
        <v>1</v>
      </c>
    </row>
    <row r="1771" spans="1:9" x14ac:dyDescent="0.2">
      <c r="A1771" t="s">
        <v>998</v>
      </c>
      <c r="B1771" t="s">
        <v>2540</v>
      </c>
      <c r="D1771" t="b">
        <f>IFERROR(VLOOKUP(B1771,PatData!$A$2:$A$2030,1,),"")&lt;&gt;""</f>
        <v>1</v>
      </c>
      <c r="E1771" t="b">
        <v>0</v>
      </c>
      <c r="F1771" t="b">
        <v>0</v>
      </c>
      <c r="G1771" t="b">
        <v>1</v>
      </c>
      <c r="H1771" t="b">
        <v>0</v>
      </c>
      <c r="I1771" t="b">
        <v>1</v>
      </c>
    </row>
    <row r="1772" spans="1:9" x14ac:dyDescent="0.2">
      <c r="A1772" t="s">
        <v>999</v>
      </c>
      <c r="B1772" t="s">
        <v>2541</v>
      </c>
      <c r="D1772" t="b">
        <f>IFERROR(VLOOKUP(B1772,PatData!$A$2:$A$2030,1,),"")&lt;&gt;""</f>
        <v>1</v>
      </c>
      <c r="E1772" t="b">
        <v>0</v>
      </c>
      <c r="F1772" t="b">
        <v>0</v>
      </c>
      <c r="G1772" t="b">
        <v>1</v>
      </c>
      <c r="H1772" t="b">
        <v>0</v>
      </c>
      <c r="I1772" t="b">
        <v>1</v>
      </c>
    </row>
    <row r="1773" spans="1:9" x14ac:dyDescent="0.2">
      <c r="A1773" t="s">
        <v>1000</v>
      </c>
      <c r="B1773" t="s">
        <v>2542</v>
      </c>
      <c r="D1773" t="b">
        <f>IFERROR(VLOOKUP(B1773,PatData!$A$2:$A$2030,1,),"")&lt;&gt;""</f>
        <v>1</v>
      </c>
      <c r="E1773" t="b">
        <v>0</v>
      </c>
      <c r="F1773" t="b">
        <v>0</v>
      </c>
      <c r="G1773" t="b">
        <v>1</v>
      </c>
      <c r="H1773" t="b">
        <v>0</v>
      </c>
      <c r="I1773" t="b">
        <v>1</v>
      </c>
    </row>
    <row r="1774" spans="1:9" x14ac:dyDescent="0.2">
      <c r="A1774" t="s">
        <v>1001</v>
      </c>
      <c r="B1774" t="s">
        <v>2543</v>
      </c>
      <c r="D1774" t="b">
        <f>IFERROR(VLOOKUP(B1774,PatData!$A$2:$A$2030,1,),"")&lt;&gt;""</f>
        <v>1</v>
      </c>
      <c r="E1774" t="b">
        <v>0</v>
      </c>
      <c r="F1774" t="b">
        <v>0</v>
      </c>
      <c r="G1774" t="b">
        <v>1</v>
      </c>
      <c r="H1774" t="b">
        <v>0</v>
      </c>
      <c r="I1774" t="b">
        <v>1</v>
      </c>
    </row>
    <row r="1775" spans="1:9" x14ac:dyDescent="0.2">
      <c r="A1775" t="s">
        <v>1002</v>
      </c>
      <c r="B1775" t="s">
        <v>2544</v>
      </c>
      <c r="D1775" t="b">
        <f>IFERROR(VLOOKUP(B1775,PatData!$A$2:$A$2030,1,),"")&lt;&gt;""</f>
        <v>1</v>
      </c>
      <c r="E1775" t="b">
        <v>0</v>
      </c>
      <c r="F1775" t="b">
        <v>0</v>
      </c>
      <c r="G1775" t="b">
        <v>1</v>
      </c>
      <c r="H1775" t="b">
        <v>0</v>
      </c>
      <c r="I1775" t="b">
        <v>1</v>
      </c>
    </row>
    <row r="1776" spans="1:9" x14ac:dyDescent="0.2">
      <c r="A1776" t="s">
        <v>1003</v>
      </c>
      <c r="B1776" t="s">
        <v>2545</v>
      </c>
      <c r="D1776" t="b">
        <f>IFERROR(VLOOKUP(B1776,PatData!$A$2:$A$2030,1,),"")&lt;&gt;""</f>
        <v>1</v>
      </c>
      <c r="E1776" t="b">
        <v>0</v>
      </c>
      <c r="F1776" t="b">
        <v>0</v>
      </c>
      <c r="G1776" t="b">
        <v>1</v>
      </c>
      <c r="H1776" t="b">
        <v>0</v>
      </c>
      <c r="I1776" t="b">
        <v>1</v>
      </c>
    </row>
    <row r="1777" spans="1:9" x14ac:dyDescent="0.2">
      <c r="A1777" t="s">
        <v>1004</v>
      </c>
      <c r="B1777" t="s">
        <v>2546</v>
      </c>
      <c r="D1777" t="b">
        <f>IFERROR(VLOOKUP(B1777,PatData!$A$2:$A$2030,1,),"")&lt;&gt;""</f>
        <v>1</v>
      </c>
      <c r="E1777" t="b">
        <v>0</v>
      </c>
      <c r="F1777" t="b">
        <v>0</v>
      </c>
      <c r="G1777" t="b">
        <v>1</v>
      </c>
      <c r="H1777" t="b">
        <v>0</v>
      </c>
      <c r="I1777" t="b">
        <v>1</v>
      </c>
    </row>
    <row r="1778" spans="1:9" x14ac:dyDescent="0.2">
      <c r="A1778" t="s">
        <v>1005</v>
      </c>
      <c r="B1778" t="s">
        <v>2547</v>
      </c>
      <c r="D1778" t="b">
        <f>IFERROR(VLOOKUP(B1778,PatData!$A$2:$A$2030,1,),"")&lt;&gt;""</f>
        <v>1</v>
      </c>
      <c r="E1778" t="b">
        <v>0</v>
      </c>
      <c r="F1778" t="b">
        <v>0</v>
      </c>
      <c r="G1778" t="b">
        <v>1</v>
      </c>
      <c r="H1778" t="b">
        <v>0</v>
      </c>
      <c r="I1778" t="b">
        <v>1</v>
      </c>
    </row>
    <row r="1779" spans="1:9" x14ac:dyDescent="0.2">
      <c r="A1779" t="s">
        <v>1006</v>
      </c>
      <c r="B1779" t="s">
        <v>2548</v>
      </c>
      <c r="D1779" t="b">
        <f>IFERROR(VLOOKUP(B1779,PatData!$A$2:$A$2030,1,),"")&lt;&gt;""</f>
        <v>1</v>
      </c>
      <c r="E1779" t="b">
        <v>0</v>
      </c>
      <c r="F1779" t="b">
        <v>0</v>
      </c>
      <c r="G1779" t="b">
        <v>1</v>
      </c>
      <c r="H1779" t="b">
        <v>0</v>
      </c>
      <c r="I1779" t="b">
        <v>1</v>
      </c>
    </row>
    <row r="1780" spans="1:9" x14ac:dyDescent="0.2">
      <c r="A1780" t="s">
        <v>1007</v>
      </c>
      <c r="B1780" t="s">
        <v>2549</v>
      </c>
      <c r="D1780" t="b">
        <f>IFERROR(VLOOKUP(B1780,PatData!$A$2:$A$2030,1,),"")&lt;&gt;""</f>
        <v>1</v>
      </c>
      <c r="E1780" t="b">
        <v>0</v>
      </c>
      <c r="F1780" t="b">
        <v>0</v>
      </c>
      <c r="G1780" t="b">
        <v>1</v>
      </c>
      <c r="H1780" t="b">
        <v>0</v>
      </c>
      <c r="I1780" t="b">
        <v>1</v>
      </c>
    </row>
    <row r="1781" spans="1:9" x14ac:dyDescent="0.2">
      <c r="A1781" t="s">
        <v>1008</v>
      </c>
      <c r="B1781" t="s">
        <v>2550</v>
      </c>
      <c r="D1781" t="b">
        <f>IFERROR(VLOOKUP(B1781,PatData!$A$2:$A$2030,1,),"")&lt;&gt;""</f>
        <v>1</v>
      </c>
      <c r="E1781" t="b">
        <v>0</v>
      </c>
      <c r="F1781" t="b">
        <v>0</v>
      </c>
      <c r="G1781" t="b">
        <v>1</v>
      </c>
      <c r="H1781" t="b">
        <v>0</v>
      </c>
      <c r="I1781" t="b">
        <v>1</v>
      </c>
    </row>
    <row r="1782" spans="1:9" x14ac:dyDescent="0.2">
      <c r="A1782" t="s">
        <v>1009</v>
      </c>
      <c r="B1782" t="s">
        <v>2551</v>
      </c>
      <c r="D1782" t="b">
        <f>IFERROR(VLOOKUP(B1782,PatData!$A$2:$A$2030,1,),"")&lt;&gt;""</f>
        <v>1</v>
      </c>
      <c r="E1782" t="b">
        <v>0</v>
      </c>
      <c r="F1782" t="b">
        <v>0</v>
      </c>
      <c r="G1782" t="b">
        <v>1</v>
      </c>
      <c r="H1782" t="b">
        <v>0</v>
      </c>
      <c r="I1782" t="b">
        <v>1</v>
      </c>
    </row>
    <row r="1783" spans="1:9" x14ac:dyDescent="0.2">
      <c r="A1783" t="s">
        <v>1010</v>
      </c>
      <c r="B1783" t="s">
        <v>2552</v>
      </c>
      <c r="D1783" t="b">
        <f>IFERROR(VLOOKUP(B1783,PatData!$A$2:$A$2030,1,),"")&lt;&gt;""</f>
        <v>1</v>
      </c>
      <c r="E1783" t="b">
        <v>0</v>
      </c>
      <c r="F1783" t="b">
        <v>0</v>
      </c>
      <c r="G1783" t="b">
        <v>1</v>
      </c>
      <c r="H1783" t="b">
        <v>0</v>
      </c>
      <c r="I1783" t="b">
        <v>1</v>
      </c>
    </row>
    <row r="1784" spans="1:9" x14ac:dyDescent="0.2">
      <c r="A1784" t="s">
        <v>1011</v>
      </c>
      <c r="B1784" t="s">
        <v>2553</v>
      </c>
      <c r="D1784" t="b">
        <f>IFERROR(VLOOKUP(B1784,PatData!$A$2:$A$2030,1,),"")&lt;&gt;""</f>
        <v>1</v>
      </c>
      <c r="E1784" t="b">
        <v>0</v>
      </c>
      <c r="F1784" t="b">
        <v>0</v>
      </c>
      <c r="G1784" t="b">
        <v>1</v>
      </c>
      <c r="H1784" t="b">
        <v>0</v>
      </c>
      <c r="I1784" t="b">
        <v>1</v>
      </c>
    </row>
    <row r="1785" spans="1:9" x14ac:dyDescent="0.2">
      <c r="A1785" t="s">
        <v>1012</v>
      </c>
      <c r="B1785" t="s">
        <v>2554</v>
      </c>
      <c r="D1785" t="b">
        <f>IFERROR(VLOOKUP(B1785,PatData!$A$2:$A$2030,1,),"")&lt;&gt;""</f>
        <v>1</v>
      </c>
      <c r="E1785" t="b">
        <v>0</v>
      </c>
      <c r="F1785" t="b">
        <v>0</v>
      </c>
      <c r="G1785" t="b">
        <v>1</v>
      </c>
      <c r="H1785" t="b">
        <v>0</v>
      </c>
      <c r="I1785" t="b">
        <v>1</v>
      </c>
    </row>
    <row r="1786" spans="1:9" x14ac:dyDescent="0.2">
      <c r="A1786" t="s">
        <v>1013</v>
      </c>
      <c r="B1786" t="s">
        <v>2555</v>
      </c>
      <c r="D1786" t="b">
        <f>IFERROR(VLOOKUP(B1786,PatData!$A$2:$A$2030,1,),"")&lt;&gt;""</f>
        <v>1</v>
      </c>
      <c r="E1786" t="b">
        <v>0</v>
      </c>
      <c r="F1786" t="b">
        <v>0</v>
      </c>
      <c r="G1786" t="b">
        <v>1</v>
      </c>
      <c r="H1786" t="b">
        <v>0</v>
      </c>
      <c r="I1786" t="b">
        <v>1</v>
      </c>
    </row>
    <row r="1787" spans="1:9" x14ac:dyDescent="0.2">
      <c r="A1787" t="s">
        <v>1014</v>
      </c>
      <c r="B1787" t="s">
        <v>2556</v>
      </c>
      <c r="D1787" t="b">
        <f>IFERROR(VLOOKUP(B1787,PatData!$A$2:$A$2030,1,),"")&lt;&gt;""</f>
        <v>1</v>
      </c>
      <c r="E1787" t="b">
        <v>0</v>
      </c>
      <c r="F1787" t="b">
        <v>0</v>
      </c>
      <c r="G1787" t="b">
        <v>1</v>
      </c>
      <c r="H1787" t="b">
        <v>0</v>
      </c>
      <c r="I1787" t="b">
        <v>1</v>
      </c>
    </row>
    <row r="1788" spans="1:9" x14ac:dyDescent="0.2">
      <c r="A1788" t="s">
        <v>1015</v>
      </c>
      <c r="B1788" t="s">
        <v>2557</v>
      </c>
      <c r="D1788" t="b">
        <f>IFERROR(VLOOKUP(B1788,PatData!$A$2:$A$2030,1,),"")&lt;&gt;""</f>
        <v>1</v>
      </c>
      <c r="E1788" t="b">
        <v>0</v>
      </c>
      <c r="F1788" t="b">
        <v>0</v>
      </c>
      <c r="G1788" t="b">
        <v>1</v>
      </c>
      <c r="H1788" t="b">
        <v>0</v>
      </c>
      <c r="I1788" t="b">
        <v>1</v>
      </c>
    </row>
    <row r="1789" spans="1:9" x14ac:dyDescent="0.2">
      <c r="A1789" t="s">
        <v>1016</v>
      </c>
      <c r="B1789" t="s">
        <v>2558</v>
      </c>
      <c r="D1789" t="b">
        <f>IFERROR(VLOOKUP(B1789,PatData!$A$2:$A$2030,1,),"")&lt;&gt;""</f>
        <v>1</v>
      </c>
      <c r="E1789" t="b">
        <v>0</v>
      </c>
      <c r="F1789" t="b">
        <v>0</v>
      </c>
      <c r="G1789" t="b">
        <v>1</v>
      </c>
      <c r="H1789" t="b">
        <v>0</v>
      </c>
      <c r="I1789" t="b">
        <v>1</v>
      </c>
    </row>
    <row r="1790" spans="1:9" x14ac:dyDescent="0.2">
      <c r="A1790" t="s">
        <v>1017</v>
      </c>
      <c r="B1790" t="s">
        <v>2559</v>
      </c>
      <c r="D1790" t="b">
        <f>IFERROR(VLOOKUP(B1790,PatData!$A$2:$A$2030,1,),"")&lt;&gt;""</f>
        <v>1</v>
      </c>
      <c r="E1790" t="b">
        <v>0</v>
      </c>
      <c r="F1790" t="b">
        <v>0</v>
      </c>
      <c r="G1790" t="b">
        <v>1</v>
      </c>
      <c r="H1790" t="b">
        <v>0</v>
      </c>
      <c r="I1790" t="b">
        <v>1</v>
      </c>
    </row>
    <row r="1791" spans="1:9" x14ac:dyDescent="0.2">
      <c r="A1791" t="s">
        <v>1018</v>
      </c>
      <c r="B1791" t="s">
        <v>2560</v>
      </c>
      <c r="D1791" t="b">
        <f>IFERROR(VLOOKUP(B1791,PatData!$A$2:$A$2030,1,),"")&lt;&gt;""</f>
        <v>1</v>
      </c>
      <c r="E1791" t="b">
        <v>0</v>
      </c>
      <c r="F1791" t="b">
        <v>0</v>
      </c>
      <c r="G1791" t="b">
        <v>1</v>
      </c>
      <c r="H1791" t="b">
        <v>0</v>
      </c>
      <c r="I1791" t="b">
        <v>1</v>
      </c>
    </row>
    <row r="1792" spans="1:9" x14ac:dyDescent="0.2">
      <c r="A1792" t="s">
        <v>1019</v>
      </c>
      <c r="B1792" t="s">
        <v>2561</v>
      </c>
      <c r="D1792" t="b">
        <f>IFERROR(VLOOKUP(B1792,PatData!$A$2:$A$2030,1,),"")&lt;&gt;""</f>
        <v>1</v>
      </c>
      <c r="E1792" t="b">
        <v>0</v>
      </c>
      <c r="F1792" t="b">
        <v>0</v>
      </c>
      <c r="G1792" t="b">
        <v>1</v>
      </c>
      <c r="H1792" t="b">
        <v>0</v>
      </c>
      <c r="I1792" t="b">
        <v>1</v>
      </c>
    </row>
    <row r="1793" spans="1:9" x14ac:dyDescent="0.2">
      <c r="A1793" t="s">
        <v>1020</v>
      </c>
      <c r="B1793" t="s">
        <v>2562</v>
      </c>
      <c r="D1793" t="b">
        <f>IFERROR(VLOOKUP(B1793,PatData!$A$2:$A$2030,1,),"")&lt;&gt;""</f>
        <v>1</v>
      </c>
      <c r="E1793" t="b">
        <v>0</v>
      </c>
      <c r="F1793" t="b">
        <v>0</v>
      </c>
      <c r="G1793" t="b">
        <v>1</v>
      </c>
      <c r="H1793" t="b">
        <v>0</v>
      </c>
      <c r="I1793" t="b">
        <v>1</v>
      </c>
    </row>
    <row r="1794" spans="1:9" x14ac:dyDescent="0.2">
      <c r="A1794" t="s">
        <v>1021</v>
      </c>
      <c r="B1794" t="s">
        <v>2563</v>
      </c>
      <c r="D1794" t="b">
        <f>IFERROR(VLOOKUP(B1794,PatData!$A$2:$A$2030,1,),"")&lt;&gt;""</f>
        <v>1</v>
      </c>
      <c r="E1794" t="b">
        <v>0</v>
      </c>
      <c r="F1794" t="b">
        <v>0</v>
      </c>
      <c r="G1794" t="b">
        <v>1</v>
      </c>
      <c r="H1794" t="b">
        <v>0</v>
      </c>
      <c r="I1794" t="b">
        <v>1</v>
      </c>
    </row>
    <row r="1795" spans="1:9" x14ac:dyDescent="0.2">
      <c r="A1795" t="s">
        <v>1022</v>
      </c>
      <c r="B1795" t="s">
        <v>2564</v>
      </c>
      <c r="D1795" t="b">
        <f>IFERROR(VLOOKUP(B1795,PatData!$A$2:$A$2030,1,),"")&lt;&gt;""</f>
        <v>1</v>
      </c>
      <c r="E1795" t="b">
        <v>0</v>
      </c>
      <c r="F1795" t="b">
        <v>0</v>
      </c>
      <c r="G1795" t="b">
        <v>1</v>
      </c>
      <c r="H1795" t="b">
        <v>0</v>
      </c>
      <c r="I1795" t="b">
        <v>1</v>
      </c>
    </row>
    <row r="1796" spans="1:9" x14ac:dyDescent="0.2">
      <c r="A1796" t="s">
        <v>1023</v>
      </c>
      <c r="B1796" t="s">
        <v>2565</v>
      </c>
      <c r="D1796" t="b">
        <f>IFERROR(VLOOKUP(B1796,PatData!$A$2:$A$2030,1,),"")&lt;&gt;""</f>
        <v>1</v>
      </c>
      <c r="E1796" t="b">
        <v>0</v>
      </c>
      <c r="F1796" t="b">
        <v>0</v>
      </c>
      <c r="G1796" t="b">
        <v>1</v>
      </c>
      <c r="H1796" t="b">
        <v>0</v>
      </c>
      <c r="I1796" t="b">
        <v>1</v>
      </c>
    </row>
    <row r="1797" spans="1:9" x14ac:dyDescent="0.2">
      <c r="A1797" t="s">
        <v>1024</v>
      </c>
      <c r="B1797" t="s">
        <v>2566</v>
      </c>
      <c r="D1797" t="b">
        <f>IFERROR(VLOOKUP(B1797,PatData!$A$2:$A$2030,1,),"")&lt;&gt;""</f>
        <v>1</v>
      </c>
      <c r="E1797" t="b">
        <v>0</v>
      </c>
      <c r="F1797" t="b">
        <v>0</v>
      </c>
      <c r="G1797" t="b">
        <v>1</v>
      </c>
      <c r="H1797" t="b">
        <v>0</v>
      </c>
      <c r="I1797" t="b">
        <v>1</v>
      </c>
    </row>
    <row r="1798" spans="1:9" x14ac:dyDescent="0.2">
      <c r="A1798" t="s">
        <v>1025</v>
      </c>
      <c r="B1798" t="s">
        <v>2567</v>
      </c>
      <c r="D1798" t="b">
        <f>IFERROR(VLOOKUP(B1798,PatData!$A$2:$A$2030,1,),"")&lt;&gt;""</f>
        <v>1</v>
      </c>
      <c r="E1798" t="b">
        <v>0</v>
      </c>
      <c r="F1798" t="b">
        <v>0</v>
      </c>
      <c r="G1798" t="b">
        <v>1</v>
      </c>
      <c r="H1798" t="b">
        <v>0</v>
      </c>
      <c r="I1798" t="b">
        <v>1</v>
      </c>
    </row>
    <row r="1799" spans="1:9" x14ac:dyDescent="0.2">
      <c r="A1799" t="s">
        <v>1026</v>
      </c>
      <c r="B1799" t="s">
        <v>2568</v>
      </c>
      <c r="D1799" t="b">
        <f>IFERROR(VLOOKUP(B1799,PatData!$A$2:$A$2030,1,),"")&lt;&gt;""</f>
        <v>1</v>
      </c>
      <c r="E1799" t="b">
        <v>1</v>
      </c>
      <c r="F1799" t="b">
        <v>0</v>
      </c>
      <c r="G1799" t="b">
        <v>1</v>
      </c>
      <c r="H1799" t="b">
        <v>0</v>
      </c>
      <c r="I1799" t="b">
        <v>1</v>
      </c>
    </row>
    <row r="1800" spans="1:9" x14ac:dyDescent="0.2">
      <c r="A1800" t="s">
        <v>1027</v>
      </c>
      <c r="B1800" t="s">
        <v>2569</v>
      </c>
      <c r="D1800" t="b">
        <f>IFERROR(VLOOKUP(B1800,PatData!$A$2:$A$2030,1,),"")&lt;&gt;""</f>
        <v>1</v>
      </c>
      <c r="E1800" t="b">
        <v>1</v>
      </c>
      <c r="F1800" t="b">
        <v>0</v>
      </c>
      <c r="G1800" t="b">
        <v>1</v>
      </c>
      <c r="H1800" t="b">
        <v>0</v>
      </c>
      <c r="I1800" t="b">
        <v>1</v>
      </c>
    </row>
    <row r="1801" spans="1:9" x14ac:dyDescent="0.2">
      <c r="A1801" t="s">
        <v>1028</v>
      </c>
      <c r="B1801" t="s">
        <v>2570</v>
      </c>
      <c r="D1801" t="b">
        <f>IFERROR(VLOOKUP(B1801,PatData!$A$2:$A$2030,1,),"")&lt;&gt;""</f>
        <v>1</v>
      </c>
      <c r="E1801" t="b">
        <v>0</v>
      </c>
      <c r="F1801" t="b">
        <v>0</v>
      </c>
      <c r="G1801" t="b">
        <v>1</v>
      </c>
      <c r="H1801" t="b">
        <v>0</v>
      </c>
      <c r="I1801" t="b">
        <v>1</v>
      </c>
    </row>
    <row r="1802" spans="1:9" x14ac:dyDescent="0.2">
      <c r="A1802" t="s">
        <v>1029</v>
      </c>
      <c r="B1802" t="s">
        <v>2571</v>
      </c>
      <c r="D1802" t="b">
        <f>IFERROR(VLOOKUP(B1802,PatData!$A$2:$A$2030,1,),"")&lt;&gt;""</f>
        <v>1</v>
      </c>
      <c r="E1802" t="b">
        <v>1</v>
      </c>
      <c r="F1802" t="b">
        <v>0</v>
      </c>
      <c r="G1802" t="b">
        <v>1</v>
      </c>
      <c r="H1802" t="b">
        <v>0</v>
      </c>
      <c r="I1802" t="b">
        <v>1</v>
      </c>
    </row>
    <row r="1803" spans="1:9" x14ac:dyDescent="0.2">
      <c r="A1803" t="s">
        <v>1030</v>
      </c>
      <c r="B1803" t="s">
        <v>2572</v>
      </c>
      <c r="D1803" t="b">
        <f>IFERROR(VLOOKUP(B1803,PatData!$A$2:$A$2030,1,),"")&lt;&gt;""</f>
        <v>1</v>
      </c>
      <c r="E1803" t="b">
        <v>1</v>
      </c>
      <c r="F1803" t="b">
        <v>0</v>
      </c>
      <c r="G1803" t="b">
        <v>1</v>
      </c>
      <c r="H1803" t="b">
        <v>0</v>
      </c>
      <c r="I1803" t="b">
        <v>1</v>
      </c>
    </row>
    <row r="1804" spans="1:9" x14ac:dyDescent="0.2">
      <c r="A1804" t="s">
        <v>1031</v>
      </c>
      <c r="B1804" t="s">
        <v>2573</v>
      </c>
      <c r="D1804" t="b">
        <f>IFERROR(VLOOKUP(B1804,PatData!$A$2:$A$2030,1,),"")&lt;&gt;""</f>
        <v>1</v>
      </c>
      <c r="E1804" t="b">
        <v>0</v>
      </c>
      <c r="F1804" t="b">
        <v>0</v>
      </c>
      <c r="G1804" t="b">
        <v>1</v>
      </c>
      <c r="H1804" t="b">
        <v>0</v>
      </c>
      <c r="I1804" t="b">
        <v>1</v>
      </c>
    </row>
    <row r="1805" spans="1:9" x14ac:dyDescent="0.2">
      <c r="A1805" t="s">
        <v>1032</v>
      </c>
      <c r="B1805" t="s">
        <v>2574</v>
      </c>
      <c r="D1805" t="b">
        <f>IFERROR(VLOOKUP(B1805,PatData!$A$2:$A$2030,1,),"")&lt;&gt;""</f>
        <v>1</v>
      </c>
      <c r="E1805" t="b">
        <v>0</v>
      </c>
      <c r="F1805" t="b">
        <v>0</v>
      </c>
      <c r="G1805" t="b">
        <v>1</v>
      </c>
      <c r="H1805" t="b">
        <v>0</v>
      </c>
      <c r="I1805" t="b">
        <v>1</v>
      </c>
    </row>
    <row r="1806" spans="1:9" x14ac:dyDescent="0.2">
      <c r="A1806" t="s">
        <v>1033</v>
      </c>
      <c r="B1806" t="s">
        <v>2575</v>
      </c>
      <c r="D1806" t="b">
        <f>IFERROR(VLOOKUP(B1806,PatData!$A$2:$A$2030,1,),"")&lt;&gt;""</f>
        <v>1</v>
      </c>
      <c r="E1806" t="b">
        <v>1</v>
      </c>
      <c r="F1806" t="b">
        <v>0</v>
      </c>
      <c r="G1806" t="b">
        <v>1</v>
      </c>
      <c r="H1806" t="b">
        <v>0</v>
      </c>
      <c r="I1806" t="b">
        <v>1</v>
      </c>
    </row>
    <row r="1807" spans="1:9" x14ac:dyDescent="0.2">
      <c r="A1807" t="s">
        <v>1034</v>
      </c>
      <c r="B1807" t="s">
        <v>2576</v>
      </c>
      <c r="D1807" t="b">
        <f>IFERROR(VLOOKUP(B1807,PatData!$A$2:$A$2030,1,),"")&lt;&gt;""</f>
        <v>1</v>
      </c>
      <c r="E1807" t="b">
        <v>0</v>
      </c>
      <c r="F1807" t="b">
        <v>0</v>
      </c>
      <c r="G1807" t="b">
        <v>1</v>
      </c>
      <c r="H1807" t="b">
        <v>0</v>
      </c>
      <c r="I1807" t="b">
        <v>1</v>
      </c>
    </row>
    <row r="1808" spans="1:9" x14ac:dyDescent="0.2">
      <c r="A1808" t="s">
        <v>1035</v>
      </c>
      <c r="B1808" t="s">
        <v>2577</v>
      </c>
      <c r="D1808" t="b">
        <f>IFERROR(VLOOKUP(B1808,PatData!$A$2:$A$2030,1,),"")&lt;&gt;""</f>
        <v>1</v>
      </c>
      <c r="E1808" t="b">
        <v>0</v>
      </c>
      <c r="F1808" t="b">
        <v>0</v>
      </c>
      <c r="G1808" t="b">
        <v>1</v>
      </c>
      <c r="H1808" t="b">
        <v>0</v>
      </c>
      <c r="I1808" t="b">
        <v>1</v>
      </c>
    </row>
    <row r="1809" spans="1:9" x14ac:dyDescent="0.2">
      <c r="A1809" t="s">
        <v>1036</v>
      </c>
      <c r="B1809" t="s">
        <v>2578</v>
      </c>
      <c r="D1809" t="b">
        <f>IFERROR(VLOOKUP(B1809,PatData!$A$2:$A$2030,1,),"")&lt;&gt;""</f>
        <v>1</v>
      </c>
      <c r="E1809" t="b">
        <v>0</v>
      </c>
      <c r="F1809" t="b">
        <v>0</v>
      </c>
      <c r="G1809" t="b">
        <v>1</v>
      </c>
      <c r="H1809" t="b">
        <v>0</v>
      </c>
      <c r="I1809" t="b">
        <v>1</v>
      </c>
    </row>
    <row r="1810" spans="1:9" x14ac:dyDescent="0.2">
      <c r="A1810" t="s">
        <v>1037</v>
      </c>
      <c r="B1810" t="s">
        <v>2579</v>
      </c>
      <c r="D1810" t="b">
        <f>IFERROR(VLOOKUP(B1810,PatData!$A$2:$A$2030,1,),"")&lt;&gt;""</f>
        <v>1</v>
      </c>
      <c r="E1810" t="b">
        <v>0</v>
      </c>
      <c r="F1810" t="b">
        <v>0</v>
      </c>
      <c r="G1810" t="b">
        <v>1</v>
      </c>
      <c r="H1810" t="b">
        <v>0</v>
      </c>
      <c r="I1810" t="b">
        <v>1</v>
      </c>
    </row>
    <row r="1811" spans="1:9" x14ac:dyDescent="0.2">
      <c r="A1811" t="s">
        <v>1038</v>
      </c>
      <c r="B1811" t="s">
        <v>2580</v>
      </c>
      <c r="D1811" t="b">
        <f>IFERROR(VLOOKUP(B1811,PatData!$A$2:$A$2030,1,),"")&lt;&gt;""</f>
        <v>1</v>
      </c>
      <c r="E1811" t="b">
        <v>0</v>
      </c>
      <c r="F1811" t="b">
        <v>0</v>
      </c>
      <c r="G1811" t="b">
        <v>1</v>
      </c>
      <c r="H1811" t="b">
        <v>0</v>
      </c>
      <c r="I1811" t="b">
        <v>1</v>
      </c>
    </row>
    <row r="1812" spans="1:9" x14ac:dyDescent="0.2">
      <c r="A1812" t="s">
        <v>1039</v>
      </c>
      <c r="B1812" t="s">
        <v>2581</v>
      </c>
      <c r="D1812" t="b">
        <f>IFERROR(VLOOKUP(B1812,PatData!$A$2:$A$2030,1,),"")&lt;&gt;""</f>
        <v>1</v>
      </c>
      <c r="E1812" t="b">
        <v>0</v>
      </c>
      <c r="F1812" t="b">
        <v>0</v>
      </c>
      <c r="G1812" t="b">
        <v>1</v>
      </c>
      <c r="H1812" t="b">
        <v>0</v>
      </c>
      <c r="I1812" t="b">
        <v>1</v>
      </c>
    </row>
    <row r="1813" spans="1:9" x14ac:dyDescent="0.2">
      <c r="A1813" t="s">
        <v>1040</v>
      </c>
      <c r="B1813" t="s">
        <v>2582</v>
      </c>
      <c r="D1813" t="b">
        <f>IFERROR(VLOOKUP(B1813,PatData!$A$2:$A$2030,1,),"")&lt;&gt;""</f>
        <v>1</v>
      </c>
      <c r="E1813" t="b">
        <v>0</v>
      </c>
      <c r="F1813" t="b">
        <v>0</v>
      </c>
      <c r="G1813" t="b">
        <v>1</v>
      </c>
      <c r="H1813" t="b">
        <v>0</v>
      </c>
      <c r="I1813" t="b">
        <v>1</v>
      </c>
    </row>
    <row r="1814" spans="1:9" x14ac:dyDescent="0.2">
      <c r="A1814" t="s">
        <v>1041</v>
      </c>
      <c r="B1814" t="s">
        <v>2583</v>
      </c>
      <c r="D1814" t="b">
        <f>IFERROR(VLOOKUP(B1814,PatData!$A$2:$A$2030,1,),"")&lt;&gt;""</f>
        <v>1</v>
      </c>
      <c r="E1814" t="b">
        <v>0</v>
      </c>
      <c r="F1814" t="b">
        <v>0</v>
      </c>
      <c r="G1814" t="b">
        <v>1</v>
      </c>
      <c r="H1814" t="b">
        <v>0</v>
      </c>
      <c r="I1814" t="b">
        <v>1</v>
      </c>
    </row>
    <row r="1815" spans="1:9" x14ac:dyDescent="0.2">
      <c r="A1815" t="s">
        <v>1042</v>
      </c>
      <c r="B1815" t="s">
        <v>2584</v>
      </c>
      <c r="D1815" t="b">
        <f>IFERROR(VLOOKUP(B1815,PatData!$A$2:$A$2030,1,),"")&lt;&gt;""</f>
        <v>1</v>
      </c>
      <c r="E1815" t="b">
        <v>0</v>
      </c>
      <c r="F1815" t="b">
        <v>0</v>
      </c>
      <c r="G1815" t="b">
        <v>1</v>
      </c>
      <c r="H1815" t="b">
        <v>0</v>
      </c>
      <c r="I1815" t="b">
        <v>1</v>
      </c>
    </row>
    <row r="1816" spans="1:9" x14ac:dyDescent="0.2">
      <c r="A1816" t="s">
        <v>1043</v>
      </c>
      <c r="B1816" t="s">
        <v>2585</v>
      </c>
      <c r="D1816" t="b">
        <f>IFERROR(VLOOKUP(B1816,PatData!$A$2:$A$2030,1,),"")&lt;&gt;""</f>
        <v>1</v>
      </c>
      <c r="E1816" t="b">
        <v>0</v>
      </c>
      <c r="F1816" t="b">
        <v>0</v>
      </c>
      <c r="G1816" t="b">
        <v>1</v>
      </c>
      <c r="H1816" t="b">
        <v>0</v>
      </c>
      <c r="I1816" t="b">
        <v>1</v>
      </c>
    </row>
    <row r="1817" spans="1:9" x14ac:dyDescent="0.2">
      <c r="A1817" t="s">
        <v>1044</v>
      </c>
      <c r="B1817" t="s">
        <v>2586</v>
      </c>
      <c r="D1817" t="b">
        <f>IFERROR(VLOOKUP(B1817,PatData!$A$2:$A$2030,1,),"")&lt;&gt;""</f>
        <v>1</v>
      </c>
      <c r="E1817" t="b">
        <v>0</v>
      </c>
      <c r="F1817" t="b">
        <v>0</v>
      </c>
      <c r="G1817" t="b">
        <v>1</v>
      </c>
      <c r="H1817" t="b">
        <v>0</v>
      </c>
      <c r="I1817" t="b">
        <v>1</v>
      </c>
    </row>
    <row r="1818" spans="1:9" x14ac:dyDescent="0.2">
      <c r="A1818" t="s">
        <v>1045</v>
      </c>
      <c r="B1818" t="s">
        <v>2587</v>
      </c>
      <c r="D1818" t="b">
        <f>IFERROR(VLOOKUP(B1818,PatData!$A$2:$A$2030,1,),"")&lt;&gt;""</f>
        <v>1</v>
      </c>
      <c r="E1818" t="b">
        <v>0</v>
      </c>
      <c r="F1818" t="b">
        <v>0</v>
      </c>
      <c r="G1818" t="b">
        <v>1</v>
      </c>
      <c r="H1818" t="b">
        <v>0</v>
      </c>
      <c r="I1818" t="b">
        <v>1</v>
      </c>
    </row>
    <row r="1819" spans="1:9" x14ac:dyDescent="0.2">
      <c r="A1819" t="s">
        <v>1046</v>
      </c>
      <c r="B1819" t="s">
        <v>2588</v>
      </c>
      <c r="D1819" t="b">
        <f>IFERROR(VLOOKUP(B1819,PatData!$A$2:$A$2030,1,),"")&lt;&gt;""</f>
        <v>1</v>
      </c>
      <c r="E1819" t="b">
        <v>0</v>
      </c>
      <c r="F1819" t="b">
        <v>0</v>
      </c>
      <c r="G1819" t="b">
        <v>1</v>
      </c>
      <c r="H1819" t="b">
        <v>0</v>
      </c>
      <c r="I1819" t="b">
        <v>1</v>
      </c>
    </row>
    <row r="1820" spans="1:9" x14ac:dyDescent="0.2">
      <c r="A1820" t="s">
        <v>1047</v>
      </c>
      <c r="B1820" t="s">
        <v>2589</v>
      </c>
      <c r="D1820" t="b">
        <f>IFERROR(VLOOKUP(B1820,PatData!$A$2:$A$2030,1,),"")&lt;&gt;""</f>
        <v>1</v>
      </c>
      <c r="E1820" t="b">
        <v>0</v>
      </c>
      <c r="F1820" t="b">
        <v>0</v>
      </c>
      <c r="G1820" t="b">
        <v>1</v>
      </c>
      <c r="H1820" t="b">
        <v>0</v>
      </c>
      <c r="I1820" t="b">
        <v>1</v>
      </c>
    </row>
    <row r="1821" spans="1:9" x14ac:dyDescent="0.2">
      <c r="A1821" t="s">
        <v>1048</v>
      </c>
      <c r="B1821" t="s">
        <v>2590</v>
      </c>
      <c r="D1821" t="b">
        <f>IFERROR(VLOOKUP(B1821,PatData!$A$2:$A$2030,1,),"")&lt;&gt;""</f>
        <v>1</v>
      </c>
      <c r="E1821" t="b">
        <v>0</v>
      </c>
      <c r="F1821" t="b">
        <v>0</v>
      </c>
      <c r="G1821" t="b">
        <v>1</v>
      </c>
      <c r="H1821" t="b">
        <v>0</v>
      </c>
      <c r="I1821" t="b">
        <v>1</v>
      </c>
    </row>
    <row r="1822" spans="1:9" x14ac:dyDescent="0.2">
      <c r="A1822" t="s">
        <v>1049</v>
      </c>
      <c r="B1822" t="s">
        <v>2591</v>
      </c>
      <c r="D1822" t="b">
        <f>IFERROR(VLOOKUP(B1822,PatData!$A$2:$A$2030,1,),"")&lt;&gt;""</f>
        <v>1</v>
      </c>
      <c r="E1822" t="b">
        <v>0</v>
      </c>
      <c r="F1822" t="b">
        <v>0</v>
      </c>
      <c r="G1822" t="b">
        <v>1</v>
      </c>
      <c r="H1822" t="b">
        <v>0</v>
      </c>
      <c r="I1822" t="b">
        <v>1</v>
      </c>
    </row>
    <row r="1823" spans="1:9" x14ac:dyDescent="0.2">
      <c r="A1823" t="s">
        <v>1050</v>
      </c>
      <c r="B1823" t="s">
        <v>2592</v>
      </c>
      <c r="D1823" t="b">
        <f>IFERROR(VLOOKUP(B1823,PatData!$A$2:$A$2030,1,),"")&lt;&gt;""</f>
        <v>1</v>
      </c>
      <c r="E1823" t="b">
        <v>0</v>
      </c>
      <c r="F1823" t="b">
        <v>0</v>
      </c>
      <c r="G1823" t="b">
        <v>1</v>
      </c>
      <c r="H1823" t="b">
        <v>0</v>
      </c>
      <c r="I1823" t="b">
        <v>1</v>
      </c>
    </row>
    <row r="1824" spans="1:9" x14ac:dyDescent="0.2">
      <c r="A1824" t="s">
        <v>1051</v>
      </c>
      <c r="B1824" t="s">
        <v>2593</v>
      </c>
      <c r="D1824" t="b">
        <f>IFERROR(VLOOKUP(B1824,PatData!$A$2:$A$2030,1,),"")&lt;&gt;""</f>
        <v>1</v>
      </c>
      <c r="E1824" t="b">
        <v>0</v>
      </c>
      <c r="F1824" t="b">
        <v>0</v>
      </c>
      <c r="G1824" t="b">
        <v>1</v>
      </c>
      <c r="H1824" t="b">
        <v>0</v>
      </c>
      <c r="I1824" t="b">
        <v>1</v>
      </c>
    </row>
    <row r="1825" spans="1:9" x14ac:dyDescent="0.2">
      <c r="A1825" t="s">
        <v>1052</v>
      </c>
      <c r="B1825" t="s">
        <v>2594</v>
      </c>
      <c r="D1825" t="b">
        <f>IFERROR(VLOOKUP(B1825,PatData!$A$2:$A$2030,1,),"")&lt;&gt;""</f>
        <v>1</v>
      </c>
      <c r="E1825" t="b">
        <v>0</v>
      </c>
      <c r="F1825" t="b">
        <v>0</v>
      </c>
      <c r="G1825" t="b">
        <v>1</v>
      </c>
      <c r="H1825" t="b">
        <v>0</v>
      </c>
      <c r="I1825" t="b">
        <v>1</v>
      </c>
    </row>
    <row r="1826" spans="1:9" x14ac:dyDescent="0.2">
      <c r="A1826" t="s">
        <v>1053</v>
      </c>
      <c r="B1826" t="s">
        <v>2595</v>
      </c>
      <c r="D1826" t="b">
        <f>IFERROR(VLOOKUP(B1826,PatData!$A$2:$A$2030,1,),"")&lt;&gt;""</f>
        <v>1</v>
      </c>
      <c r="E1826" t="b">
        <v>0</v>
      </c>
      <c r="F1826" t="b">
        <v>0</v>
      </c>
      <c r="G1826" t="b">
        <v>1</v>
      </c>
      <c r="H1826" t="b">
        <v>0</v>
      </c>
      <c r="I1826" t="b">
        <v>1</v>
      </c>
    </row>
    <row r="1827" spans="1:9" x14ac:dyDescent="0.2">
      <c r="A1827" t="s">
        <v>1054</v>
      </c>
      <c r="B1827" t="s">
        <v>2596</v>
      </c>
      <c r="D1827" t="b">
        <f>IFERROR(VLOOKUP(B1827,PatData!$A$2:$A$2030,1,),"")&lt;&gt;""</f>
        <v>1</v>
      </c>
      <c r="E1827" t="b">
        <v>0</v>
      </c>
      <c r="F1827" t="b">
        <v>0</v>
      </c>
      <c r="G1827" t="b">
        <v>1</v>
      </c>
      <c r="H1827" t="b">
        <v>0</v>
      </c>
      <c r="I1827" t="b">
        <v>1</v>
      </c>
    </row>
    <row r="1828" spans="1:9" x14ac:dyDescent="0.2">
      <c r="A1828" t="s">
        <v>1055</v>
      </c>
      <c r="B1828" t="s">
        <v>2597</v>
      </c>
      <c r="D1828" t="b">
        <f>IFERROR(VLOOKUP(B1828,PatData!$A$2:$A$2030,1,),"")&lt;&gt;""</f>
        <v>1</v>
      </c>
      <c r="E1828" t="b">
        <v>0</v>
      </c>
      <c r="F1828" t="b">
        <v>0</v>
      </c>
      <c r="G1828" t="b">
        <v>1</v>
      </c>
      <c r="H1828" t="b">
        <v>0</v>
      </c>
      <c r="I1828" t="b">
        <v>1</v>
      </c>
    </row>
    <row r="1829" spans="1:9" x14ac:dyDescent="0.2">
      <c r="A1829" t="s">
        <v>1056</v>
      </c>
      <c r="B1829" t="s">
        <v>2598</v>
      </c>
      <c r="D1829" t="b">
        <f>IFERROR(VLOOKUP(B1829,PatData!$A$2:$A$2030,1,),"")&lt;&gt;""</f>
        <v>1</v>
      </c>
      <c r="E1829" t="b">
        <v>0</v>
      </c>
      <c r="F1829" t="b">
        <v>0</v>
      </c>
      <c r="G1829" t="b">
        <v>1</v>
      </c>
      <c r="H1829" t="b">
        <v>0</v>
      </c>
      <c r="I1829" t="b">
        <v>1</v>
      </c>
    </row>
    <row r="1830" spans="1:9" x14ac:dyDescent="0.2">
      <c r="A1830" t="s">
        <v>4789</v>
      </c>
      <c r="B1830" t="s">
        <v>2599</v>
      </c>
      <c r="D1830" t="b">
        <f>IFERROR(VLOOKUP(B1830,PatData!$A$2:$A$2030,1,),"")&lt;&gt;""</f>
        <v>1</v>
      </c>
      <c r="E1830"/>
      <c r="F1830" t="b">
        <v>0</v>
      </c>
      <c r="G1830" t="b">
        <v>1</v>
      </c>
      <c r="H1830" t="b">
        <v>0</v>
      </c>
      <c r="I1830" t="b">
        <v>1</v>
      </c>
    </row>
    <row r="1831" spans="1:9" x14ac:dyDescent="0.2">
      <c r="A1831" t="s">
        <v>1057</v>
      </c>
      <c r="B1831" t="s">
        <v>2600</v>
      </c>
      <c r="D1831" t="b">
        <f>IFERROR(VLOOKUP(B1831,PatData!$A$2:$A$2030,1,),"")&lt;&gt;""</f>
        <v>1</v>
      </c>
      <c r="E1831" t="b">
        <v>0</v>
      </c>
      <c r="F1831" t="b">
        <v>0</v>
      </c>
      <c r="G1831" t="b">
        <v>1</v>
      </c>
      <c r="H1831" t="b">
        <v>0</v>
      </c>
      <c r="I1831" t="b">
        <v>1</v>
      </c>
    </row>
    <row r="1832" spans="1:9" x14ac:dyDescent="0.2">
      <c r="A1832" t="s">
        <v>1058</v>
      </c>
      <c r="B1832" t="s">
        <v>2601</v>
      </c>
      <c r="D1832" t="b">
        <f>IFERROR(VLOOKUP(B1832,PatData!$A$2:$A$2030,1,),"")&lt;&gt;""</f>
        <v>1</v>
      </c>
      <c r="E1832" t="b">
        <v>0</v>
      </c>
      <c r="F1832" t="b">
        <v>0</v>
      </c>
      <c r="G1832" t="b">
        <v>1</v>
      </c>
      <c r="H1832" t="b">
        <v>0</v>
      </c>
      <c r="I1832" t="b">
        <v>1</v>
      </c>
    </row>
    <row r="1833" spans="1:9" x14ac:dyDescent="0.2">
      <c r="A1833" t="s">
        <v>1059</v>
      </c>
      <c r="B1833" t="s">
        <v>2602</v>
      </c>
      <c r="D1833" t="b">
        <f>IFERROR(VLOOKUP(B1833,PatData!$A$2:$A$2030,1,),"")&lt;&gt;""</f>
        <v>1</v>
      </c>
      <c r="E1833" t="b">
        <v>0</v>
      </c>
      <c r="F1833" t="b">
        <v>0</v>
      </c>
      <c r="G1833" t="b">
        <v>1</v>
      </c>
      <c r="H1833" t="b">
        <v>0</v>
      </c>
      <c r="I1833" t="b">
        <v>1</v>
      </c>
    </row>
    <row r="1834" spans="1:9" x14ac:dyDescent="0.2">
      <c r="A1834" t="s">
        <v>1060</v>
      </c>
      <c r="B1834" t="s">
        <v>2603</v>
      </c>
      <c r="D1834" t="b">
        <f>IFERROR(VLOOKUP(B1834,PatData!$A$2:$A$2030,1,),"")&lt;&gt;""</f>
        <v>1</v>
      </c>
      <c r="E1834" t="b">
        <v>0</v>
      </c>
      <c r="F1834" t="b">
        <v>0</v>
      </c>
      <c r="G1834" t="b">
        <v>1</v>
      </c>
      <c r="H1834" t="b">
        <v>0</v>
      </c>
      <c r="I1834" t="b">
        <v>1</v>
      </c>
    </row>
    <row r="1835" spans="1:9" x14ac:dyDescent="0.2">
      <c r="A1835" t="s">
        <v>1061</v>
      </c>
      <c r="B1835" t="s">
        <v>2604</v>
      </c>
      <c r="D1835" t="b">
        <f>IFERROR(VLOOKUP(B1835,PatData!$A$2:$A$2030,1,),"")&lt;&gt;""</f>
        <v>1</v>
      </c>
      <c r="E1835" t="b">
        <v>0</v>
      </c>
      <c r="F1835" t="b">
        <v>0</v>
      </c>
      <c r="G1835" t="b">
        <v>1</v>
      </c>
      <c r="H1835" t="b">
        <v>0</v>
      </c>
      <c r="I1835" t="b">
        <v>1</v>
      </c>
    </row>
    <row r="1836" spans="1:9" x14ac:dyDescent="0.2">
      <c r="A1836" t="s">
        <v>1062</v>
      </c>
      <c r="B1836" t="s">
        <v>2605</v>
      </c>
      <c r="D1836" t="b">
        <f>IFERROR(VLOOKUP(B1836,PatData!$A$2:$A$2030,1,),"")&lt;&gt;""</f>
        <v>1</v>
      </c>
      <c r="E1836" t="b">
        <v>0</v>
      </c>
      <c r="F1836" t="b">
        <v>0</v>
      </c>
      <c r="G1836" t="b">
        <v>1</v>
      </c>
      <c r="H1836" t="b">
        <v>0</v>
      </c>
      <c r="I1836" t="b">
        <v>1</v>
      </c>
    </row>
    <row r="1837" spans="1:9" x14ac:dyDescent="0.2">
      <c r="A1837" t="s">
        <v>1063</v>
      </c>
      <c r="B1837" t="s">
        <v>2606</v>
      </c>
      <c r="D1837" t="b">
        <f>IFERROR(VLOOKUP(B1837,PatData!$A$2:$A$2030,1,),"")&lt;&gt;""</f>
        <v>1</v>
      </c>
      <c r="E1837" t="b">
        <v>0</v>
      </c>
      <c r="F1837" t="b">
        <v>0</v>
      </c>
      <c r="G1837" t="b">
        <v>1</v>
      </c>
      <c r="H1837" t="b">
        <v>0</v>
      </c>
      <c r="I1837" t="b">
        <v>1</v>
      </c>
    </row>
    <row r="1838" spans="1:9" x14ac:dyDescent="0.2">
      <c r="A1838" t="s">
        <v>1064</v>
      </c>
      <c r="B1838" t="s">
        <v>2607</v>
      </c>
      <c r="D1838" t="b">
        <f>IFERROR(VLOOKUP(B1838,PatData!$A$2:$A$2030,1,),"")&lt;&gt;""</f>
        <v>1</v>
      </c>
      <c r="E1838" t="b">
        <v>0</v>
      </c>
      <c r="F1838" t="b">
        <v>0</v>
      </c>
      <c r="G1838" t="b">
        <v>1</v>
      </c>
      <c r="H1838" t="b">
        <v>0</v>
      </c>
      <c r="I1838" t="b">
        <v>1</v>
      </c>
    </row>
    <row r="1839" spans="1:9" x14ac:dyDescent="0.2">
      <c r="A1839" t="s">
        <v>1065</v>
      </c>
      <c r="B1839" t="s">
        <v>2608</v>
      </c>
      <c r="D1839" t="b">
        <f>IFERROR(VLOOKUP(B1839,PatData!$A$2:$A$2030,1,),"")&lt;&gt;""</f>
        <v>1</v>
      </c>
      <c r="E1839" t="b">
        <v>0</v>
      </c>
      <c r="F1839" t="b">
        <v>0</v>
      </c>
      <c r="G1839" t="b">
        <v>1</v>
      </c>
      <c r="H1839" t="b">
        <v>0</v>
      </c>
      <c r="I1839" t="b">
        <v>1</v>
      </c>
    </row>
    <row r="1840" spans="1:9" x14ac:dyDescent="0.2">
      <c r="A1840" t="s">
        <v>1066</v>
      </c>
      <c r="B1840" t="s">
        <v>2609</v>
      </c>
      <c r="D1840" t="b">
        <f>IFERROR(VLOOKUP(B1840,PatData!$A$2:$A$2030,1,),"")&lt;&gt;""</f>
        <v>1</v>
      </c>
      <c r="E1840" t="b">
        <v>0</v>
      </c>
      <c r="F1840" t="b">
        <v>0</v>
      </c>
      <c r="G1840" t="b">
        <v>1</v>
      </c>
      <c r="H1840" t="b">
        <v>0</v>
      </c>
      <c r="I1840" t="b">
        <v>1</v>
      </c>
    </row>
    <row r="1841" spans="1:9" x14ac:dyDescent="0.2">
      <c r="A1841" t="s">
        <v>1067</v>
      </c>
      <c r="B1841" t="s">
        <v>2610</v>
      </c>
      <c r="D1841" t="b">
        <f>IFERROR(VLOOKUP(B1841,PatData!$A$2:$A$2030,1,),"")&lt;&gt;""</f>
        <v>1</v>
      </c>
      <c r="E1841" t="b">
        <v>0</v>
      </c>
      <c r="F1841" t="b">
        <v>0</v>
      </c>
      <c r="G1841" t="b">
        <v>1</v>
      </c>
      <c r="H1841" t="b">
        <v>0</v>
      </c>
      <c r="I1841" t="b">
        <v>1</v>
      </c>
    </row>
    <row r="1842" spans="1:9" x14ac:dyDescent="0.2">
      <c r="A1842" t="s">
        <v>1068</v>
      </c>
      <c r="B1842" t="s">
        <v>2611</v>
      </c>
      <c r="D1842" t="b">
        <f>IFERROR(VLOOKUP(B1842,PatData!$A$2:$A$2030,1,),"")&lt;&gt;""</f>
        <v>1</v>
      </c>
      <c r="E1842" t="b">
        <v>0</v>
      </c>
      <c r="F1842" t="b">
        <v>0</v>
      </c>
      <c r="G1842" t="b">
        <v>1</v>
      </c>
      <c r="H1842" t="b">
        <v>0</v>
      </c>
      <c r="I1842" t="b">
        <v>1</v>
      </c>
    </row>
    <row r="1843" spans="1:9" x14ac:dyDescent="0.2">
      <c r="A1843" t="s">
        <v>1069</v>
      </c>
      <c r="B1843" t="s">
        <v>2612</v>
      </c>
      <c r="D1843" t="b">
        <f>IFERROR(VLOOKUP(B1843,PatData!$A$2:$A$2030,1,),"")&lt;&gt;""</f>
        <v>1</v>
      </c>
      <c r="E1843" t="b">
        <v>0</v>
      </c>
      <c r="F1843" t="b">
        <v>0</v>
      </c>
      <c r="G1843" t="b">
        <v>1</v>
      </c>
      <c r="H1843" t="b">
        <v>0</v>
      </c>
      <c r="I1843" t="b">
        <v>1</v>
      </c>
    </row>
    <row r="1844" spans="1:9" x14ac:dyDescent="0.2">
      <c r="A1844" t="s">
        <v>1070</v>
      </c>
      <c r="B1844" t="s">
        <v>2613</v>
      </c>
      <c r="D1844" t="b">
        <f>IFERROR(VLOOKUP(B1844,PatData!$A$2:$A$2030,1,),"")&lt;&gt;""</f>
        <v>1</v>
      </c>
      <c r="E1844" t="b">
        <v>0</v>
      </c>
      <c r="F1844" t="b">
        <v>0</v>
      </c>
      <c r="G1844" t="b">
        <v>1</v>
      </c>
      <c r="H1844" t="b">
        <v>0</v>
      </c>
      <c r="I1844" t="b">
        <v>1</v>
      </c>
    </row>
    <row r="1845" spans="1:9" x14ac:dyDescent="0.2">
      <c r="A1845" t="s">
        <v>1071</v>
      </c>
      <c r="B1845" t="s">
        <v>2614</v>
      </c>
      <c r="D1845" t="b">
        <f>IFERROR(VLOOKUP(B1845,PatData!$A$2:$A$2030,1,),"")&lt;&gt;""</f>
        <v>1</v>
      </c>
      <c r="E1845" t="b">
        <v>0</v>
      </c>
      <c r="F1845" t="b">
        <v>0</v>
      </c>
      <c r="G1845" t="b">
        <v>1</v>
      </c>
      <c r="H1845" t="b">
        <v>0</v>
      </c>
      <c r="I1845" t="b">
        <v>1</v>
      </c>
    </row>
    <row r="1846" spans="1:9" x14ac:dyDescent="0.2">
      <c r="A1846" t="s">
        <v>1072</v>
      </c>
      <c r="B1846" t="s">
        <v>2615</v>
      </c>
      <c r="D1846" t="b">
        <f>IFERROR(VLOOKUP(B1846,PatData!$A$2:$A$2030,1,),"")&lt;&gt;""</f>
        <v>1</v>
      </c>
      <c r="E1846" t="b">
        <v>0</v>
      </c>
      <c r="F1846" t="b">
        <v>0</v>
      </c>
      <c r="G1846" t="b">
        <v>1</v>
      </c>
      <c r="H1846" t="b">
        <v>0</v>
      </c>
      <c r="I1846" t="b">
        <v>1</v>
      </c>
    </row>
    <row r="1847" spans="1:9" x14ac:dyDescent="0.2">
      <c r="A1847" t="s">
        <v>1073</v>
      </c>
      <c r="B1847" t="s">
        <v>2616</v>
      </c>
      <c r="D1847" t="b">
        <f>IFERROR(VLOOKUP(B1847,PatData!$A$2:$A$2030,1,),"")&lt;&gt;""</f>
        <v>1</v>
      </c>
      <c r="E1847" t="b">
        <v>0</v>
      </c>
      <c r="F1847" t="b">
        <v>0</v>
      </c>
      <c r="G1847" t="b">
        <v>1</v>
      </c>
      <c r="H1847" t="b">
        <v>0</v>
      </c>
      <c r="I1847" t="b">
        <v>1</v>
      </c>
    </row>
    <row r="1848" spans="1:9" x14ac:dyDescent="0.2">
      <c r="A1848" t="s">
        <v>1074</v>
      </c>
      <c r="B1848" t="s">
        <v>2617</v>
      </c>
      <c r="D1848" t="b">
        <f>IFERROR(VLOOKUP(B1848,PatData!$A$2:$A$2030,1,),"")&lt;&gt;""</f>
        <v>1</v>
      </c>
      <c r="E1848" t="b">
        <v>0</v>
      </c>
      <c r="F1848" t="b">
        <v>0</v>
      </c>
      <c r="G1848" t="b">
        <v>1</v>
      </c>
      <c r="H1848" t="b">
        <v>0</v>
      </c>
      <c r="I1848" t="b">
        <v>1</v>
      </c>
    </row>
    <row r="1849" spans="1:9" x14ac:dyDescent="0.2">
      <c r="A1849" t="s">
        <v>1075</v>
      </c>
      <c r="B1849" t="s">
        <v>2618</v>
      </c>
      <c r="D1849" t="b">
        <f>IFERROR(VLOOKUP(B1849,PatData!$A$2:$A$2030,1,),"")&lt;&gt;""</f>
        <v>1</v>
      </c>
      <c r="E1849" t="b">
        <v>0</v>
      </c>
      <c r="F1849" t="b">
        <v>0</v>
      </c>
      <c r="G1849" t="b">
        <v>1</v>
      </c>
      <c r="H1849" t="b">
        <v>0</v>
      </c>
      <c r="I1849" t="b">
        <v>1</v>
      </c>
    </row>
    <row r="1850" spans="1:9" x14ac:dyDescent="0.2">
      <c r="A1850" t="s">
        <v>1076</v>
      </c>
      <c r="B1850" t="s">
        <v>2619</v>
      </c>
      <c r="D1850" t="b">
        <f>IFERROR(VLOOKUP(B1850,PatData!$A$2:$A$2030,1,),"")&lt;&gt;""</f>
        <v>1</v>
      </c>
      <c r="E1850" t="b">
        <v>0</v>
      </c>
      <c r="F1850" t="b">
        <v>0</v>
      </c>
      <c r="G1850" t="b">
        <v>1</v>
      </c>
      <c r="H1850" t="b">
        <v>0</v>
      </c>
      <c r="I1850" t="b">
        <v>1</v>
      </c>
    </row>
    <row r="1851" spans="1:9" x14ac:dyDescent="0.2">
      <c r="A1851" t="s">
        <v>1077</v>
      </c>
      <c r="B1851" t="s">
        <v>2620</v>
      </c>
      <c r="D1851" t="b">
        <f>IFERROR(VLOOKUP(B1851,PatData!$A$2:$A$2030,1,),"")&lt;&gt;""</f>
        <v>1</v>
      </c>
      <c r="E1851" t="b">
        <v>0</v>
      </c>
      <c r="F1851" t="b">
        <v>0</v>
      </c>
      <c r="G1851" t="b">
        <v>1</v>
      </c>
      <c r="H1851" t="b">
        <v>0</v>
      </c>
      <c r="I1851" t="b">
        <v>1</v>
      </c>
    </row>
    <row r="1852" spans="1:9" x14ac:dyDescent="0.2">
      <c r="A1852" t="s">
        <v>1078</v>
      </c>
      <c r="B1852" t="s">
        <v>2621</v>
      </c>
      <c r="D1852" t="b">
        <f>IFERROR(VLOOKUP(B1852,PatData!$A$2:$A$2030,1,),"")&lt;&gt;""</f>
        <v>1</v>
      </c>
      <c r="E1852" t="b">
        <v>0</v>
      </c>
      <c r="F1852" t="b">
        <v>0</v>
      </c>
      <c r="G1852" t="b">
        <v>1</v>
      </c>
      <c r="H1852" t="b">
        <v>0</v>
      </c>
      <c r="I1852" t="b">
        <v>1</v>
      </c>
    </row>
    <row r="1853" spans="1:9" x14ac:dyDescent="0.2">
      <c r="A1853" t="s">
        <v>1079</v>
      </c>
      <c r="B1853" t="s">
        <v>2622</v>
      </c>
      <c r="D1853" t="b">
        <f>IFERROR(VLOOKUP(B1853,PatData!$A$2:$A$2030,1,),"")&lt;&gt;""</f>
        <v>1</v>
      </c>
      <c r="E1853" t="b">
        <v>0</v>
      </c>
      <c r="F1853" t="b">
        <v>0</v>
      </c>
      <c r="G1853" t="b">
        <v>1</v>
      </c>
      <c r="H1853" t="b">
        <v>0</v>
      </c>
      <c r="I1853" t="b">
        <v>1</v>
      </c>
    </row>
    <row r="1854" spans="1:9" x14ac:dyDescent="0.2">
      <c r="A1854" t="s">
        <v>1080</v>
      </c>
      <c r="B1854" t="s">
        <v>2623</v>
      </c>
      <c r="D1854" t="b">
        <f>IFERROR(VLOOKUP(B1854,PatData!$A$2:$A$2030,1,),"")&lt;&gt;""</f>
        <v>1</v>
      </c>
      <c r="E1854" t="b">
        <v>0</v>
      </c>
      <c r="F1854" t="b">
        <v>0</v>
      </c>
      <c r="G1854" t="b">
        <v>1</v>
      </c>
      <c r="H1854" t="b">
        <v>0</v>
      </c>
      <c r="I1854" t="b">
        <v>1</v>
      </c>
    </row>
    <row r="1855" spans="1:9" x14ac:dyDescent="0.2">
      <c r="A1855" t="s">
        <v>1081</v>
      </c>
      <c r="B1855" t="s">
        <v>2624</v>
      </c>
      <c r="D1855" t="b">
        <f>IFERROR(VLOOKUP(B1855,PatData!$A$2:$A$2030,1,),"")&lt;&gt;""</f>
        <v>1</v>
      </c>
      <c r="E1855" t="b">
        <v>0</v>
      </c>
      <c r="F1855" t="b">
        <v>0</v>
      </c>
      <c r="G1855" t="b">
        <v>1</v>
      </c>
      <c r="H1855" t="b">
        <v>0</v>
      </c>
      <c r="I1855" t="b">
        <v>1</v>
      </c>
    </row>
    <row r="1856" spans="1:9" x14ac:dyDescent="0.2">
      <c r="A1856" t="s">
        <v>1082</v>
      </c>
      <c r="B1856" t="s">
        <v>2625</v>
      </c>
      <c r="D1856" t="b">
        <f>IFERROR(VLOOKUP(B1856,PatData!$A$2:$A$2030,1,),"")&lt;&gt;""</f>
        <v>1</v>
      </c>
      <c r="E1856" t="b">
        <v>0</v>
      </c>
      <c r="F1856" t="b">
        <v>0</v>
      </c>
      <c r="G1856" t="b">
        <v>1</v>
      </c>
      <c r="H1856" t="b">
        <v>0</v>
      </c>
      <c r="I1856" t="b">
        <v>1</v>
      </c>
    </row>
    <row r="1857" spans="1:9" x14ac:dyDescent="0.2">
      <c r="A1857" t="s">
        <v>1083</v>
      </c>
      <c r="B1857" t="s">
        <v>2626</v>
      </c>
      <c r="D1857" t="b">
        <f>IFERROR(VLOOKUP(B1857,PatData!$A$2:$A$2030,1,),"")&lt;&gt;""</f>
        <v>1</v>
      </c>
      <c r="E1857" t="b">
        <v>0</v>
      </c>
      <c r="F1857" t="b">
        <v>0</v>
      </c>
      <c r="G1857" t="b">
        <v>1</v>
      </c>
      <c r="H1857" t="b">
        <v>0</v>
      </c>
      <c r="I1857" t="b">
        <v>1</v>
      </c>
    </row>
    <row r="1858" spans="1:9" x14ac:dyDescent="0.2">
      <c r="A1858" t="s">
        <v>1084</v>
      </c>
      <c r="B1858" t="s">
        <v>2627</v>
      </c>
      <c r="D1858" t="b">
        <f>IFERROR(VLOOKUP(B1858,PatData!$A$2:$A$2030,1,),"")&lt;&gt;""</f>
        <v>1</v>
      </c>
      <c r="E1858" t="b">
        <v>0</v>
      </c>
      <c r="F1858" t="b">
        <v>0</v>
      </c>
      <c r="G1858" t="b">
        <v>1</v>
      </c>
      <c r="H1858" t="b">
        <v>0</v>
      </c>
      <c r="I1858" t="b">
        <v>1</v>
      </c>
    </row>
    <row r="1859" spans="1:9" x14ac:dyDescent="0.2">
      <c r="A1859" t="s">
        <v>1085</v>
      </c>
      <c r="B1859" t="s">
        <v>2628</v>
      </c>
      <c r="D1859" t="b">
        <f>IFERROR(VLOOKUP(B1859,PatData!$A$2:$A$2030,1,),"")&lt;&gt;""</f>
        <v>1</v>
      </c>
      <c r="E1859" t="b">
        <v>0</v>
      </c>
      <c r="F1859" t="b">
        <v>0</v>
      </c>
      <c r="G1859" t="b">
        <v>1</v>
      </c>
      <c r="H1859" t="b">
        <v>0</v>
      </c>
      <c r="I1859" t="b">
        <v>1</v>
      </c>
    </row>
    <row r="1860" spans="1:9" x14ac:dyDescent="0.2">
      <c r="A1860" t="s">
        <v>1086</v>
      </c>
      <c r="B1860" t="s">
        <v>2629</v>
      </c>
      <c r="D1860" t="b">
        <f>IFERROR(VLOOKUP(B1860,PatData!$A$2:$A$2030,1,),"")&lt;&gt;""</f>
        <v>1</v>
      </c>
      <c r="E1860" t="b">
        <v>0</v>
      </c>
      <c r="F1860" t="b">
        <v>0</v>
      </c>
      <c r="G1860" t="b">
        <v>1</v>
      </c>
      <c r="H1860" t="b">
        <v>0</v>
      </c>
      <c r="I1860" t="b">
        <v>1</v>
      </c>
    </row>
    <row r="1861" spans="1:9" x14ac:dyDescent="0.2">
      <c r="A1861" t="s">
        <v>1087</v>
      </c>
      <c r="B1861" t="s">
        <v>2630</v>
      </c>
      <c r="D1861" t="b">
        <f>IFERROR(VLOOKUP(B1861,PatData!$A$2:$A$2030,1,),"")&lt;&gt;""</f>
        <v>1</v>
      </c>
      <c r="E1861" t="b">
        <v>0</v>
      </c>
      <c r="F1861" t="b">
        <v>0</v>
      </c>
      <c r="G1861" t="b">
        <v>1</v>
      </c>
      <c r="H1861" t="b">
        <v>0</v>
      </c>
      <c r="I1861" t="b">
        <v>1</v>
      </c>
    </row>
    <row r="1862" spans="1:9" x14ac:dyDescent="0.2">
      <c r="A1862" t="s">
        <v>1088</v>
      </c>
      <c r="B1862" t="s">
        <v>2631</v>
      </c>
      <c r="D1862" t="b">
        <f>IFERROR(VLOOKUP(B1862,PatData!$A$2:$A$2030,1,),"")&lt;&gt;""</f>
        <v>1</v>
      </c>
      <c r="E1862" t="b">
        <v>0</v>
      </c>
      <c r="F1862" t="b">
        <v>0</v>
      </c>
      <c r="G1862" t="b">
        <v>1</v>
      </c>
      <c r="H1862" t="b">
        <v>0</v>
      </c>
      <c r="I1862" t="b">
        <v>1</v>
      </c>
    </row>
    <row r="1863" spans="1:9" x14ac:dyDescent="0.2">
      <c r="A1863" t="s">
        <v>926</v>
      </c>
      <c r="B1863" t="s">
        <v>4694</v>
      </c>
      <c r="D1863" t="b">
        <f>IFERROR(VLOOKUP(B1863,PatData!$A$2:$A$2030,1,),"")&lt;&gt;""</f>
        <v>1</v>
      </c>
      <c r="E1863">
        <v>3</v>
      </c>
      <c r="F1863" t="b">
        <v>0</v>
      </c>
      <c r="G1863" t="b">
        <v>1</v>
      </c>
      <c r="H1863" t="b">
        <v>0</v>
      </c>
      <c r="I1863" t="b">
        <v>1</v>
      </c>
    </row>
    <row r="1864" spans="1:9" x14ac:dyDescent="0.2">
      <c r="A1864" t="s">
        <v>927</v>
      </c>
      <c r="B1864" t="s">
        <v>4695</v>
      </c>
      <c r="D1864" t="b">
        <f>IFERROR(VLOOKUP(B1864,PatData!$A$2:$A$2030,1,),"")&lt;&gt;""</f>
        <v>1</v>
      </c>
      <c r="E1864">
        <v>6</v>
      </c>
      <c r="F1864" t="b">
        <v>0</v>
      </c>
      <c r="G1864" t="b">
        <v>1</v>
      </c>
      <c r="H1864" t="b">
        <v>0</v>
      </c>
      <c r="I1864" t="b">
        <v>1</v>
      </c>
    </row>
    <row r="1865" spans="1:9" x14ac:dyDescent="0.2">
      <c r="A1865" t="s">
        <v>928</v>
      </c>
      <c r="B1865" t="s">
        <v>4696</v>
      </c>
      <c r="D1865" t="b">
        <f>IFERROR(VLOOKUP(B1865,PatData!$A$2:$A$2030,1,),"")&lt;&gt;""</f>
        <v>1</v>
      </c>
      <c r="E1865">
        <v>1</v>
      </c>
      <c r="F1865" t="b">
        <v>0</v>
      </c>
      <c r="G1865" t="b">
        <v>1</v>
      </c>
      <c r="H1865" t="b">
        <v>0</v>
      </c>
      <c r="I1865" t="b">
        <v>1</v>
      </c>
    </row>
    <row r="1866" spans="1:9" x14ac:dyDescent="0.2">
      <c r="A1866" t="s">
        <v>929</v>
      </c>
      <c r="B1866" t="s">
        <v>4697</v>
      </c>
      <c r="D1866" t="b">
        <f>IFERROR(VLOOKUP(B1866,PatData!$A$2:$A$2030,1,),"")&lt;&gt;""</f>
        <v>1</v>
      </c>
      <c r="E1866">
        <v>1</v>
      </c>
      <c r="F1866" t="b">
        <v>0</v>
      </c>
      <c r="G1866" t="b">
        <v>1</v>
      </c>
      <c r="H1866" t="b">
        <v>0</v>
      </c>
      <c r="I1866" t="b">
        <v>1</v>
      </c>
    </row>
    <row r="1867" spans="1:9" x14ac:dyDescent="0.2">
      <c r="A1867" t="s">
        <v>930</v>
      </c>
      <c r="B1867" t="s">
        <v>4698</v>
      </c>
      <c r="D1867" t="b">
        <f>IFERROR(VLOOKUP(B1867,PatData!$A$2:$A$2030,1,),"")&lt;&gt;""</f>
        <v>1</v>
      </c>
      <c r="E1867">
        <v>1</v>
      </c>
      <c r="F1867" t="b">
        <v>0</v>
      </c>
      <c r="G1867" t="b">
        <v>1</v>
      </c>
      <c r="H1867" t="b">
        <v>0</v>
      </c>
      <c r="I1867" t="b">
        <v>1</v>
      </c>
    </row>
    <row r="1868" spans="1:9" x14ac:dyDescent="0.2">
      <c r="A1868" t="s">
        <v>931</v>
      </c>
      <c r="B1868" t="s">
        <v>4699</v>
      </c>
      <c r="D1868" t="b">
        <f>IFERROR(VLOOKUP(B1868,PatData!$A$2:$A$2030,1,),"")&lt;&gt;""</f>
        <v>1</v>
      </c>
      <c r="E1868">
        <v>1</v>
      </c>
      <c r="F1868" t="b">
        <v>0</v>
      </c>
      <c r="G1868" t="b">
        <v>1</v>
      </c>
      <c r="H1868" t="b">
        <v>0</v>
      </c>
      <c r="I1868" t="b">
        <v>1</v>
      </c>
    </row>
    <row r="1869" spans="1:9" x14ac:dyDescent="0.2">
      <c r="A1869" t="s">
        <v>3500</v>
      </c>
      <c r="B1869" t="s">
        <v>4700</v>
      </c>
      <c r="D1869" t="b">
        <f>IFERROR(VLOOKUP(B1869,PatData!$A$2:$A$2030,1,),"")&lt;&gt;""</f>
        <v>1</v>
      </c>
      <c r="E1869"/>
      <c r="F1869" t="b">
        <v>0</v>
      </c>
      <c r="G1869" t="b">
        <v>1</v>
      </c>
      <c r="H1869" t="b">
        <v>0</v>
      </c>
      <c r="I1869" t="b">
        <v>1</v>
      </c>
    </row>
    <row r="1870" spans="1:9" x14ac:dyDescent="0.2">
      <c r="A1870" t="s">
        <v>4132</v>
      </c>
      <c r="B1870" t="s">
        <v>2632</v>
      </c>
      <c r="D1870" t="b">
        <f>IFERROR(VLOOKUP(B1870,PatData!$A$2:$A$2030,1,),"")&lt;&gt;""</f>
        <v>1</v>
      </c>
      <c r="E1870">
        <v>8</v>
      </c>
      <c r="F1870" t="b">
        <v>0</v>
      </c>
      <c r="G1870" t="b">
        <v>1</v>
      </c>
      <c r="H1870" t="b">
        <v>0</v>
      </c>
      <c r="I1870" t="b">
        <v>1</v>
      </c>
    </row>
    <row r="1871" spans="1:9" x14ac:dyDescent="0.2">
      <c r="A1871" t="s">
        <v>4133</v>
      </c>
      <c r="B1871" t="s">
        <v>2633</v>
      </c>
      <c r="D1871" t="b">
        <f>IFERROR(VLOOKUP(B1871,PatData!$A$2:$A$2030,1,),"")&lt;&gt;""</f>
        <v>1</v>
      </c>
      <c r="E1871">
        <v>24</v>
      </c>
      <c r="F1871" t="b">
        <v>0</v>
      </c>
      <c r="G1871" t="b">
        <v>1</v>
      </c>
      <c r="H1871" t="b">
        <v>0</v>
      </c>
      <c r="I1871" t="b">
        <v>1</v>
      </c>
    </row>
    <row r="1872" spans="1:9" x14ac:dyDescent="0.2">
      <c r="A1872" t="s">
        <v>4134</v>
      </c>
      <c r="B1872" t="s">
        <v>2634</v>
      </c>
      <c r="D1872" t="b">
        <f>IFERROR(VLOOKUP(B1872,PatData!$A$2:$A$2030,1,),"")&lt;&gt;""</f>
        <v>1</v>
      </c>
      <c r="E1872">
        <v>22</v>
      </c>
      <c r="F1872" t="b">
        <v>0</v>
      </c>
      <c r="G1872" t="b">
        <v>1</v>
      </c>
      <c r="H1872" t="b">
        <v>0</v>
      </c>
      <c r="I1872" t="b">
        <v>1</v>
      </c>
    </row>
    <row r="1873" spans="1:9" x14ac:dyDescent="0.2">
      <c r="A1873" t="s">
        <v>4135</v>
      </c>
      <c r="B1873" t="s">
        <v>2635</v>
      </c>
      <c r="D1873" t="b">
        <f>IFERROR(VLOOKUP(B1873,PatData!$A$2:$A$2030,1,),"")&lt;&gt;""</f>
        <v>1</v>
      </c>
      <c r="E1873">
        <v>1</v>
      </c>
      <c r="F1873" t="b">
        <v>0</v>
      </c>
      <c r="G1873" t="b">
        <v>1</v>
      </c>
      <c r="H1873" t="b">
        <v>0</v>
      </c>
      <c r="I1873" t="b">
        <v>1</v>
      </c>
    </row>
    <row r="1874" spans="1:9" x14ac:dyDescent="0.2">
      <c r="A1874" t="s">
        <v>4136</v>
      </c>
      <c r="B1874" t="s">
        <v>2636</v>
      </c>
      <c r="D1874" t="b">
        <f>IFERROR(VLOOKUP(B1874,PatData!$A$2:$A$2030,1,),"")&lt;&gt;""</f>
        <v>1</v>
      </c>
      <c r="E1874">
        <v>1</v>
      </c>
      <c r="F1874" t="b">
        <v>0</v>
      </c>
      <c r="G1874" t="b">
        <v>1</v>
      </c>
      <c r="H1874" t="b">
        <v>0</v>
      </c>
      <c r="I1874" t="b">
        <v>1</v>
      </c>
    </row>
    <row r="1875" spans="1:9" x14ac:dyDescent="0.2">
      <c r="A1875" t="s">
        <v>4137</v>
      </c>
      <c r="B1875" t="s">
        <v>2637</v>
      </c>
      <c r="D1875" t="b">
        <f>IFERROR(VLOOKUP(B1875,PatData!$A$2:$A$2030,1,),"")&lt;&gt;""</f>
        <v>1</v>
      </c>
      <c r="E1875">
        <v>1</v>
      </c>
      <c r="F1875" t="b">
        <v>0</v>
      </c>
      <c r="G1875" t="b">
        <v>1</v>
      </c>
      <c r="H1875" t="b">
        <v>0</v>
      </c>
      <c r="I1875" t="b">
        <v>1</v>
      </c>
    </row>
    <row r="1876" spans="1:9" x14ac:dyDescent="0.2">
      <c r="A1876" t="s">
        <v>4138</v>
      </c>
      <c r="B1876" t="s">
        <v>2638</v>
      </c>
      <c r="D1876" t="b">
        <f>IFERROR(VLOOKUP(B1876,PatData!$A$2:$A$2030,1,),"")&lt;&gt;""</f>
        <v>1</v>
      </c>
      <c r="E1876">
        <v>1</v>
      </c>
      <c r="F1876" t="b">
        <v>0</v>
      </c>
      <c r="G1876" t="b">
        <v>1</v>
      </c>
      <c r="H1876" t="b">
        <v>0</v>
      </c>
      <c r="I1876" t="b">
        <v>1</v>
      </c>
    </row>
    <row r="1877" spans="1:9" x14ac:dyDescent="0.2">
      <c r="A1877" t="s">
        <v>4139</v>
      </c>
      <c r="B1877" t="s">
        <v>2639</v>
      </c>
      <c r="D1877" t="b">
        <f>IFERROR(VLOOKUP(B1877,PatData!$A$2:$A$2030,1,),"")&lt;&gt;""</f>
        <v>1</v>
      </c>
      <c r="E1877">
        <v>1</v>
      </c>
      <c r="F1877" t="b">
        <v>0</v>
      </c>
      <c r="G1877" t="b">
        <v>1</v>
      </c>
      <c r="H1877" t="b">
        <v>0</v>
      </c>
      <c r="I1877" t="b">
        <v>1</v>
      </c>
    </row>
    <row r="1878" spans="1:9" x14ac:dyDescent="0.2">
      <c r="A1878" t="s">
        <v>4140</v>
      </c>
      <c r="B1878" t="s">
        <v>2640</v>
      </c>
      <c r="D1878" t="b">
        <f>IFERROR(VLOOKUP(B1878,PatData!$A$2:$A$2030,1,),"")&lt;&gt;""</f>
        <v>1</v>
      </c>
      <c r="E1878">
        <v>1</v>
      </c>
      <c r="F1878" t="b">
        <v>0</v>
      </c>
      <c r="G1878" t="b">
        <v>1</v>
      </c>
      <c r="H1878" t="b">
        <v>0</v>
      </c>
      <c r="I1878" t="b">
        <v>1</v>
      </c>
    </row>
    <row r="1879" spans="1:9" x14ac:dyDescent="0.2">
      <c r="A1879" t="s">
        <v>4141</v>
      </c>
      <c r="B1879" t="s">
        <v>2641</v>
      </c>
      <c r="D1879" t="b">
        <f>IFERROR(VLOOKUP(B1879,PatData!$A$2:$A$2030,1,),"")&lt;&gt;""</f>
        <v>1</v>
      </c>
      <c r="E1879">
        <v>1</v>
      </c>
      <c r="F1879" t="b">
        <v>0</v>
      </c>
      <c r="G1879" t="b">
        <v>1</v>
      </c>
      <c r="H1879" t="b">
        <v>0</v>
      </c>
      <c r="I1879" t="b">
        <v>1</v>
      </c>
    </row>
    <row r="1880" spans="1:9" x14ac:dyDescent="0.2">
      <c r="A1880" t="s">
        <v>4142</v>
      </c>
      <c r="B1880" t="s">
        <v>2642</v>
      </c>
      <c r="D1880" t="b">
        <f>IFERROR(VLOOKUP(B1880,PatData!$A$2:$A$2030,1,),"")&lt;&gt;""</f>
        <v>1</v>
      </c>
      <c r="E1880">
        <v>1</v>
      </c>
      <c r="F1880" t="b">
        <v>0</v>
      </c>
      <c r="G1880" t="b">
        <v>1</v>
      </c>
      <c r="H1880" t="b">
        <v>0</v>
      </c>
      <c r="I1880" t="b">
        <v>1</v>
      </c>
    </row>
    <row r="1881" spans="1:9" x14ac:dyDescent="0.2">
      <c r="A1881" t="s">
        <v>4143</v>
      </c>
      <c r="B1881" t="s">
        <v>2643</v>
      </c>
      <c r="D1881" t="b">
        <f>IFERROR(VLOOKUP(B1881,PatData!$A$2:$A$2030,1,),"")&lt;&gt;""</f>
        <v>1</v>
      </c>
      <c r="E1881">
        <v>1</v>
      </c>
      <c r="F1881" t="b">
        <v>0</v>
      </c>
      <c r="G1881" t="b">
        <v>1</v>
      </c>
      <c r="H1881" t="b">
        <v>0</v>
      </c>
      <c r="I1881" t="b">
        <v>1</v>
      </c>
    </row>
    <row r="1882" spans="1:9" x14ac:dyDescent="0.2">
      <c r="A1882" t="s">
        <v>4144</v>
      </c>
      <c r="B1882" t="s">
        <v>2644</v>
      </c>
      <c r="D1882" t="b">
        <f>IFERROR(VLOOKUP(B1882,PatData!$A$2:$A$2030,1,),"")&lt;&gt;""</f>
        <v>1</v>
      </c>
      <c r="E1882">
        <v>1</v>
      </c>
      <c r="F1882" t="b">
        <v>0</v>
      </c>
      <c r="G1882" t="b">
        <v>1</v>
      </c>
      <c r="H1882" t="b">
        <v>0</v>
      </c>
      <c r="I1882" t="b">
        <v>1</v>
      </c>
    </row>
    <row r="1883" spans="1:9" x14ac:dyDescent="0.2">
      <c r="A1883" t="s">
        <v>4145</v>
      </c>
      <c r="B1883" t="s">
        <v>2645</v>
      </c>
      <c r="D1883" t="b">
        <f>IFERROR(VLOOKUP(B1883,PatData!$A$2:$A$2030,1,),"")&lt;&gt;""</f>
        <v>1</v>
      </c>
      <c r="E1883">
        <v>1</v>
      </c>
      <c r="F1883" t="b">
        <v>0</v>
      </c>
      <c r="G1883" t="b">
        <v>1</v>
      </c>
      <c r="H1883" t="b">
        <v>0</v>
      </c>
      <c r="I1883" t="b">
        <v>1</v>
      </c>
    </row>
    <row r="1884" spans="1:9" x14ac:dyDescent="0.2">
      <c r="A1884" t="s">
        <v>4146</v>
      </c>
      <c r="B1884" t="s">
        <v>2646</v>
      </c>
      <c r="D1884" t="b">
        <f>IFERROR(VLOOKUP(B1884,PatData!$A$2:$A$2030,1,),"")&lt;&gt;""</f>
        <v>1</v>
      </c>
      <c r="E1884">
        <v>1</v>
      </c>
      <c r="F1884" t="b">
        <v>0</v>
      </c>
      <c r="G1884" t="b">
        <v>1</v>
      </c>
      <c r="H1884" t="b">
        <v>0</v>
      </c>
      <c r="I1884" t="b">
        <v>1</v>
      </c>
    </row>
    <row r="1885" spans="1:9" x14ac:dyDescent="0.2">
      <c r="A1885" t="s">
        <v>4147</v>
      </c>
      <c r="B1885" t="s">
        <v>3250</v>
      </c>
      <c r="D1885" t="b">
        <f>IFERROR(VLOOKUP(B1885,PatData!$A$2:$A$2030,1,),"")&lt;&gt;""</f>
        <v>1</v>
      </c>
      <c r="E1885"/>
      <c r="F1885" t="b">
        <v>0</v>
      </c>
      <c r="G1885" t="b">
        <v>1</v>
      </c>
      <c r="H1885" t="b">
        <v>0</v>
      </c>
      <c r="I1885" t="b">
        <v>1</v>
      </c>
    </row>
    <row r="1886" spans="1:9" x14ac:dyDescent="0.2">
      <c r="A1886" t="s">
        <v>4148</v>
      </c>
      <c r="B1886" t="s">
        <v>3251</v>
      </c>
      <c r="D1886" t="b">
        <f>IFERROR(VLOOKUP(B1886,PatData!$A$2:$A$2030,1,),"")&lt;&gt;""</f>
        <v>1</v>
      </c>
      <c r="E1886"/>
      <c r="F1886" t="b">
        <v>0</v>
      </c>
      <c r="G1886" t="b">
        <v>1</v>
      </c>
      <c r="H1886" t="b">
        <v>0</v>
      </c>
      <c r="I1886" t="b">
        <v>1</v>
      </c>
    </row>
    <row r="1887" spans="1:9" x14ac:dyDescent="0.2">
      <c r="A1887" t="s">
        <v>4149</v>
      </c>
      <c r="B1887" t="s">
        <v>3252</v>
      </c>
      <c r="D1887" t="b">
        <f>IFERROR(VLOOKUP(B1887,PatData!$A$2:$A$2030,1,),"")&lt;&gt;""</f>
        <v>1</v>
      </c>
      <c r="E1887"/>
      <c r="F1887" t="b">
        <v>0</v>
      </c>
      <c r="G1887" t="b">
        <v>1</v>
      </c>
      <c r="H1887" t="b">
        <v>0</v>
      </c>
      <c r="I1887" t="b">
        <v>1</v>
      </c>
    </row>
    <row r="1888" spans="1:9" x14ac:dyDescent="0.2">
      <c r="A1888" t="s">
        <v>4150</v>
      </c>
      <c r="B1888" t="s">
        <v>3253</v>
      </c>
      <c r="D1888" t="b">
        <f>IFERROR(VLOOKUP(B1888,PatData!$A$2:$A$2030,1,),"")&lt;&gt;""</f>
        <v>1</v>
      </c>
      <c r="E1888"/>
      <c r="F1888" t="b">
        <v>0</v>
      </c>
      <c r="G1888" t="b">
        <v>1</v>
      </c>
      <c r="H1888" t="b">
        <v>0</v>
      </c>
      <c r="I1888" t="b">
        <v>1</v>
      </c>
    </row>
    <row r="1889" spans="1:9" x14ac:dyDescent="0.2">
      <c r="A1889" t="s">
        <v>4151</v>
      </c>
      <c r="B1889" t="s">
        <v>3254</v>
      </c>
      <c r="D1889" t="b">
        <f>IFERROR(VLOOKUP(B1889,PatData!$A$2:$A$2030,1,),"")&lt;&gt;""</f>
        <v>1</v>
      </c>
      <c r="E1889"/>
      <c r="F1889" t="b">
        <v>0</v>
      </c>
      <c r="G1889" t="b">
        <v>1</v>
      </c>
      <c r="H1889" t="b">
        <v>0</v>
      </c>
      <c r="I1889" t="b">
        <v>1</v>
      </c>
    </row>
    <row r="1890" spans="1:9" x14ac:dyDescent="0.2">
      <c r="A1890" t="s">
        <v>4152</v>
      </c>
      <c r="B1890" t="s">
        <v>2647</v>
      </c>
      <c r="D1890" t="b">
        <f>IFERROR(VLOOKUP(B1890,PatData!$A$2:$A$2030,1,),"")&lt;&gt;""</f>
        <v>1</v>
      </c>
      <c r="E1890">
        <v>2</v>
      </c>
      <c r="F1890" t="b">
        <v>0</v>
      </c>
      <c r="G1890" t="b">
        <v>1</v>
      </c>
      <c r="H1890" t="b">
        <v>0</v>
      </c>
      <c r="I1890" t="b">
        <v>1</v>
      </c>
    </row>
    <row r="1891" spans="1:9" x14ac:dyDescent="0.2">
      <c r="A1891" t="s">
        <v>4153</v>
      </c>
      <c r="B1891" t="s">
        <v>2648</v>
      </c>
      <c r="D1891" t="b">
        <f>IFERROR(VLOOKUP(B1891,PatData!$A$2:$A$2030,1,),"")&lt;&gt;""</f>
        <v>1</v>
      </c>
      <c r="E1891">
        <v>2</v>
      </c>
      <c r="F1891" t="b">
        <v>0</v>
      </c>
      <c r="G1891" t="b">
        <v>1</v>
      </c>
      <c r="H1891" t="b">
        <v>0</v>
      </c>
      <c r="I1891" t="b">
        <v>1</v>
      </c>
    </row>
    <row r="1892" spans="1:9" x14ac:dyDescent="0.2">
      <c r="A1892" t="s">
        <v>4154</v>
      </c>
      <c r="B1892" t="s">
        <v>2649</v>
      </c>
      <c r="D1892" t="b">
        <f>IFERROR(VLOOKUP(B1892,PatData!$A$2:$A$2030,1,),"")&lt;&gt;""</f>
        <v>1</v>
      </c>
      <c r="E1892">
        <v>2</v>
      </c>
      <c r="F1892" t="b">
        <v>0</v>
      </c>
      <c r="G1892" t="b">
        <v>1</v>
      </c>
      <c r="H1892" t="b">
        <v>0</v>
      </c>
      <c r="I1892" t="b">
        <v>1</v>
      </c>
    </row>
    <row r="1893" spans="1:9" x14ac:dyDescent="0.2">
      <c r="A1893" t="s">
        <v>4155</v>
      </c>
      <c r="B1893" t="s">
        <v>2650</v>
      </c>
      <c r="D1893" t="b">
        <f>IFERROR(VLOOKUP(B1893,PatData!$A$2:$A$2030,1,),"")&lt;&gt;""</f>
        <v>1</v>
      </c>
      <c r="E1893">
        <v>1</v>
      </c>
      <c r="F1893" t="b">
        <v>0</v>
      </c>
      <c r="G1893" t="b">
        <v>1</v>
      </c>
      <c r="H1893" t="b">
        <v>0</v>
      </c>
      <c r="I1893" t="b">
        <v>1</v>
      </c>
    </row>
    <row r="1894" spans="1:9" x14ac:dyDescent="0.2">
      <c r="A1894" t="s">
        <v>4156</v>
      </c>
      <c r="B1894" t="s">
        <v>2651</v>
      </c>
      <c r="D1894" t="b">
        <f>IFERROR(VLOOKUP(B1894,PatData!$A$2:$A$2030,1,),"")&lt;&gt;""</f>
        <v>1</v>
      </c>
      <c r="E1894">
        <v>1</v>
      </c>
      <c r="F1894" t="b">
        <v>0</v>
      </c>
      <c r="G1894" t="b">
        <v>1</v>
      </c>
      <c r="H1894" t="b">
        <v>0</v>
      </c>
      <c r="I1894" t="b">
        <v>1</v>
      </c>
    </row>
    <row r="1895" spans="1:9" x14ac:dyDescent="0.2">
      <c r="A1895" t="s">
        <v>4157</v>
      </c>
      <c r="B1895" t="s">
        <v>2652</v>
      </c>
      <c r="D1895" t="b">
        <f>IFERROR(VLOOKUP(B1895,PatData!$A$2:$A$2030,1,),"")&lt;&gt;""</f>
        <v>1</v>
      </c>
      <c r="E1895">
        <v>1</v>
      </c>
      <c r="F1895" t="b">
        <v>0</v>
      </c>
      <c r="G1895" t="b">
        <v>1</v>
      </c>
      <c r="H1895" t="b">
        <v>0</v>
      </c>
      <c r="I1895" t="b">
        <v>1</v>
      </c>
    </row>
    <row r="1896" spans="1:9" x14ac:dyDescent="0.2">
      <c r="A1896" t="s">
        <v>4158</v>
      </c>
      <c r="B1896" t="s">
        <v>2653</v>
      </c>
      <c r="D1896" t="b">
        <f>IFERROR(VLOOKUP(B1896,PatData!$A$2:$A$2030,1,),"")&lt;&gt;""</f>
        <v>1</v>
      </c>
      <c r="E1896">
        <v>1</v>
      </c>
      <c r="F1896" t="b">
        <v>0</v>
      </c>
      <c r="G1896" t="b">
        <v>1</v>
      </c>
      <c r="H1896" t="b">
        <v>0</v>
      </c>
      <c r="I1896" t="b">
        <v>1</v>
      </c>
    </row>
    <row r="1897" spans="1:9" x14ac:dyDescent="0.2">
      <c r="A1897" t="s">
        <v>4159</v>
      </c>
      <c r="B1897" t="s">
        <v>2654</v>
      </c>
      <c r="D1897" t="b">
        <f>IFERROR(VLOOKUP(B1897,PatData!$A$2:$A$2030,1,),"")&lt;&gt;""</f>
        <v>1</v>
      </c>
      <c r="E1897">
        <v>1</v>
      </c>
      <c r="F1897" t="b">
        <v>0</v>
      </c>
      <c r="G1897" t="b">
        <v>1</v>
      </c>
      <c r="H1897" t="b">
        <v>0</v>
      </c>
      <c r="I1897" t="b">
        <v>1</v>
      </c>
    </row>
    <row r="1898" spans="1:9" x14ac:dyDescent="0.2">
      <c r="A1898" t="s">
        <v>4160</v>
      </c>
      <c r="B1898" t="s">
        <v>2655</v>
      </c>
      <c r="D1898" t="b">
        <f>IFERROR(VLOOKUP(B1898,PatData!$A$2:$A$2030,1,),"")&lt;&gt;""</f>
        <v>1</v>
      </c>
      <c r="E1898">
        <v>1</v>
      </c>
      <c r="F1898" t="b">
        <v>0</v>
      </c>
      <c r="G1898" t="b">
        <v>1</v>
      </c>
      <c r="H1898" t="b">
        <v>0</v>
      </c>
      <c r="I1898" t="b">
        <v>1</v>
      </c>
    </row>
    <row r="1899" spans="1:9" x14ac:dyDescent="0.2">
      <c r="A1899" t="s">
        <v>4161</v>
      </c>
      <c r="B1899" t="s">
        <v>2656</v>
      </c>
      <c r="D1899" t="b">
        <f>IFERROR(VLOOKUP(B1899,PatData!$A$2:$A$2030,1,),"")&lt;&gt;""</f>
        <v>1</v>
      </c>
      <c r="E1899">
        <v>1</v>
      </c>
      <c r="F1899" t="b">
        <v>0</v>
      </c>
      <c r="G1899" t="b">
        <v>1</v>
      </c>
      <c r="H1899" t="b">
        <v>0</v>
      </c>
      <c r="I1899" t="b">
        <v>1</v>
      </c>
    </row>
    <row r="1900" spans="1:9" x14ac:dyDescent="0.2">
      <c r="A1900" t="s">
        <v>4162</v>
      </c>
      <c r="B1900" t="s">
        <v>2657</v>
      </c>
      <c r="D1900" t="b">
        <f>IFERROR(VLOOKUP(B1900,PatData!$A$2:$A$2030,1,),"")&lt;&gt;""</f>
        <v>1</v>
      </c>
      <c r="E1900">
        <v>1</v>
      </c>
      <c r="F1900" t="b">
        <v>0</v>
      </c>
      <c r="G1900" t="b">
        <v>1</v>
      </c>
      <c r="H1900" t="b">
        <v>0</v>
      </c>
      <c r="I1900" t="b">
        <v>1</v>
      </c>
    </row>
    <row r="1901" spans="1:9" x14ac:dyDescent="0.2">
      <c r="A1901" t="s">
        <v>4163</v>
      </c>
      <c r="B1901" t="s">
        <v>2658</v>
      </c>
      <c r="D1901" t="b">
        <f>IFERROR(VLOOKUP(B1901,PatData!$A$2:$A$2030,1,),"")&lt;&gt;""</f>
        <v>1</v>
      </c>
      <c r="E1901">
        <v>1</v>
      </c>
      <c r="F1901" t="b">
        <v>0</v>
      </c>
      <c r="G1901" t="b">
        <v>1</v>
      </c>
      <c r="H1901" t="b">
        <v>0</v>
      </c>
      <c r="I1901" t="b">
        <v>1</v>
      </c>
    </row>
    <row r="1902" spans="1:9" x14ac:dyDescent="0.2">
      <c r="A1902" t="s">
        <v>4164</v>
      </c>
      <c r="B1902" t="s">
        <v>2659</v>
      </c>
      <c r="D1902" t="b">
        <f>IFERROR(VLOOKUP(B1902,PatData!$A$2:$A$2030,1,),"")&lt;&gt;""</f>
        <v>1</v>
      </c>
      <c r="E1902">
        <v>1</v>
      </c>
      <c r="F1902" t="b">
        <v>0</v>
      </c>
      <c r="G1902" t="b">
        <v>1</v>
      </c>
      <c r="H1902" t="b">
        <v>0</v>
      </c>
      <c r="I1902" t="b">
        <v>1</v>
      </c>
    </row>
    <row r="1903" spans="1:9" x14ac:dyDescent="0.2">
      <c r="A1903" t="s">
        <v>4165</v>
      </c>
      <c r="B1903" t="s">
        <v>2660</v>
      </c>
      <c r="D1903" t="b">
        <f>IFERROR(VLOOKUP(B1903,PatData!$A$2:$A$2030,1,),"")&lt;&gt;""</f>
        <v>1</v>
      </c>
      <c r="E1903">
        <v>1</v>
      </c>
      <c r="F1903" t="b">
        <v>0</v>
      </c>
      <c r="G1903" t="b">
        <v>1</v>
      </c>
      <c r="H1903" t="b">
        <v>0</v>
      </c>
      <c r="I1903" t="b">
        <v>1</v>
      </c>
    </row>
    <row r="1904" spans="1:9" x14ac:dyDescent="0.2">
      <c r="A1904" t="s">
        <v>4166</v>
      </c>
      <c r="B1904" t="s">
        <v>2661</v>
      </c>
      <c r="D1904" t="b">
        <f>IFERROR(VLOOKUP(B1904,PatData!$A$2:$A$2030,1,),"")&lt;&gt;""</f>
        <v>1</v>
      </c>
      <c r="E1904">
        <v>1</v>
      </c>
      <c r="F1904" t="b">
        <v>0</v>
      </c>
      <c r="G1904" t="b">
        <v>1</v>
      </c>
      <c r="H1904" t="b">
        <v>0</v>
      </c>
      <c r="I1904" t="b">
        <v>1</v>
      </c>
    </row>
    <row r="1905" spans="1:9" x14ac:dyDescent="0.2">
      <c r="A1905" t="s">
        <v>4167</v>
      </c>
      <c r="B1905" t="s">
        <v>3255</v>
      </c>
      <c r="D1905" t="b">
        <f>IFERROR(VLOOKUP(B1905,PatData!$A$2:$A$2030,1,),"")&lt;&gt;""</f>
        <v>1</v>
      </c>
      <c r="E1905">
        <v>1</v>
      </c>
      <c r="F1905" t="b">
        <v>0</v>
      </c>
      <c r="G1905" t="b">
        <v>1</v>
      </c>
      <c r="H1905" t="b">
        <v>0</v>
      </c>
      <c r="I1905" t="b">
        <v>1</v>
      </c>
    </row>
    <row r="1906" spans="1:9" x14ac:dyDescent="0.2">
      <c r="A1906" t="s">
        <v>4168</v>
      </c>
      <c r="B1906" t="s">
        <v>3256</v>
      </c>
      <c r="D1906" t="b">
        <f>IFERROR(VLOOKUP(B1906,PatData!$A$2:$A$2030,1,),"")&lt;&gt;""</f>
        <v>1</v>
      </c>
      <c r="E1906">
        <v>1</v>
      </c>
      <c r="F1906" t="b">
        <v>0</v>
      </c>
      <c r="G1906" t="b">
        <v>1</v>
      </c>
      <c r="H1906" t="b">
        <v>0</v>
      </c>
      <c r="I1906" t="b">
        <v>1</v>
      </c>
    </row>
    <row r="1907" spans="1:9" x14ac:dyDescent="0.2">
      <c r="A1907" t="s">
        <v>4169</v>
      </c>
      <c r="B1907" t="s">
        <v>3257</v>
      </c>
      <c r="D1907" t="b">
        <f>IFERROR(VLOOKUP(B1907,PatData!$A$2:$A$2030,1,),"")&lt;&gt;""</f>
        <v>1</v>
      </c>
      <c r="E1907">
        <v>1</v>
      </c>
      <c r="F1907" t="b">
        <v>0</v>
      </c>
      <c r="G1907" t="b">
        <v>1</v>
      </c>
      <c r="H1907" t="b">
        <v>0</v>
      </c>
      <c r="I1907" t="b">
        <v>1</v>
      </c>
    </row>
    <row r="1908" spans="1:9" x14ac:dyDescent="0.2">
      <c r="A1908" t="s">
        <v>4170</v>
      </c>
      <c r="B1908" t="s">
        <v>3258</v>
      </c>
      <c r="D1908" t="b">
        <f>IFERROR(VLOOKUP(B1908,PatData!$A$2:$A$2030,1,),"")&lt;&gt;""</f>
        <v>1</v>
      </c>
      <c r="E1908">
        <v>1</v>
      </c>
      <c r="F1908" t="b">
        <v>0</v>
      </c>
      <c r="G1908" t="b">
        <v>1</v>
      </c>
      <c r="H1908" t="b">
        <v>0</v>
      </c>
      <c r="I1908" t="b">
        <v>1</v>
      </c>
    </row>
    <row r="1909" spans="1:9" x14ac:dyDescent="0.2">
      <c r="A1909" t="s">
        <v>4171</v>
      </c>
      <c r="B1909" t="s">
        <v>3259</v>
      </c>
      <c r="D1909" t="b">
        <f>IFERROR(VLOOKUP(B1909,PatData!$A$2:$A$2030,1,),"")&lt;&gt;""</f>
        <v>1</v>
      </c>
      <c r="E1909">
        <v>1</v>
      </c>
      <c r="F1909" t="b">
        <v>0</v>
      </c>
      <c r="G1909" t="b">
        <v>1</v>
      </c>
      <c r="H1909" t="b">
        <v>0</v>
      </c>
      <c r="I1909" t="b">
        <v>1</v>
      </c>
    </row>
    <row r="1910" spans="1:9" x14ac:dyDescent="0.2">
      <c r="A1910" t="s">
        <v>1089</v>
      </c>
      <c r="B1910" t="s">
        <v>2662</v>
      </c>
      <c r="D1910" t="b">
        <f>IFERROR(VLOOKUP(B1910,PatData!$A$2:$A$2030,1,),"")&lt;&gt;""</f>
        <v>1</v>
      </c>
      <c r="E1910">
        <v>0</v>
      </c>
      <c r="F1910" t="b">
        <v>0</v>
      </c>
      <c r="G1910" t="b">
        <v>1</v>
      </c>
      <c r="H1910" t="b">
        <v>0</v>
      </c>
      <c r="I1910" t="b">
        <v>1</v>
      </c>
    </row>
    <row r="1911" spans="1:9" x14ac:dyDescent="0.2">
      <c r="A1911" t="s">
        <v>1090</v>
      </c>
      <c r="B1911" t="s">
        <v>2663</v>
      </c>
      <c r="D1911" t="b">
        <f>IFERROR(VLOOKUP(B1911,PatData!$A$2:$A$2030,1,),"")&lt;&gt;""</f>
        <v>1</v>
      </c>
      <c r="E1911">
        <v>0</v>
      </c>
      <c r="F1911" t="b">
        <v>0</v>
      </c>
      <c r="G1911" t="b">
        <v>1</v>
      </c>
      <c r="H1911" t="b">
        <v>0</v>
      </c>
      <c r="I1911" t="b">
        <v>1</v>
      </c>
    </row>
    <row r="1912" spans="1:9" x14ac:dyDescent="0.2">
      <c r="A1912" t="s">
        <v>1091</v>
      </c>
      <c r="B1912" t="s">
        <v>2664</v>
      </c>
      <c r="D1912" t="b">
        <f>IFERROR(VLOOKUP(B1912,PatData!$A$2:$A$2030,1,),"")&lt;&gt;""</f>
        <v>1</v>
      </c>
      <c r="E1912">
        <v>0</v>
      </c>
      <c r="F1912" t="b">
        <v>0</v>
      </c>
      <c r="G1912" t="b">
        <v>1</v>
      </c>
      <c r="H1912" t="b">
        <v>0</v>
      </c>
      <c r="I1912" t="b">
        <v>1</v>
      </c>
    </row>
    <row r="1913" spans="1:9" x14ac:dyDescent="0.2">
      <c r="A1913" t="s">
        <v>1092</v>
      </c>
      <c r="B1913" t="s">
        <v>2665</v>
      </c>
      <c r="D1913" t="b">
        <f>IFERROR(VLOOKUP(B1913,PatData!$A$2:$A$2030,1,),"")&lt;&gt;""</f>
        <v>1</v>
      </c>
      <c r="E1913">
        <v>0</v>
      </c>
      <c r="F1913" t="b">
        <v>0</v>
      </c>
      <c r="G1913" t="b">
        <v>1</v>
      </c>
      <c r="H1913" t="b">
        <v>0</v>
      </c>
      <c r="I1913" t="b">
        <v>1</v>
      </c>
    </row>
    <row r="1914" spans="1:9" x14ac:dyDescent="0.2">
      <c r="A1914" t="s">
        <v>1093</v>
      </c>
      <c r="B1914" t="s">
        <v>2666</v>
      </c>
      <c r="D1914" t="b">
        <f>IFERROR(VLOOKUP(B1914,PatData!$A$2:$A$2030,1,),"")&lt;&gt;""</f>
        <v>1</v>
      </c>
      <c r="E1914">
        <v>0</v>
      </c>
      <c r="F1914" t="b">
        <v>0</v>
      </c>
      <c r="G1914" t="b">
        <v>1</v>
      </c>
      <c r="H1914" t="b">
        <v>0</v>
      </c>
      <c r="I1914" t="b">
        <v>1</v>
      </c>
    </row>
    <row r="1915" spans="1:9" x14ac:dyDescent="0.2">
      <c r="A1915" t="s">
        <v>1094</v>
      </c>
      <c r="B1915" t="s">
        <v>2667</v>
      </c>
      <c r="D1915" t="b">
        <f>IFERROR(VLOOKUP(B1915,PatData!$A$2:$A$2030,1,),"")&lt;&gt;""</f>
        <v>1</v>
      </c>
      <c r="E1915">
        <v>0</v>
      </c>
      <c r="F1915" t="b">
        <v>0</v>
      </c>
      <c r="G1915" t="b">
        <v>1</v>
      </c>
      <c r="H1915" t="b">
        <v>0</v>
      </c>
      <c r="I1915" t="b">
        <v>1</v>
      </c>
    </row>
    <row r="1916" spans="1:9" x14ac:dyDescent="0.2">
      <c r="A1916" t="s">
        <v>1095</v>
      </c>
      <c r="B1916" t="s">
        <v>2668</v>
      </c>
      <c r="D1916" t="b">
        <f>IFERROR(VLOOKUP(B1916,PatData!$A$2:$A$2030,1,),"")&lt;&gt;""</f>
        <v>1</v>
      </c>
      <c r="E1916">
        <v>0</v>
      </c>
      <c r="F1916" t="b">
        <v>0</v>
      </c>
      <c r="G1916" t="b">
        <v>1</v>
      </c>
      <c r="H1916" t="b">
        <v>0</v>
      </c>
      <c r="I1916" t="b">
        <v>1</v>
      </c>
    </row>
    <row r="1917" spans="1:9" x14ac:dyDescent="0.2">
      <c r="A1917" t="s">
        <v>1096</v>
      </c>
      <c r="B1917" t="s">
        <v>2669</v>
      </c>
      <c r="D1917" t="b">
        <f>IFERROR(VLOOKUP(B1917,PatData!$A$2:$A$2030,1,),"")&lt;&gt;""</f>
        <v>1</v>
      </c>
      <c r="E1917">
        <v>0</v>
      </c>
      <c r="F1917" t="b">
        <v>0</v>
      </c>
      <c r="G1917" t="b">
        <v>1</v>
      </c>
      <c r="H1917" t="b">
        <v>0</v>
      </c>
      <c r="I1917" t="b">
        <v>1</v>
      </c>
    </row>
    <row r="1918" spans="1:9" x14ac:dyDescent="0.2">
      <c r="A1918" t="s">
        <v>1097</v>
      </c>
      <c r="B1918" t="s">
        <v>2670</v>
      </c>
      <c r="D1918" t="b">
        <f>IFERROR(VLOOKUP(B1918,PatData!$A$2:$A$2030,1,),"")&lt;&gt;""</f>
        <v>1</v>
      </c>
      <c r="E1918">
        <v>0</v>
      </c>
      <c r="F1918" t="b">
        <v>0</v>
      </c>
      <c r="G1918" t="b">
        <v>1</v>
      </c>
      <c r="H1918" t="b">
        <v>0</v>
      </c>
      <c r="I1918" t="b">
        <v>1</v>
      </c>
    </row>
    <row r="1919" spans="1:9" x14ac:dyDescent="0.2">
      <c r="A1919" t="s">
        <v>1098</v>
      </c>
      <c r="B1919" t="s">
        <v>2671</v>
      </c>
      <c r="D1919" t="b">
        <f>IFERROR(VLOOKUP(B1919,PatData!$A$2:$A$2030,1,),"")&lt;&gt;""</f>
        <v>1</v>
      </c>
      <c r="E1919">
        <v>0</v>
      </c>
      <c r="F1919" t="b">
        <v>0</v>
      </c>
      <c r="G1919" t="b">
        <v>1</v>
      </c>
      <c r="H1919" t="b">
        <v>0</v>
      </c>
      <c r="I1919" t="b">
        <v>1</v>
      </c>
    </row>
    <row r="1920" spans="1:9" x14ac:dyDescent="0.2">
      <c r="A1920" t="s">
        <v>1099</v>
      </c>
      <c r="B1920" t="s">
        <v>2672</v>
      </c>
      <c r="D1920" t="b">
        <f>IFERROR(VLOOKUP(B1920,PatData!$A$2:$A$2030,1,),"")&lt;&gt;""</f>
        <v>1</v>
      </c>
      <c r="E1920">
        <v>0</v>
      </c>
      <c r="F1920" t="b">
        <v>0</v>
      </c>
      <c r="G1920" t="b">
        <v>1</v>
      </c>
      <c r="H1920" t="b">
        <v>0</v>
      </c>
      <c r="I1920" t="b">
        <v>1</v>
      </c>
    </row>
    <row r="1921" spans="1:9" x14ac:dyDescent="0.2">
      <c r="A1921" t="s">
        <v>1100</v>
      </c>
      <c r="B1921" t="s">
        <v>2673</v>
      </c>
      <c r="D1921" t="b">
        <f>IFERROR(VLOOKUP(B1921,PatData!$A$2:$A$2030,1,),"")&lt;&gt;""</f>
        <v>1</v>
      </c>
      <c r="E1921">
        <v>0</v>
      </c>
      <c r="F1921" t="b">
        <v>0</v>
      </c>
      <c r="G1921" t="b">
        <v>1</v>
      </c>
      <c r="H1921" t="b">
        <v>0</v>
      </c>
      <c r="I1921" t="b">
        <v>1</v>
      </c>
    </row>
    <row r="1922" spans="1:9" x14ac:dyDescent="0.2">
      <c r="A1922" t="s">
        <v>1101</v>
      </c>
      <c r="B1922" t="s">
        <v>2674</v>
      </c>
      <c r="D1922" t="b">
        <f>IFERROR(VLOOKUP(B1922,PatData!$A$2:$A$2030,1,),"")&lt;&gt;""</f>
        <v>1</v>
      </c>
      <c r="E1922">
        <v>0</v>
      </c>
      <c r="F1922" t="b">
        <v>0</v>
      </c>
      <c r="G1922" t="b">
        <v>1</v>
      </c>
      <c r="H1922" t="b">
        <v>0</v>
      </c>
      <c r="I1922" t="b">
        <v>1</v>
      </c>
    </row>
    <row r="1923" spans="1:9" x14ac:dyDescent="0.2">
      <c r="A1923" t="s">
        <v>3260</v>
      </c>
      <c r="B1923" t="s">
        <v>2675</v>
      </c>
      <c r="D1923" t="b">
        <f>IFERROR(VLOOKUP(B1923,PatData!$A$2:$A$2030,1,),"")&lt;&gt;""</f>
        <v>1</v>
      </c>
      <c r="E1923">
        <v>0</v>
      </c>
      <c r="F1923" t="b">
        <v>0</v>
      </c>
      <c r="G1923" t="b">
        <v>1</v>
      </c>
      <c r="H1923" t="b">
        <v>0</v>
      </c>
      <c r="I1923" t="b">
        <v>1</v>
      </c>
    </row>
    <row r="1924" spans="1:9" x14ac:dyDescent="0.2">
      <c r="A1924" t="s">
        <v>3262</v>
      </c>
      <c r="B1924" t="s">
        <v>2676</v>
      </c>
      <c r="D1924" t="b">
        <f>IFERROR(VLOOKUP(B1924,PatData!$A$2:$A$2030,1,),"")&lt;&gt;""</f>
        <v>1</v>
      </c>
      <c r="E1924">
        <v>0</v>
      </c>
      <c r="F1924" t="b">
        <v>0</v>
      </c>
      <c r="G1924" t="b">
        <v>1</v>
      </c>
      <c r="H1924" t="b">
        <v>0</v>
      </c>
      <c r="I1924" t="b">
        <v>1</v>
      </c>
    </row>
    <row r="1925" spans="1:9" x14ac:dyDescent="0.2">
      <c r="A1925" t="s">
        <v>3265</v>
      </c>
      <c r="B1925" t="s">
        <v>3261</v>
      </c>
      <c r="D1925" t="b">
        <f>IFERROR(VLOOKUP(B1925,PatData!$A$2:$A$2030,1,),"")&lt;&gt;""</f>
        <v>1</v>
      </c>
      <c r="E1925">
        <v>0</v>
      </c>
      <c r="F1925" t="b">
        <v>0</v>
      </c>
      <c r="G1925" t="b">
        <v>1</v>
      </c>
      <c r="H1925" t="b">
        <v>0</v>
      </c>
      <c r="I1925" t="b">
        <v>1</v>
      </c>
    </row>
    <row r="1926" spans="1:9" x14ac:dyDescent="0.2">
      <c r="A1926" t="s">
        <v>3267</v>
      </c>
      <c r="B1926" t="s">
        <v>3263</v>
      </c>
      <c r="D1926" t="b">
        <f>IFERROR(VLOOKUP(B1926,PatData!$A$2:$A$2030,1,),"")&lt;&gt;""</f>
        <v>1</v>
      </c>
      <c r="E1926">
        <v>0</v>
      </c>
      <c r="F1926" t="b">
        <v>0</v>
      </c>
      <c r="G1926" t="b">
        <v>1</v>
      </c>
      <c r="H1926" t="b">
        <v>0</v>
      </c>
      <c r="I1926" t="b">
        <v>1</v>
      </c>
    </row>
    <row r="1927" spans="1:9" x14ac:dyDescent="0.2">
      <c r="A1927" t="s">
        <v>4172</v>
      </c>
      <c r="B1927" t="s">
        <v>3264</v>
      </c>
      <c r="D1927" t="b">
        <f>IFERROR(VLOOKUP(B1927,PatData!$A$2:$A$2030,1,),"")&lt;&gt;""</f>
        <v>1</v>
      </c>
      <c r="E1927">
        <v>0</v>
      </c>
      <c r="F1927" t="b">
        <v>0</v>
      </c>
      <c r="G1927" t="b">
        <v>1</v>
      </c>
      <c r="H1927" t="b">
        <v>0</v>
      </c>
      <c r="I1927" t="b">
        <v>1</v>
      </c>
    </row>
    <row r="1928" spans="1:9" x14ac:dyDescent="0.2">
      <c r="A1928" t="s">
        <v>4173</v>
      </c>
      <c r="B1928" t="s">
        <v>3266</v>
      </c>
      <c r="D1928" t="b">
        <f>IFERROR(VLOOKUP(B1928,PatData!$A$2:$A$2030,1,),"")&lt;&gt;""</f>
        <v>1</v>
      </c>
      <c r="E1928">
        <v>0</v>
      </c>
      <c r="F1928" t="b">
        <v>0</v>
      </c>
      <c r="G1928" t="b">
        <v>1</v>
      </c>
      <c r="H1928" t="b">
        <v>0</v>
      </c>
      <c r="I1928" t="b">
        <v>1</v>
      </c>
    </row>
    <row r="1929" spans="1:9" x14ac:dyDescent="0.2">
      <c r="A1929" t="s">
        <v>4174</v>
      </c>
      <c r="B1929" t="s">
        <v>3268</v>
      </c>
      <c r="D1929" t="b">
        <f>IFERROR(VLOOKUP(B1929,PatData!$A$2:$A$2030,1,),"")&lt;&gt;""</f>
        <v>1</v>
      </c>
      <c r="E1929">
        <v>0</v>
      </c>
      <c r="F1929" t="b">
        <v>0</v>
      </c>
      <c r="G1929" t="b">
        <v>1</v>
      </c>
      <c r="H1929" t="b">
        <v>0</v>
      </c>
      <c r="I1929" t="b">
        <v>1</v>
      </c>
    </row>
    <row r="1930" spans="1:9" x14ac:dyDescent="0.2">
      <c r="A1930" t="s">
        <v>4768</v>
      </c>
      <c r="B1930" t="s">
        <v>2677</v>
      </c>
      <c r="D1930" t="b">
        <f>IFERROR(VLOOKUP(B1930,PatData!$A$2:$A$2030,1,),"")&lt;&gt;""</f>
        <v>1</v>
      </c>
      <c r="E1930"/>
      <c r="F1930" t="b">
        <v>0</v>
      </c>
      <c r="G1930" t="b">
        <v>1</v>
      </c>
      <c r="H1930" t="b">
        <v>0</v>
      </c>
      <c r="I1930" t="b">
        <v>1</v>
      </c>
    </row>
    <row r="1931" spans="1:9" x14ac:dyDescent="0.2">
      <c r="A1931" t="s">
        <v>4175</v>
      </c>
      <c r="B1931" t="s">
        <v>2678</v>
      </c>
      <c r="D1931" t="b">
        <f>IFERROR(VLOOKUP(B1931,PatData!$A$2:$A$2030,1,),"")&lt;&gt;""</f>
        <v>1</v>
      </c>
      <c r="E1931">
        <v>2</v>
      </c>
      <c r="F1931" t="b">
        <v>0</v>
      </c>
      <c r="G1931" t="b">
        <v>1</v>
      </c>
      <c r="H1931" t="b">
        <v>0</v>
      </c>
      <c r="I1931" t="b">
        <v>1</v>
      </c>
    </row>
    <row r="1932" spans="1:9" x14ac:dyDescent="0.2">
      <c r="A1932" t="s">
        <v>4176</v>
      </c>
      <c r="B1932" t="s">
        <v>2679</v>
      </c>
      <c r="D1932" t="b">
        <f>IFERROR(VLOOKUP(B1932,PatData!$A$2:$A$2030,1,),"")&lt;&gt;""</f>
        <v>1</v>
      </c>
      <c r="E1932">
        <v>10</v>
      </c>
      <c r="F1932" t="b">
        <v>0</v>
      </c>
      <c r="G1932" t="b">
        <v>1</v>
      </c>
      <c r="H1932" t="b">
        <v>0</v>
      </c>
      <c r="I1932" t="b">
        <v>1</v>
      </c>
    </row>
    <row r="1933" spans="1:9" x14ac:dyDescent="0.2">
      <c r="A1933" t="s">
        <v>4177</v>
      </c>
      <c r="B1933" t="s">
        <v>2680</v>
      </c>
      <c r="D1933" t="b">
        <f>IFERROR(VLOOKUP(B1933,PatData!$A$2:$A$2030,1,),"")&lt;&gt;""</f>
        <v>1</v>
      </c>
      <c r="E1933">
        <v>5</v>
      </c>
      <c r="F1933" t="b">
        <v>0</v>
      </c>
      <c r="G1933" t="b">
        <v>1</v>
      </c>
      <c r="H1933" t="b">
        <v>0</v>
      </c>
      <c r="I1933" t="b">
        <v>1</v>
      </c>
    </row>
    <row r="1934" spans="1:9" x14ac:dyDescent="0.2">
      <c r="A1934" t="s">
        <v>4178</v>
      </c>
      <c r="B1934" t="s">
        <v>2681</v>
      </c>
      <c r="D1934" t="b">
        <f>IFERROR(VLOOKUP(B1934,PatData!$A$2:$A$2030,1,),"")&lt;&gt;""</f>
        <v>1</v>
      </c>
      <c r="E1934">
        <v>0</v>
      </c>
      <c r="F1934" t="b">
        <v>0</v>
      </c>
      <c r="G1934" t="b">
        <v>1</v>
      </c>
      <c r="H1934" t="b">
        <v>0</v>
      </c>
      <c r="I1934" t="b">
        <v>1</v>
      </c>
    </row>
    <row r="1935" spans="1:9" x14ac:dyDescent="0.2">
      <c r="A1935" t="s">
        <v>4179</v>
      </c>
      <c r="B1935" t="s">
        <v>2682</v>
      </c>
      <c r="D1935" t="b">
        <f>IFERROR(VLOOKUP(B1935,PatData!$A$2:$A$2030,1,),"")&lt;&gt;""</f>
        <v>1</v>
      </c>
      <c r="E1935">
        <v>0</v>
      </c>
      <c r="F1935" t="b">
        <v>0</v>
      </c>
      <c r="G1935" t="b">
        <v>1</v>
      </c>
      <c r="H1935" t="b">
        <v>0</v>
      </c>
      <c r="I1935" t="b">
        <v>1</v>
      </c>
    </row>
    <row r="1936" spans="1:9" x14ac:dyDescent="0.2">
      <c r="A1936" t="s">
        <v>4180</v>
      </c>
      <c r="B1936" t="s">
        <v>2683</v>
      </c>
      <c r="D1936" t="b">
        <f>IFERROR(VLOOKUP(B1936,PatData!$A$2:$A$2030,1,),"")&lt;&gt;""</f>
        <v>1</v>
      </c>
      <c r="E1936">
        <v>0</v>
      </c>
      <c r="F1936" t="b">
        <v>0</v>
      </c>
      <c r="G1936" t="b">
        <v>1</v>
      </c>
      <c r="H1936" t="b">
        <v>0</v>
      </c>
      <c r="I1936" t="b">
        <v>1</v>
      </c>
    </row>
    <row r="1937" spans="1:9" x14ac:dyDescent="0.2">
      <c r="A1937" t="s">
        <v>4181</v>
      </c>
      <c r="B1937" t="s">
        <v>2684</v>
      </c>
      <c r="D1937" t="b">
        <f>IFERROR(VLOOKUP(B1937,PatData!$A$2:$A$2030,1,),"")&lt;&gt;""</f>
        <v>1</v>
      </c>
      <c r="E1937">
        <v>0</v>
      </c>
      <c r="F1937" t="b">
        <v>0</v>
      </c>
      <c r="G1937" t="b">
        <v>1</v>
      </c>
      <c r="H1937" t="b">
        <v>0</v>
      </c>
      <c r="I1937" t="b">
        <v>1</v>
      </c>
    </row>
    <row r="1938" spans="1:9" x14ac:dyDescent="0.2">
      <c r="A1938" t="s">
        <v>4182</v>
      </c>
      <c r="B1938" t="s">
        <v>2685</v>
      </c>
      <c r="D1938" t="b">
        <f>IFERROR(VLOOKUP(B1938,PatData!$A$2:$A$2030,1,),"")&lt;&gt;""</f>
        <v>1</v>
      </c>
      <c r="E1938">
        <v>0</v>
      </c>
      <c r="F1938" t="b">
        <v>0</v>
      </c>
      <c r="G1938" t="b">
        <v>1</v>
      </c>
      <c r="H1938" t="b">
        <v>0</v>
      </c>
      <c r="I1938" t="b">
        <v>1</v>
      </c>
    </row>
    <row r="1939" spans="1:9" x14ac:dyDescent="0.2">
      <c r="A1939" t="s">
        <v>4183</v>
      </c>
      <c r="B1939" t="s">
        <v>2686</v>
      </c>
      <c r="D1939" t="b">
        <f>IFERROR(VLOOKUP(B1939,PatData!$A$2:$A$2030,1,),"")&lt;&gt;""</f>
        <v>1</v>
      </c>
      <c r="E1939">
        <v>0</v>
      </c>
      <c r="F1939" t="b">
        <v>0</v>
      </c>
      <c r="G1939" t="b">
        <v>1</v>
      </c>
      <c r="H1939" t="b">
        <v>0</v>
      </c>
      <c r="I1939" t="b">
        <v>1</v>
      </c>
    </row>
    <row r="1940" spans="1:9" x14ac:dyDescent="0.2">
      <c r="A1940" t="s">
        <v>4184</v>
      </c>
      <c r="B1940" t="s">
        <v>2687</v>
      </c>
      <c r="D1940" t="b">
        <f>IFERROR(VLOOKUP(B1940,PatData!$A$2:$A$2030,1,),"")&lt;&gt;""</f>
        <v>1</v>
      </c>
      <c r="E1940">
        <v>0</v>
      </c>
      <c r="F1940" t="b">
        <v>0</v>
      </c>
      <c r="G1940" t="b">
        <v>1</v>
      </c>
      <c r="H1940" t="b">
        <v>0</v>
      </c>
      <c r="I1940" t="b">
        <v>1</v>
      </c>
    </row>
    <row r="1941" spans="1:9" x14ac:dyDescent="0.2">
      <c r="A1941" t="s">
        <v>4185</v>
      </c>
      <c r="B1941" t="s">
        <v>2688</v>
      </c>
      <c r="D1941" t="b">
        <f>IFERROR(VLOOKUP(B1941,PatData!$A$2:$A$2030,1,),"")&lt;&gt;""</f>
        <v>1</v>
      </c>
      <c r="E1941">
        <v>0</v>
      </c>
      <c r="F1941" t="b">
        <v>0</v>
      </c>
      <c r="G1941" t="b">
        <v>1</v>
      </c>
      <c r="H1941" t="b">
        <v>0</v>
      </c>
      <c r="I1941" t="b">
        <v>1</v>
      </c>
    </row>
    <row r="1942" spans="1:9" x14ac:dyDescent="0.2">
      <c r="A1942" t="s">
        <v>4186</v>
      </c>
      <c r="B1942" t="s">
        <v>2689</v>
      </c>
      <c r="D1942" t="b">
        <f>IFERROR(VLOOKUP(B1942,PatData!$A$2:$A$2030,1,),"")&lt;&gt;""</f>
        <v>1</v>
      </c>
      <c r="E1942">
        <v>0</v>
      </c>
      <c r="F1942" t="b">
        <v>0</v>
      </c>
      <c r="G1942" t="b">
        <v>1</v>
      </c>
      <c r="H1942" t="b">
        <v>0</v>
      </c>
      <c r="I1942" t="b">
        <v>1</v>
      </c>
    </row>
    <row r="1943" spans="1:9" x14ac:dyDescent="0.2">
      <c r="A1943" t="s">
        <v>4187</v>
      </c>
      <c r="B1943" t="s">
        <v>2690</v>
      </c>
      <c r="D1943" t="b">
        <f>IFERROR(VLOOKUP(B1943,PatData!$A$2:$A$2030,1,),"")&lt;&gt;""</f>
        <v>1</v>
      </c>
      <c r="E1943">
        <v>0</v>
      </c>
      <c r="F1943" t="b">
        <v>0</v>
      </c>
      <c r="G1943" t="b">
        <v>1</v>
      </c>
      <c r="H1943" t="b">
        <v>0</v>
      </c>
      <c r="I1943" t="b">
        <v>1</v>
      </c>
    </row>
    <row r="1944" spans="1:9" x14ac:dyDescent="0.2">
      <c r="A1944" t="s">
        <v>4188</v>
      </c>
      <c r="B1944" t="s">
        <v>2691</v>
      </c>
      <c r="D1944" t="b">
        <f>IFERROR(VLOOKUP(B1944,PatData!$A$2:$A$2030,1,),"")&lt;&gt;""</f>
        <v>1</v>
      </c>
      <c r="E1944">
        <v>0</v>
      </c>
      <c r="F1944" t="b">
        <v>0</v>
      </c>
      <c r="G1944" t="b">
        <v>1</v>
      </c>
      <c r="H1944" t="b">
        <v>0</v>
      </c>
      <c r="I1944" t="b">
        <v>1</v>
      </c>
    </row>
    <row r="1945" spans="1:9" x14ac:dyDescent="0.2">
      <c r="A1945" t="s">
        <v>4189</v>
      </c>
      <c r="B1945" t="s">
        <v>2692</v>
      </c>
      <c r="D1945" t="b">
        <f>IFERROR(VLOOKUP(B1945,PatData!$A$2:$A$2030,1,),"")&lt;&gt;""</f>
        <v>1</v>
      </c>
      <c r="E1945">
        <v>0</v>
      </c>
      <c r="F1945" t="b">
        <v>0</v>
      </c>
      <c r="G1945" t="b">
        <v>1</v>
      </c>
      <c r="H1945" t="b">
        <v>0</v>
      </c>
      <c r="I1945" t="b">
        <v>1</v>
      </c>
    </row>
    <row r="1946" spans="1:9" x14ac:dyDescent="0.2">
      <c r="A1946" t="s">
        <v>4190</v>
      </c>
      <c r="B1946" t="s">
        <v>3269</v>
      </c>
      <c r="D1946" t="b">
        <f>IFERROR(VLOOKUP(B1946,PatData!$A$2:$A$2030,1,),"")&lt;&gt;""</f>
        <v>1</v>
      </c>
      <c r="E1946">
        <v>0</v>
      </c>
      <c r="F1946" t="b">
        <v>0</v>
      </c>
      <c r="G1946" t="b">
        <v>1</v>
      </c>
      <c r="H1946" t="b">
        <v>0</v>
      </c>
      <c r="I1946" t="b">
        <v>1</v>
      </c>
    </row>
    <row r="1947" spans="1:9" x14ac:dyDescent="0.2">
      <c r="A1947" t="s">
        <v>4191</v>
      </c>
      <c r="B1947" t="s">
        <v>3270</v>
      </c>
      <c r="D1947" t="b">
        <f>IFERROR(VLOOKUP(B1947,PatData!$A$2:$A$2030,1,),"")&lt;&gt;""</f>
        <v>1</v>
      </c>
      <c r="E1947">
        <v>0</v>
      </c>
      <c r="F1947" t="b">
        <v>0</v>
      </c>
      <c r="G1947" t="b">
        <v>1</v>
      </c>
      <c r="H1947" t="b">
        <v>0</v>
      </c>
      <c r="I1947" t="b">
        <v>1</v>
      </c>
    </row>
    <row r="1948" spans="1:9" x14ac:dyDescent="0.2">
      <c r="A1948" t="s">
        <v>4192</v>
      </c>
      <c r="B1948" t="s">
        <v>3271</v>
      </c>
      <c r="D1948" t="b">
        <f>IFERROR(VLOOKUP(B1948,PatData!$A$2:$A$2030,1,),"")&lt;&gt;""</f>
        <v>1</v>
      </c>
      <c r="E1948">
        <v>0</v>
      </c>
      <c r="F1948" t="b">
        <v>0</v>
      </c>
      <c r="G1948" t="b">
        <v>1</v>
      </c>
      <c r="H1948" t="b">
        <v>0</v>
      </c>
      <c r="I1948" t="b">
        <v>1</v>
      </c>
    </row>
    <row r="1949" spans="1:9" x14ac:dyDescent="0.2">
      <c r="A1949" t="s">
        <v>4193</v>
      </c>
      <c r="B1949" t="s">
        <v>3272</v>
      </c>
      <c r="D1949" t="b">
        <f>IFERROR(VLOOKUP(B1949,PatData!$A$2:$A$2030,1,),"")&lt;&gt;""</f>
        <v>1</v>
      </c>
      <c r="E1949">
        <v>0</v>
      </c>
      <c r="F1949" t="b">
        <v>0</v>
      </c>
      <c r="G1949" t="b">
        <v>1</v>
      </c>
      <c r="H1949" t="b">
        <v>0</v>
      </c>
      <c r="I1949" t="b">
        <v>1</v>
      </c>
    </row>
    <row r="1950" spans="1:9" x14ac:dyDescent="0.2">
      <c r="A1950" t="s">
        <v>4194</v>
      </c>
      <c r="B1950" t="s">
        <v>3273</v>
      </c>
      <c r="D1950" t="b">
        <f>IFERROR(VLOOKUP(B1950,PatData!$A$2:$A$2030,1,),"")&lt;&gt;""</f>
        <v>1</v>
      </c>
      <c r="E1950">
        <v>0</v>
      </c>
      <c r="F1950" t="b">
        <v>0</v>
      </c>
      <c r="G1950" t="b">
        <v>1</v>
      </c>
      <c r="H1950" t="b">
        <v>0</v>
      </c>
      <c r="I1950" t="b">
        <v>1</v>
      </c>
    </row>
    <row r="1951" spans="1:9" x14ac:dyDescent="0.2">
      <c r="A1951" t="s">
        <v>1102</v>
      </c>
      <c r="B1951" t="s">
        <v>2693</v>
      </c>
      <c r="D1951" t="b">
        <f>IFERROR(VLOOKUP(B1951,PatData!$A$2:$A$2030,1,),"")&lt;&gt;""</f>
        <v>1</v>
      </c>
      <c r="E1951">
        <v>0</v>
      </c>
      <c r="F1951" t="b">
        <v>0</v>
      </c>
      <c r="G1951" t="b">
        <v>1</v>
      </c>
      <c r="H1951" t="b">
        <v>0</v>
      </c>
      <c r="I1951" t="b">
        <v>1</v>
      </c>
    </row>
    <row r="1952" spans="1:9" x14ac:dyDescent="0.2">
      <c r="A1952" t="s">
        <v>1103</v>
      </c>
      <c r="B1952" t="s">
        <v>2694</v>
      </c>
      <c r="D1952" t="b">
        <f>IFERROR(VLOOKUP(B1952,PatData!$A$2:$A$2030,1,),"")&lt;&gt;""</f>
        <v>1</v>
      </c>
      <c r="E1952">
        <v>0</v>
      </c>
      <c r="F1952" t="b">
        <v>0</v>
      </c>
      <c r="G1952" t="b">
        <v>1</v>
      </c>
      <c r="H1952" t="b">
        <v>0</v>
      </c>
      <c r="I1952" t="b">
        <v>1</v>
      </c>
    </row>
    <row r="1953" spans="1:9" x14ac:dyDescent="0.2">
      <c r="A1953" t="s">
        <v>1104</v>
      </c>
      <c r="B1953" t="s">
        <v>2695</v>
      </c>
      <c r="D1953" t="b">
        <f>IFERROR(VLOOKUP(B1953,PatData!$A$2:$A$2030,1,),"")&lt;&gt;""</f>
        <v>1</v>
      </c>
      <c r="E1953">
        <v>0</v>
      </c>
      <c r="F1953" t="b">
        <v>0</v>
      </c>
      <c r="G1953" t="b">
        <v>1</v>
      </c>
      <c r="H1953" t="b">
        <v>0</v>
      </c>
      <c r="I1953" t="b">
        <v>1</v>
      </c>
    </row>
    <row r="1954" spans="1:9" x14ac:dyDescent="0.2">
      <c r="A1954" t="s">
        <v>1105</v>
      </c>
      <c r="B1954" t="s">
        <v>2696</v>
      </c>
      <c r="D1954" t="b">
        <f>IFERROR(VLOOKUP(B1954,PatData!$A$2:$A$2030,1,),"")&lt;&gt;""</f>
        <v>1</v>
      </c>
      <c r="E1954">
        <v>0</v>
      </c>
      <c r="F1954" t="b">
        <v>0</v>
      </c>
      <c r="G1954" t="b">
        <v>1</v>
      </c>
      <c r="H1954" t="b">
        <v>0</v>
      </c>
      <c r="I1954" t="b">
        <v>1</v>
      </c>
    </row>
    <row r="1955" spans="1:9" x14ac:dyDescent="0.2">
      <c r="A1955" t="s">
        <v>1106</v>
      </c>
      <c r="B1955" t="s">
        <v>2697</v>
      </c>
      <c r="D1955" t="b">
        <f>IFERROR(VLOOKUP(B1955,PatData!$A$2:$A$2030,1,),"")&lt;&gt;""</f>
        <v>1</v>
      </c>
      <c r="E1955">
        <v>0</v>
      </c>
      <c r="F1955" t="b">
        <v>0</v>
      </c>
      <c r="G1955" t="b">
        <v>1</v>
      </c>
      <c r="H1955" t="b">
        <v>0</v>
      </c>
      <c r="I1955" t="b">
        <v>1</v>
      </c>
    </row>
    <row r="1956" spans="1:9" x14ac:dyDescent="0.2">
      <c r="A1956" t="s">
        <v>1107</v>
      </c>
      <c r="B1956" t="s">
        <v>2698</v>
      </c>
      <c r="D1956" t="b">
        <f>IFERROR(VLOOKUP(B1956,PatData!$A$2:$A$2030,1,),"")&lt;&gt;""</f>
        <v>1</v>
      </c>
      <c r="E1956">
        <v>0</v>
      </c>
      <c r="F1956" t="b">
        <v>0</v>
      </c>
      <c r="G1956" t="b">
        <v>1</v>
      </c>
      <c r="H1956" t="b">
        <v>0</v>
      </c>
      <c r="I1956" t="b">
        <v>1</v>
      </c>
    </row>
    <row r="1957" spans="1:9" x14ac:dyDescent="0.2">
      <c r="A1957" t="s">
        <v>1108</v>
      </c>
      <c r="B1957" t="s">
        <v>2699</v>
      </c>
      <c r="D1957" t="b">
        <f>IFERROR(VLOOKUP(B1957,PatData!$A$2:$A$2030,1,),"")&lt;&gt;""</f>
        <v>1</v>
      </c>
      <c r="E1957">
        <v>0</v>
      </c>
      <c r="F1957" t="b">
        <v>0</v>
      </c>
      <c r="G1957" t="b">
        <v>1</v>
      </c>
      <c r="H1957" t="b">
        <v>0</v>
      </c>
      <c r="I1957" t="b">
        <v>1</v>
      </c>
    </row>
    <row r="1958" spans="1:9" x14ac:dyDescent="0.2">
      <c r="A1958" t="s">
        <v>1109</v>
      </c>
      <c r="B1958" t="s">
        <v>2700</v>
      </c>
      <c r="D1958" t="b">
        <f>IFERROR(VLOOKUP(B1958,PatData!$A$2:$A$2030,1,),"")&lt;&gt;""</f>
        <v>1</v>
      </c>
      <c r="E1958">
        <v>0</v>
      </c>
      <c r="F1958" t="b">
        <v>0</v>
      </c>
      <c r="G1958" t="b">
        <v>1</v>
      </c>
      <c r="H1958" t="b">
        <v>0</v>
      </c>
      <c r="I1958" t="b">
        <v>1</v>
      </c>
    </row>
    <row r="1959" spans="1:9" x14ac:dyDescent="0.2">
      <c r="A1959" t="s">
        <v>1110</v>
      </c>
      <c r="B1959" t="s">
        <v>2701</v>
      </c>
      <c r="D1959" t="b">
        <f>IFERROR(VLOOKUP(B1959,PatData!$A$2:$A$2030,1,),"")&lt;&gt;""</f>
        <v>1</v>
      </c>
      <c r="E1959">
        <v>0</v>
      </c>
      <c r="F1959" t="b">
        <v>0</v>
      </c>
      <c r="G1959" t="b">
        <v>1</v>
      </c>
      <c r="H1959" t="b">
        <v>0</v>
      </c>
      <c r="I1959" t="b">
        <v>1</v>
      </c>
    </row>
    <row r="1960" spans="1:9" x14ac:dyDescent="0.2">
      <c r="A1960" t="s">
        <v>1111</v>
      </c>
      <c r="B1960" t="s">
        <v>2702</v>
      </c>
      <c r="D1960" t="b">
        <f>IFERROR(VLOOKUP(B1960,PatData!$A$2:$A$2030,1,),"")&lt;&gt;""</f>
        <v>1</v>
      </c>
      <c r="E1960">
        <v>0</v>
      </c>
      <c r="F1960" t="b">
        <v>0</v>
      </c>
      <c r="G1960" t="b">
        <v>1</v>
      </c>
      <c r="H1960" t="b">
        <v>0</v>
      </c>
      <c r="I1960" t="b">
        <v>1</v>
      </c>
    </row>
    <row r="1961" spans="1:9" x14ac:dyDescent="0.2">
      <c r="A1961" t="s">
        <v>1112</v>
      </c>
      <c r="B1961" t="s">
        <v>2703</v>
      </c>
      <c r="D1961" t="b">
        <f>IFERROR(VLOOKUP(B1961,PatData!$A$2:$A$2030,1,),"")&lt;&gt;""</f>
        <v>1</v>
      </c>
      <c r="E1961">
        <v>0</v>
      </c>
      <c r="F1961" t="b">
        <v>0</v>
      </c>
      <c r="G1961" t="b">
        <v>1</v>
      </c>
      <c r="H1961" t="b">
        <v>0</v>
      </c>
      <c r="I1961" t="b">
        <v>1</v>
      </c>
    </row>
    <row r="1962" spans="1:9" x14ac:dyDescent="0.2">
      <c r="A1962" t="s">
        <v>1113</v>
      </c>
      <c r="B1962" t="s">
        <v>2704</v>
      </c>
      <c r="D1962" t="b">
        <f>IFERROR(VLOOKUP(B1962,PatData!$A$2:$A$2030,1,),"")&lt;&gt;""</f>
        <v>1</v>
      </c>
      <c r="E1962">
        <v>0</v>
      </c>
      <c r="F1962" t="b">
        <v>0</v>
      </c>
      <c r="G1962" t="b">
        <v>1</v>
      </c>
      <c r="H1962" t="b">
        <v>0</v>
      </c>
      <c r="I1962" t="b">
        <v>1</v>
      </c>
    </row>
    <row r="1963" spans="1:9" x14ac:dyDescent="0.2">
      <c r="A1963" t="s">
        <v>1114</v>
      </c>
      <c r="B1963" t="s">
        <v>2705</v>
      </c>
      <c r="D1963" t="b">
        <f>IFERROR(VLOOKUP(B1963,PatData!$A$2:$A$2030,1,),"")&lt;&gt;""</f>
        <v>1</v>
      </c>
      <c r="E1963">
        <v>0</v>
      </c>
      <c r="F1963" t="b">
        <v>0</v>
      </c>
      <c r="G1963" t="b">
        <v>1</v>
      </c>
      <c r="H1963" t="b">
        <v>0</v>
      </c>
      <c r="I1963" t="b">
        <v>1</v>
      </c>
    </row>
    <row r="1964" spans="1:9" x14ac:dyDescent="0.2">
      <c r="A1964" t="s">
        <v>3274</v>
      </c>
      <c r="B1964" t="s">
        <v>2706</v>
      </c>
      <c r="D1964" t="b">
        <f>IFERROR(VLOOKUP(B1964,PatData!$A$2:$A$2030,1,),"")&lt;&gt;""</f>
        <v>1</v>
      </c>
      <c r="E1964">
        <v>0</v>
      </c>
      <c r="F1964" t="b">
        <v>0</v>
      </c>
      <c r="G1964" t="b">
        <v>1</v>
      </c>
      <c r="H1964" t="b">
        <v>0</v>
      </c>
      <c r="I1964" t="b">
        <v>1</v>
      </c>
    </row>
    <row r="1965" spans="1:9" x14ac:dyDescent="0.2">
      <c r="A1965" t="s">
        <v>3276</v>
      </c>
      <c r="B1965" t="s">
        <v>2707</v>
      </c>
      <c r="D1965" t="b">
        <f>IFERROR(VLOOKUP(B1965,PatData!$A$2:$A$2030,1,),"")&lt;&gt;""</f>
        <v>1</v>
      </c>
      <c r="E1965">
        <v>0</v>
      </c>
      <c r="F1965" t="b">
        <v>0</v>
      </c>
      <c r="G1965" t="b">
        <v>1</v>
      </c>
      <c r="H1965" t="b">
        <v>0</v>
      </c>
      <c r="I1965" t="b">
        <v>1</v>
      </c>
    </row>
    <row r="1966" spans="1:9" x14ac:dyDescent="0.2">
      <c r="A1966" t="s">
        <v>3279</v>
      </c>
      <c r="B1966" t="s">
        <v>3275</v>
      </c>
      <c r="D1966" t="b">
        <f>IFERROR(VLOOKUP(B1966,PatData!$A$2:$A$2030,1,),"")&lt;&gt;""</f>
        <v>1</v>
      </c>
      <c r="E1966">
        <v>0</v>
      </c>
      <c r="F1966" t="b">
        <v>0</v>
      </c>
      <c r="G1966" t="b">
        <v>1</v>
      </c>
      <c r="H1966" t="b">
        <v>0</v>
      </c>
      <c r="I1966" t="b">
        <v>1</v>
      </c>
    </row>
    <row r="1967" spans="1:9" x14ac:dyDescent="0.2">
      <c r="A1967" t="s">
        <v>3281</v>
      </c>
      <c r="B1967" t="s">
        <v>3277</v>
      </c>
      <c r="D1967" t="b">
        <f>IFERROR(VLOOKUP(B1967,PatData!$A$2:$A$2030,1,),"")&lt;&gt;""</f>
        <v>1</v>
      </c>
      <c r="E1967">
        <v>0</v>
      </c>
      <c r="F1967" t="b">
        <v>0</v>
      </c>
      <c r="G1967" t="b">
        <v>1</v>
      </c>
      <c r="H1967" t="b">
        <v>0</v>
      </c>
      <c r="I1967" t="b">
        <v>1</v>
      </c>
    </row>
    <row r="1968" spans="1:9" x14ac:dyDescent="0.2">
      <c r="A1968" t="s">
        <v>4195</v>
      </c>
      <c r="B1968" t="s">
        <v>3278</v>
      </c>
      <c r="D1968" t="b">
        <f>IFERROR(VLOOKUP(B1968,PatData!$A$2:$A$2030,1,),"")&lt;&gt;""</f>
        <v>1</v>
      </c>
      <c r="E1968">
        <v>0</v>
      </c>
      <c r="F1968" t="b">
        <v>0</v>
      </c>
      <c r="G1968" t="b">
        <v>1</v>
      </c>
      <c r="H1968" t="b">
        <v>0</v>
      </c>
      <c r="I1968" t="b">
        <v>1</v>
      </c>
    </row>
    <row r="1969" spans="1:9" x14ac:dyDescent="0.2">
      <c r="A1969" t="s">
        <v>4196</v>
      </c>
      <c r="B1969" t="s">
        <v>3280</v>
      </c>
      <c r="D1969" t="b">
        <f>IFERROR(VLOOKUP(B1969,PatData!$A$2:$A$2030,1,),"")&lt;&gt;""</f>
        <v>1</v>
      </c>
      <c r="E1969">
        <v>0</v>
      </c>
      <c r="F1969" t="b">
        <v>0</v>
      </c>
      <c r="G1969" t="b">
        <v>1</v>
      </c>
      <c r="H1969" t="b">
        <v>0</v>
      </c>
      <c r="I1969" t="b">
        <v>1</v>
      </c>
    </row>
    <row r="1970" spans="1:9" x14ac:dyDescent="0.2">
      <c r="A1970" t="s">
        <v>4197</v>
      </c>
      <c r="B1970" t="s">
        <v>3282</v>
      </c>
      <c r="D1970" t="b">
        <f>IFERROR(VLOOKUP(B1970,PatData!$A$2:$A$2030,1,),"")&lt;&gt;""</f>
        <v>1</v>
      </c>
      <c r="E1970">
        <v>0</v>
      </c>
      <c r="F1970" t="b">
        <v>0</v>
      </c>
      <c r="G1970" t="b">
        <v>1</v>
      </c>
      <c r="H1970" t="b">
        <v>0</v>
      </c>
      <c r="I1970" t="b">
        <v>1</v>
      </c>
    </row>
    <row r="1971" spans="1:9" x14ac:dyDescent="0.2">
      <c r="A1971" t="s">
        <v>4937</v>
      </c>
      <c r="B1971" t="s">
        <v>2708</v>
      </c>
      <c r="D1971" t="b">
        <f>IFERROR(VLOOKUP(B1971,PatData!$A$2:$A$2030,1,),"")&lt;&gt;""</f>
        <v>1</v>
      </c>
      <c r="E1971">
        <v>4</v>
      </c>
      <c r="F1971" t="b">
        <v>0</v>
      </c>
      <c r="G1971" t="b">
        <v>1</v>
      </c>
      <c r="H1971" t="b">
        <v>0</v>
      </c>
      <c r="I1971" t="b">
        <v>1</v>
      </c>
    </row>
    <row r="1972" spans="1:9" x14ac:dyDescent="0.2">
      <c r="A1972" t="s">
        <v>4938</v>
      </c>
      <c r="B1972" t="s">
        <v>2709</v>
      </c>
      <c r="D1972" t="b">
        <f>IFERROR(VLOOKUP(B1972,PatData!$A$2:$A$2030,1,),"")&lt;&gt;""</f>
        <v>1</v>
      </c>
      <c r="E1972">
        <v>1</v>
      </c>
      <c r="F1972" t="b">
        <v>0</v>
      </c>
      <c r="G1972" t="b">
        <v>1</v>
      </c>
      <c r="H1972" t="b">
        <v>0</v>
      </c>
      <c r="I1972" t="b">
        <v>1</v>
      </c>
    </row>
    <row r="1973" spans="1:9" x14ac:dyDescent="0.2">
      <c r="A1973" t="s">
        <v>4939</v>
      </c>
      <c r="B1973" t="s">
        <v>2710</v>
      </c>
      <c r="D1973" t="b">
        <f>IFERROR(VLOOKUP(B1973,PatData!$A$2:$A$2030,1,),"")&lt;&gt;""</f>
        <v>1</v>
      </c>
      <c r="E1973">
        <v>2</v>
      </c>
      <c r="F1973" t="b">
        <v>0</v>
      </c>
      <c r="G1973" t="b">
        <v>1</v>
      </c>
      <c r="H1973" t="b">
        <v>0</v>
      </c>
      <c r="I1973" t="b">
        <v>1</v>
      </c>
    </row>
    <row r="1974" spans="1:9" x14ac:dyDescent="0.2">
      <c r="A1974" t="s">
        <v>4940</v>
      </c>
      <c r="B1974" t="s">
        <v>2711</v>
      </c>
      <c r="D1974" t="b">
        <f>IFERROR(VLOOKUP(B1974,PatData!$A$2:$A$2030,1,),"")&lt;&gt;""</f>
        <v>1</v>
      </c>
      <c r="E1974">
        <v>20</v>
      </c>
      <c r="F1974" t="b">
        <v>0</v>
      </c>
      <c r="G1974" t="b">
        <v>1</v>
      </c>
      <c r="H1974" t="b">
        <v>0</v>
      </c>
      <c r="I1974" t="b">
        <v>1</v>
      </c>
    </row>
    <row r="1975" spans="1:9" x14ac:dyDescent="0.2">
      <c r="A1975" t="s">
        <v>4941</v>
      </c>
      <c r="B1975" t="s">
        <v>2712</v>
      </c>
      <c r="D1975" t="b">
        <f>IFERROR(VLOOKUP(B1975,PatData!$A$2:$A$2030,1,),"")&lt;&gt;""</f>
        <v>1</v>
      </c>
      <c r="E1975">
        <v>30</v>
      </c>
      <c r="F1975" t="b">
        <v>0</v>
      </c>
      <c r="G1975" t="b">
        <v>1</v>
      </c>
      <c r="H1975" t="b">
        <v>0</v>
      </c>
      <c r="I1975" t="b">
        <v>1</v>
      </c>
    </row>
    <row r="1976" spans="1:9" x14ac:dyDescent="0.2">
      <c r="A1976" t="s">
        <v>4942</v>
      </c>
      <c r="B1976" t="s">
        <v>2713</v>
      </c>
      <c r="D1976" t="b">
        <f>IFERROR(VLOOKUP(B1976,PatData!$A$2:$A$2030,1,),"")&lt;&gt;""</f>
        <v>1</v>
      </c>
      <c r="E1976">
        <v>1</v>
      </c>
      <c r="F1976" t="b">
        <v>0</v>
      </c>
      <c r="G1976" t="b">
        <v>1</v>
      </c>
      <c r="H1976" t="b">
        <v>0</v>
      </c>
      <c r="I1976" t="b">
        <v>1</v>
      </c>
    </row>
    <row r="1977" spans="1:9" x14ac:dyDescent="0.2">
      <c r="A1977" t="s">
        <v>4943</v>
      </c>
      <c r="B1977" t="s">
        <v>2714</v>
      </c>
      <c r="D1977" t="b">
        <f>IFERROR(VLOOKUP(B1977,PatData!$A$2:$A$2030,1,),"")&lt;&gt;""</f>
        <v>1</v>
      </c>
      <c r="E1977">
        <v>1</v>
      </c>
      <c r="F1977" t="b">
        <v>0</v>
      </c>
      <c r="G1977" t="b">
        <v>1</v>
      </c>
      <c r="H1977" t="b">
        <v>0</v>
      </c>
      <c r="I1977" t="b">
        <v>1</v>
      </c>
    </row>
    <row r="1978" spans="1:9" x14ac:dyDescent="0.2">
      <c r="A1978" t="s">
        <v>4944</v>
      </c>
      <c r="B1978" t="s">
        <v>2715</v>
      </c>
      <c r="D1978" t="b">
        <f>IFERROR(VLOOKUP(B1978,PatData!$A$2:$A$2030,1,),"")&lt;&gt;""</f>
        <v>1</v>
      </c>
      <c r="E1978">
        <v>10</v>
      </c>
      <c r="F1978" t="b">
        <v>0</v>
      </c>
      <c r="G1978" t="b">
        <v>1</v>
      </c>
      <c r="H1978" t="b">
        <v>0</v>
      </c>
      <c r="I1978" t="b">
        <v>1</v>
      </c>
    </row>
    <row r="1979" spans="1:9" x14ac:dyDescent="0.2">
      <c r="A1979" t="s">
        <v>4748</v>
      </c>
      <c r="B1979" t="s">
        <v>2716</v>
      </c>
      <c r="D1979" t="b">
        <f>IFERROR(VLOOKUP(B1979,PatData!$A$2:$A$2030,1,),"")&lt;&gt;""</f>
        <v>1</v>
      </c>
      <c r="E1979" t="b">
        <v>0</v>
      </c>
      <c r="F1979" t="b">
        <v>0</v>
      </c>
      <c r="G1979" t="b">
        <v>1</v>
      </c>
      <c r="H1979" t="b">
        <v>0</v>
      </c>
      <c r="I1979" t="b">
        <v>1</v>
      </c>
    </row>
    <row r="1980" spans="1:9" x14ac:dyDescent="0.2">
      <c r="A1980" t="s">
        <v>4749</v>
      </c>
      <c r="B1980" t="s">
        <v>2717</v>
      </c>
      <c r="D1980" t="b">
        <f>IFERROR(VLOOKUP(B1980,PatData!$A$2:$A$2030,1,),"")&lt;&gt;""</f>
        <v>1</v>
      </c>
      <c r="E1980">
        <v>0</v>
      </c>
      <c r="F1980" t="b">
        <v>0</v>
      </c>
      <c r="G1980" t="b">
        <v>1</v>
      </c>
      <c r="H1980" t="b">
        <v>0</v>
      </c>
      <c r="I1980" t="b">
        <v>1</v>
      </c>
    </row>
    <row r="1981" spans="1:9" x14ac:dyDescent="0.2">
      <c r="A1981" t="s">
        <v>1521</v>
      </c>
      <c r="B1981" t="s">
        <v>4741</v>
      </c>
      <c r="D1981" t="b">
        <f>IFERROR(VLOOKUP(B1981,PatData!$A$2:$A$2030,1,),"")&lt;&gt;""</f>
        <v>1</v>
      </c>
      <c r="E1981">
        <v>3</v>
      </c>
      <c r="F1981" t="b">
        <v>0</v>
      </c>
      <c r="G1981" t="b">
        <v>1</v>
      </c>
      <c r="H1981" t="b">
        <v>0</v>
      </c>
      <c r="I1981" t="b">
        <v>1</v>
      </c>
    </row>
    <row r="1982" spans="1:9" x14ac:dyDescent="0.2">
      <c r="A1982" t="s">
        <v>4742</v>
      </c>
      <c r="B1982" t="s">
        <v>2718</v>
      </c>
      <c r="D1982" t="b">
        <f>IFERROR(VLOOKUP(B1982,PatData!$A$2:$A$2030,1,),"")&lt;&gt;""</f>
        <v>1</v>
      </c>
      <c r="E1982" t="b">
        <v>0</v>
      </c>
      <c r="F1982" t="b">
        <v>0</v>
      </c>
      <c r="G1982" t="b">
        <v>1</v>
      </c>
      <c r="H1982" t="b">
        <v>0</v>
      </c>
      <c r="I1982" t="b">
        <v>1</v>
      </c>
    </row>
    <row r="1983" spans="1:9" x14ac:dyDescent="0.2">
      <c r="A1983" t="s">
        <v>4743</v>
      </c>
      <c r="B1983" t="s">
        <v>2719</v>
      </c>
      <c r="D1983" t="b">
        <f>IFERROR(VLOOKUP(B1983,PatData!$A$2:$A$2030,1,),"")&lt;&gt;""</f>
        <v>1</v>
      </c>
      <c r="E1983" t="b">
        <v>0</v>
      </c>
      <c r="F1983" t="b">
        <v>0</v>
      </c>
      <c r="G1983" t="b">
        <v>1</v>
      </c>
      <c r="H1983" t="b">
        <v>0</v>
      </c>
      <c r="I1983" t="b">
        <v>1</v>
      </c>
    </row>
    <row r="1984" spans="1:9" x14ac:dyDescent="0.2">
      <c r="A1984" t="s">
        <v>1506</v>
      </c>
      <c r="B1984" t="s">
        <v>2720</v>
      </c>
      <c r="D1984" t="b">
        <f>IFERROR(VLOOKUP(B1984,PatData!$A$2:$A$2030,1,),"")&lt;&gt;""</f>
        <v>1</v>
      </c>
      <c r="E1984">
        <v>4</v>
      </c>
      <c r="F1984" t="b">
        <v>0</v>
      </c>
      <c r="G1984" t="b">
        <v>1</v>
      </c>
      <c r="H1984" t="b">
        <v>0</v>
      </c>
      <c r="I1984" t="b">
        <v>1</v>
      </c>
    </row>
    <row r="1985" spans="1:9" x14ac:dyDescent="0.2">
      <c r="A1985" t="s">
        <v>4744</v>
      </c>
      <c r="B1985" t="s">
        <v>2721</v>
      </c>
      <c r="D1985" t="b">
        <f>IFERROR(VLOOKUP(B1985,PatData!$A$2:$A$2030,1,),"")&lt;&gt;""</f>
        <v>1</v>
      </c>
      <c r="E1985">
        <v>0</v>
      </c>
      <c r="F1985" t="b">
        <v>0</v>
      </c>
      <c r="G1985" t="b">
        <v>1</v>
      </c>
      <c r="H1985" t="b">
        <v>0</v>
      </c>
      <c r="I1985" t="b">
        <v>1</v>
      </c>
    </row>
    <row r="1986" spans="1:9" x14ac:dyDescent="0.2">
      <c r="A1986" t="s">
        <v>4745</v>
      </c>
      <c r="B1986" t="s">
        <v>2722</v>
      </c>
      <c r="D1986" t="b">
        <f>IFERROR(VLOOKUP(B1986,PatData!$A$2:$A$2030,1,),"")&lt;&gt;""</f>
        <v>1</v>
      </c>
      <c r="E1986">
        <v>3</v>
      </c>
      <c r="F1986" t="b">
        <v>0</v>
      </c>
      <c r="G1986" t="b">
        <v>1</v>
      </c>
      <c r="H1986" t="b">
        <v>0</v>
      </c>
      <c r="I1986" t="b">
        <v>1</v>
      </c>
    </row>
    <row r="1987" spans="1:9" x14ac:dyDescent="0.2">
      <c r="A1987" t="s">
        <v>4945</v>
      </c>
      <c r="B1987" t="s">
        <v>2723</v>
      </c>
      <c r="D1987" t="b">
        <f>IFERROR(VLOOKUP(B1987,PatData!$A$2:$A$2030,1,),"")&lt;&gt;""</f>
        <v>1</v>
      </c>
      <c r="E1987" t="b">
        <v>0</v>
      </c>
      <c r="F1987" t="b">
        <v>0</v>
      </c>
      <c r="G1987" t="b">
        <v>1</v>
      </c>
      <c r="H1987" t="b">
        <v>0</v>
      </c>
      <c r="I1987" t="b">
        <v>1</v>
      </c>
    </row>
    <row r="1988" spans="1:9" x14ac:dyDescent="0.2">
      <c r="A1988" t="s">
        <v>4946</v>
      </c>
      <c r="B1988" t="s">
        <v>2724</v>
      </c>
      <c r="D1988" t="b">
        <f>IFERROR(VLOOKUP(B1988,PatData!$A$2:$A$2030,1,),"")&lt;&gt;""</f>
        <v>1</v>
      </c>
      <c r="E1988">
        <v>0</v>
      </c>
      <c r="F1988" t="b">
        <v>0</v>
      </c>
      <c r="G1988" t="b">
        <v>1</v>
      </c>
      <c r="H1988" t="b">
        <v>0</v>
      </c>
      <c r="I1988" t="b">
        <v>1</v>
      </c>
    </row>
    <row r="1989" spans="1:9" x14ac:dyDescent="0.2">
      <c r="A1989" t="s">
        <v>7641</v>
      </c>
      <c r="B1989" t="s">
        <v>7645</v>
      </c>
      <c r="D1989" t="b">
        <f>IFERROR(VLOOKUP(B1989,PatData!$A$2:$A$2030,1,),"")&lt;&gt;""</f>
        <v>1</v>
      </c>
      <c r="E1989">
        <v>1</v>
      </c>
      <c r="F1989" t="b">
        <v>0</v>
      </c>
      <c r="G1989" t="b">
        <v>1</v>
      </c>
      <c r="H1989" t="b">
        <v>0</v>
      </c>
      <c r="I1989" t="b">
        <v>1</v>
      </c>
    </row>
    <row r="1990" spans="1:9" x14ac:dyDescent="0.2">
      <c r="A1990" t="s">
        <v>1518</v>
      </c>
      <c r="B1990" t="s">
        <v>2725</v>
      </c>
      <c r="D1990" t="b">
        <f>IFERROR(VLOOKUP(B1990,PatData!$A$2:$A$2030,1,),"")&lt;&gt;""</f>
        <v>1</v>
      </c>
      <c r="E1990">
        <v>26.7</v>
      </c>
      <c r="F1990" t="b">
        <v>0</v>
      </c>
      <c r="G1990" t="b">
        <v>1</v>
      </c>
      <c r="H1990" t="b">
        <v>0</v>
      </c>
      <c r="I1990" t="b">
        <v>1</v>
      </c>
    </row>
    <row r="1991" spans="1:9" x14ac:dyDescent="0.2">
      <c r="A1991" t="s">
        <v>4746</v>
      </c>
      <c r="B1991" t="s">
        <v>2726</v>
      </c>
      <c r="D1991" t="b">
        <f>IFERROR(VLOOKUP(B1991,PatData!$A$2:$A$2030,1,),"")&lt;&gt;""</f>
        <v>1</v>
      </c>
      <c r="E1991" t="b">
        <v>0</v>
      </c>
      <c r="F1991" t="b">
        <v>0</v>
      </c>
      <c r="G1991" t="b">
        <v>1</v>
      </c>
      <c r="H1991" t="b">
        <v>0</v>
      </c>
      <c r="I1991" t="b">
        <v>1</v>
      </c>
    </row>
    <row r="1992" spans="1:9" x14ac:dyDescent="0.2">
      <c r="A1992" t="s">
        <v>4747</v>
      </c>
      <c r="B1992" t="s">
        <v>2727</v>
      </c>
      <c r="D1992" t="b">
        <f>IFERROR(VLOOKUP(B1992,PatData!$A$2:$A$2030,1,),"")&lt;&gt;""</f>
        <v>1</v>
      </c>
      <c r="E1992">
        <v>0</v>
      </c>
      <c r="F1992" t="b">
        <v>0</v>
      </c>
      <c r="G1992" t="b">
        <v>1</v>
      </c>
      <c r="H1992" t="b">
        <v>0</v>
      </c>
      <c r="I1992" t="b">
        <v>1</v>
      </c>
    </row>
    <row r="1993" spans="1:9" x14ac:dyDescent="0.2">
      <c r="A1993" t="s">
        <v>4750</v>
      </c>
      <c r="B1993" t="s">
        <v>2728</v>
      </c>
      <c r="D1993" t="b">
        <f>IFERROR(VLOOKUP(B1993,PatData!$A$2:$A$2030,1,),"")&lt;&gt;""</f>
        <v>1</v>
      </c>
      <c r="E1993" t="b">
        <v>0</v>
      </c>
      <c r="F1993" t="b">
        <v>0</v>
      </c>
      <c r="G1993" t="b">
        <v>1</v>
      </c>
      <c r="H1993" t="b">
        <v>0</v>
      </c>
      <c r="I1993" t="b">
        <v>1</v>
      </c>
    </row>
    <row r="1994" spans="1:9" x14ac:dyDescent="0.2">
      <c r="A1994" t="s">
        <v>4751</v>
      </c>
      <c r="B1994" t="s">
        <v>2729</v>
      </c>
      <c r="D1994" t="b">
        <f>IFERROR(VLOOKUP(B1994,PatData!$A$2:$A$2030,1,),"")&lt;&gt;""</f>
        <v>1</v>
      </c>
      <c r="E1994" t="b">
        <v>0</v>
      </c>
      <c r="F1994" t="b">
        <v>0</v>
      </c>
      <c r="G1994" t="b">
        <v>1</v>
      </c>
      <c r="H1994" t="b">
        <v>0</v>
      </c>
      <c r="I1994" t="b">
        <v>1</v>
      </c>
    </row>
    <row r="1995" spans="1:9" x14ac:dyDescent="0.2">
      <c r="A1995" t="s">
        <v>1224</v>
      </c>
      <c r="B1995" t="s">
        <v>2730</v>
      </c>
      <c r="D1995" t="b">
        <f>IFERROR(VLOOKUP(B1995,PatData!$A$2:$A$2030,1,),"")&lt;&gt;""</f>
        <v>1</v>
      </c>
      <c r="E1995">
        <v>24</v>
      </c>
      <c r="F1995" t="b">
        <v>0</v>
      </c>
      <c r="G1995" t="b">
        <v>1</v>
      </c>
      <c r="H1995" t="b">
        <v>0</v>
      </c>
      <c r="I1995" t="b">
        <v>1</v>
      </c>
    </row>
    <row r="1996" spans="1:9" x14ac:dyDescent="0.2">
      <c r="A1996" t="s">
        <v>4752</v>
      </c>
      <c r="B1996" t="s">
        <v>2731</v>
      </c>
      <c r="D1996" t="b">
        <f>IFERROR(VLOOKUP(B1996,PatData!$A$2:$A$2030,1,),"")&lt;&gt;""</f>
        <v>1</v>
      </c>
      <c r="E1996">
        <v>0</v>
      </c>
      <c r="F1996" t="b">
        <v>0</v>
      </c>
      <c r="G1996" t="b">
        <v>1</v>
      </c>
      <c r="H1996" t="b">
        <v>0</v>
      </c>
      <c r="I1996" t="b">
        <v>1</v>
      </c>
    </row>
    <row r="1997" spans="1:9" x14ac:dyDescent="0.2">
      <c r="A1997" t="s">
        <v>4790</v>
      </c>
      <c r="B1997" t="s">
        <v>2732</v>
      </c>
      <c r="D1997" t="b">
        <f>IFERROR(VLOOKUP(B1997,PatData!$A$2:$A$2030,1,),"")&lt;&gt;""</f>
        <v>1</v>
      </c>
      <c r="E1997">
        <v>0</v>
      </c>
      <c r="F1997" t="b">
        <v>0</v>
      </c>
      <c r="G1997" t="b">
        <v>1</v>
      </c>
      <c r="H1997" t="b">
        <v>0</v>
      </c>
      <c r="I1997" t="b">
        <v>1</v>
      </c>
    </row>
    <row r="1998" spans="1:9" x14ac:dyDescent="0.2">
      <c r="A1998" t="s">
        <v>4753</v>
      </c>
      <c r="B1998" t="s">
        <v>2733</v>
      </c>
      <c r="D1998" t="b">
        <f>IFERROR(VLOOKUP(B1998,PatData!$A$2:$A$2030,1,),"")&lt;&gt;""</f>
        <v>1</v>
      </c>
      <c r="E1998">
        <v>0</v>
      </c>
      <c r="F1998" t="b">
        <v>0</v>
      </c>
      <c r="G1998" t="b">
        <v>1</v>
      </c>
      <c r="H1998" t="b">
        <v>0</v>
      </c>
      <c r="I1998" t="b">
        <v>1</v>
      </c>
    </row>
    <row r="1999" spans="1:9" x14ac:dyDescent="0.2">
      <c r="A1999" t="s">
        <v>4947</v>
      </c>
      <c r="B1999" t="s">
        <v>2734</v>
      </c>
      <c r="D1999" t="b">
        <f>IFERROR(VLOOKUP(B1999,PatData!$A$2:$A$2030,1,),"")&lt;&gt;""</f>
        <v>1</v>
      </c>
      <c r="E1999">
        <v>0</v>
      </c>
      <c r="F1999" t="b">
        <v>0</v>
      </c>
      <c r="G1999" t="b">
        <v>1</v>
      </c>
      <c r="H1999" t="b">
        <v>0</v>
      </c>
      <c r="I1999" t="b">
        <v>1</v>
      </c>
    </row>
    <row r="2000" spans="1:9" x14ac:dyDescent="0.2">
      <c r="A2000" t="s">
        <v>4948</v>
      </c>
      <c r="B2000" t="s">
        <v>2735</v>
      </c>
      <c r="D2000" t="b">
        <f>IFERROR(VLOOKUP(B2000,PatData!$A$2:$A$2030,1,),"")&lt;&gt;""</f>
        <v>1</v>
      </c>
      <c r="E2000" t="b">
        <v>0</v>
      </c>
      <c r="F2000" t="b">
        <v>0</v>
      </c>
      <c r="G2000" t="b">
        <v>1</v>
      </c>
      <c r="H2000" t="b">
        <v>0</v>
      </c>
      <c r="I2000" t="b">
        <v>1</v>
      </c>
    </row>
    <row r="2001" spans="1:9" x14ac:dyDescent="0.2">
      <c r="A2001" t="s">
        <v>4949</v>
      </c>
      <c r="B2001" t="s">
        <v>2736</v>
      </c>
      <c r="D2001" t="b">
        <f>IFERROR(VLOOKUP(B2001,PatData!$A$2:$A$2030,1,),"")&lt;&gt;""</f>
        <v>1</v>
      </c>
      <c r="E2001">
        <v>1</v>
      </c>
      <c r="F2001" t="b">
        <v>0</v>
      </c>
      <c r="G2001" t="b">
        <v>1</v>
      </c>
      <c r="H2001" t="b">
        <v>0</v>
      </c>
      <c r="I2001" t="b">
        <v>1</v>
      </c>
    </row>
    <row r="2002" spans="1:9" x14ac:dyDescent="0.2">
      <c r="A2002" t="s">
        <v>4755</v>
      </c>
      <c r="B2002" t="s">
        <v>2737</v>
      </c>
      <c r="D2002" t="b">
        <f>IFERROR(VLOOKUP(B2002,PatData!$A$2:$A$2030,1,),"")&lt;&gt;""</f>
        <v>1</v>
      </c>
      <c r="E2002">
        <v>5</v>
      </c>
      <c r="F2002" t="b">
        <v>0</v>
      </c>
      <c r="G2002" t="b">
        <v>1</v>
      </c>
      <c r="H2002" t="b">
        <v>0</v>
      </c>
      <c r="I2002" t="b">
        <v>1</v>
      </c>
    </row>
    <row r="2003" spans="1:9" x14ac:dyDescent="0.2">
      <c r="A2003" t="s">
        <v>4756</v>
      </c>
      <c r="B2003" t="s">
        <v>2738</v>
      </c>
      <c r="D2003" t="b">
        <f>IFERROR(VLOOKUP(B2003,PatData!$A$2:$A$2030,1,),"")&lt;&gt;""</f>
        <v>1</v>
      </c>
      <c r="E2003">
        <v>12</v>
      </c>
      <c r="F2003" t="b">
        <v>0</v>
      </c>
      <c r="G2003" t="b">
        <v>1</v>
      </c>
      <c r="H2003" t="b">
        <v>0</v>
      </c>
      <c r="I2003" t="b">
        <v>1</v>
      </c>
    </row>
    <row r="2004" spans="1:9" x14ac:dyDescent="0.2">
      <c r="A2004" t="s">
        <v>4757</v>
      </c>
      <c r="B2004" t="s">
        <v>2739</v>
      </c>
      <c r="D2004" t="b">
        <f>IFERROR(VLOOKUP(B2004,PatData!$A$2:$A$2030,1,),"")&lt;&gt;""</f>
        <v>1</v>
      </c>
      <c r="E2004">
        <v>1</v>
      </c>
      <c r="F2004" t="b">
        <v>0</v>
      </c>
      <c r="G2004" t="b">
        <v>1</v>
      </c>
      <c r="H2004" t="b">
        <v>0</v>
      </c>
      <c r="I2004" t="b">
        <v>1</v>
      </c>
    </row>
    <row r="2005" spans="1:9" x14ac:dyDescent="0.2">
      <c r="A2005" t="s">
        <v>1507</v>
      </c>
      <c r="B2005" t="s">
        <v>2740</v>
      </c>
      <c r="D2005" t="b">
        <f>IFERROR(VLOOKUP(B2005,PatData!$A$2:$A$2030,1,),"")&lt;&gt;""</f>
        <v>1</v>
      </c>
      <c r="E2005">
        <v>0</v>
      </c>
      <c r="F2005" t="b">
        <v>0</v>
      </c>
      <c r="G2005" t="b">
        <v>1</v>
      </c>
      <c r="H2005" t="b">
        <v>0</v>
      </c>
      <c r="I2005" t="b">
        <v>1</v>
      </c>
    </row>
    <row r="2006" spans="1:9" x14ac:dyDescent="0.2">
      <c r="A2006" t="s">
        <v>4754</v>
      </c>
      <c r="B2006" t="s">
        <v>2741</v>
      </c>
      <c r="D2006" t="b">
        <f>IFERROR(VLOOKUP(B2006,PatData!$A$2:$A$2030,1,),"")&lt;&gt;""</f>
        <v>1</v>
      </c>
      <c r="E2006" t="b">
        <v>1</v>
      </c>
      <c r="F2006" t="b">
        <v>0</v>
      </c>
      <c r="G2006" t="b">
        <v>1</v>
      </c>
      <c r="H2006" t="b">
        <v>0</v>
      </c>
      <c r="I2006" t="b">
        <v>1</v>
      </c>
    </row>
    <row r="2007" spans="1:9" x14ac:dyDescent="0.2">
      <c r="A2007" t="s">
        <v>4950</v>
      </c>
      <c r="B2007" t="s">
        <v>2742</v>
      </c>
      <c r="D2007" t="b">
        <f>IFERROR(VLOOKUP(B2007,PatData!$A$2:$A$2030,1,),"")&lt;&gt;""</f>
        <v>1</v>
      </c>
      <c r="E2007">
        <v>40</v>
      </c>
      <c r="F2007" t="b">
        <v>0</v>
      </c>
      <c r="G2007" t="b">
        <v>1</v>
      </c>
      <c r="H2007" t="b">
        <v>0</v>
      </c>
      <c r="I2007" t="b">
        <v>1</v>
      </c>
    </row>
    <row r="2008" spans="1:9" x14ac:dyDescent="0.2">
      <c r="A2008" t="s">
        <v>4758</v>
      </c>
      <c r="B2008" t="s">
        <v>2743</v>
      </c>
      <c r="D2008" t="b">
        <f>IFERROR(VLOOKUP(B2008,PatData!$A$2:$A$2030,1,),"")&lt;&gt;""</f>
        <v>1</v>
      </c>
      <c r="E2008">
        <v>140</v>
      </c>
      <c r="F2008" t="b">
        <v>0</v>
      </c>
      <c r="G2008" t="b">
        <v>1</v>
      </c>
      <c r="H2008" t="b">
        <v>0</v>
      </c>
      <c r="I2008" t="b">
        <v>1</v>
      </c>
    </row>
    <row r="2009" spans="1:9" x14ac:dyDescent="0.2">
      <c r="A2009" t="s">
        <v>7262</v>
      </c>
      <c r="B2009" t="s">
        <v>7263</v>
      </c>
      <c r="D2009" t="b">
        <f>IFERROR(VLOOKUP(B2009,PatData!$A$2:$A$2030,1,),"")&lt;&gt;""</f>
        <v>0</v>
      </c>
      <c r="E2009" t="s">
        <v>7253</v>
      </c>
      <c r="F2009" t="b">
        <v>0</v>
      </c>
      <c r="G2009" t="b">
        <v>1</v>
      </c>
      <c r="H2009" t="b">
        <v>0</v>
      </c>
      <c r="I2009" t="b">
        <v>0</v>
      </c>
    </row>
    <row r="2010" spans="1:9" x14ac:dyDescent="0.2">
      <c r="A2010" t="s">
        <v>7264</v>
      </c>
      <c r="B2010" t="s">
        <v>7265</v>
      </c>
      <c r="D2010" t="b">
        <f>IFERROR(VLOOKUP(B2010,PatData!$A$2:$A$2030,1,),"")&lt;&gt;""</f>
        <v>0</v>
      </c>
      <c r="E2010" t="s">
        <v>7254</v>
      </c>
      <c r="F2010" t="b">
        <v>0</v>
      </c>
      <c r="G2010" t="b">
        <v>1</v>
      </c>
      <c r="H2010" t="b">
        <v>0</v>
      </c>
      <c r="I2010" t="b">
        <v>0</v>
      </c>
    </row>
    <row r="2011" spans="1:9" x14ac:dyDescent="0.2">
      <c r="A2011" t="s">
        <v>7266</v>
      </c>
      <c r="B2011" t="s">
        <v>7267</v>
      </c>
      <c r="D2011" t="b">
        <f>IFERROR(VLOOKUP(B2011,PatData!$A$2:$A$2030,1,),"")&lt;&gt;""</f>
        <v>0</v>
      </c>
      <c r="E2011" t="s">
        <v>7252</v>
      </c>
      <c r="F2011" t="b">
        <v>0</v>
      </c>
      <c r="G2011" t="b">
        <v>1</v>
      </c>
      <c r="H2011" t="b">
        <v>0</v>
      </c>
      <c r="I2011" t="b">
        <v>0</v>
      </c>
    </row>
    <row r="2012" spans="1:9" x14ac:dyDescent="0.2">
      <c r="A2012" t="s">
        <v>7268</v>
      </c>
      <c r="B2012" t="s">
        <v>7269</v>
      </c>
      <c r="D2012" t="b">
        <f>IFERROR(VLOOKUP(B2012,PatData!$A$2:$A$2030,1,),"")&lt;&gt;""</f>
        <v>0</v>
      </c>
      <c r="E2012" t="s">
        <v>7255</v>
      </c>
      <c r="F2012" t="b">
        <v>0</v>
      </c>
      <c r="G2012" t="b">
        <v>1</v>
      </c>
      <c r="H2012" t="b">
        <v>0</v>
      </c>
      <c r="I2012" t="b">
        <v>0</v>
      </c>
    </row>
    <row r="2013" spans="1:9" x14ac:dyDescent="0.2">
      <c r="A2013" t="e">
        <v>#NAME?</v>
      </c>
      <c r="B2013" t="s">
        <v>7205</v>
      </c>
      <c r="D2013" t="b">
        <f>IFERROR(VLOOKUP(B2013,PatData!$A$2:$A$2030,1,),"")&lt;&gt;""</f>
        <v>0</v>
      </c>
      <c r="E2013" t="s">
        <v>7255</v>
      </c>
      <c r="F2013" t="b">
        <v>0</v>
      </c>
      <c r="G2013" t="b">
        <v>1</v>
      </c>
      <c r="H2013" t="b">
        <v>0</v>
      </c>
      <c r="I2013" t="b">
        <v>0</v>
      </c>
    </row>
    <row r="2014" spans="1:9" x14ac:dyDescent="0.2">
      <c r="A2014" t="e">
        <v>#NAME?</v>
      </c>
      <c r="B2014" t="s">
        <v>891</v>
      </c>
      <c r="D2014" t="b">
        <f>IFERROR(VLOOKUP(B2014,PatData!$A$2:$A$2030,1,),"")&lt;&gt;""</f>
        <v>0</v>
      </c>
      <c r="E2014" t="s">
        <v>7255</v>
      </c>
      <c r="F2014" t="b">
        <v>0</v>
      </c>
      <c r="G2014" t="b">
        <v>0</v>
      </c>
      <c r="H2014" t="b">
        <v>0</v>
      </c>
      <c r="I2014" t="b">
        <v>0</v>
      </c>
    </row>
    <row r="2015" spans="1:9" x14ac:dyDescent="0.2">
      <c r="A2015" t="s">
        <v>1508</v>
      </c>
      <c r="B2015" t="s">
        <v>892</v>
      </c>
      <c r="D2015" t="b">
        <f>IFERROR(VLOOKUP(B2015,PatData!$A$2:$A$2030,1,),"")&lt;&gt;""</f>
        <v>0</v>
      </c>
      <c r="E2015" t="s">
        <v>7873</v>
      </c>
      <c r="F2015" t="b">
        <v>0</v>
      </c>
      <c r="G2015" t="b">
        <v>0</v>
      </c>
      <c r="H2015" t="b">
        <v>0</v>
      </c>
      <c r="I2015" t="b">
        <v>0</v>
      </c>
    </row>
    <row r="2016" spans="1:9" x14ac:dyDescent="0.2">
      <c r="A2016" t="s">
        <v>4951</v>
      </c>
      <c r="B2016" t="s">
        <v>893</v>
      </c>
      <c r="D2016" t="b">
        <f>IFERROR(VLOOKUP(B2016,PatData!$A$2:$A$2030,1,),"")&lt;&gt;""</f>
        <v>0</v>
      </c>
      <c r="E2016"/>
      <c r="F2016" t="b">
        <v>0</v>
      </c>
      <c r="G2016" t="b">
        <v>0</v>
      </c>
      <c r="H2016" t="b">
        <v>0</v>
      </c>
      <c r="I2016" t="b">
        <v>0</v>
      </c>
    </row>
    <row r="2017" spans="1:9" x14ac:dyDescent="0.2">
      <c r="A2017" t="s">
        <v>5170</v>
      </c>
      <c r="B2017" t="s">
        <v>894</v>
      </c>
      <c r="D2017" t="b">
        <f>IFERROR(VLOOKUP(B2017,PatData!$A$2:$A$2030,1,),"")&lt;&gt;""</f>
        <v>0</v>
      </c>
      <c r="E2017" t="s">
        <v>5087</v>
      </c>
      <c r="F2017" t="b">
        <v>0</v>
      </c>
      <c r="G2017" t="b">
        <v>0</v>
      </c>
      <c r="H2017" t="b">
        <v>0</v>
      </c>
      <c r="I2017" t="b">
        <v>0</v>
      </c>
    </row>
    <row r="2018" spans="1:9" x14ac:dyDescent="0.2">
      <c r="A2018" t="s">
        <v>4952</v>
      </c>
      <c r="B2018" t="s">
        <v>895</v>
      </c>
      <c r="D2018" t="b">
        <f>IFERROR(VLOOKUP(B2018,PatData!$A$2:$A$2030,1,),"")&lt;&gt;""</f>
        <v>0</v>
      </c>
      <c r="E2018" t="s">
        <v>7874</v>
      </c>
      <c r="F2018" t="b">
        <v>0</v>
      </c>
      <c r="G2018" t="b">
        <v>0</v>
      </c>
      <c r="H2018" t="b">
        <v>0</v>
      </c>
      <c r="I2018" t="b">
        <v>0</v>
      </c>
    </row>
    <row r="2019" spans="1:9" x14ac:dyDescent="0.2">
      <c r="A2019" t="s">
        <v>7055</v>
      </c>
      <c r="B2019" t="s">
        <v>7056</v>
      </c>
      <c r="D2019" t="b">
        <f>IFERROR(VLOOKUP(B2019,PatData!$A$2:$A$2030,1,),"")&lt;&gt;""</f>
        <v>0</v>
      </c>
      <c r="E2019" t="s">
        <v>393</v>
      </c>
      <c r="F2019" t="b">
        <v>0</v>
      </c>
      <c r="G2019" t="b">
        <v>0</v>
      </c>
      <c r="H2019" t="b">
        <v>0</v>
      </c>
      <c r="I2019" t="b">
        <v>0</v>
      </c>
    </row>
    <row r="2020" spans="1:9" x14ac:dyDescent="0.2">
      <c r="A2020" t="s">
        <v>7206</v>
      </c>
      <c r="B2020" t="s">
        <v>7207</v>
      </c>
      <c r="D2020" t="b">
        <f>IFERROR(VLOOKUP(B2020,PatData!$A$2:$A$2030,1,),"")&lt;&gt;""</f>
        <v>0</v>
      </c>
      <c r="E2020"/>
      <c r="F2020" t="b">
        <v>0</v>
      </c>
      <c r="G2020" t="b">
        <v>0</v>
      </c>
      <c r="H2020" t="b">
        <v>0</v>
      </c>
      <c r="I2020" t="b">
        <v>0</v>
      </c>
    </row>
    <row r="2021" spans="1:9" x14ac:dyDescent="0.2">
      <c r="A2021" t="s">
        <v>1509</v>
      </c>
      <c r="B2021" t="s">
        <v>896</v>
      </c>
      <c r="D2021" t="b">
        <f>IFERROR(VLOOKUP(B2021,PatData!$A$2:$A$2030,1,),"")&lt;&gt;""</f>
        <v>0</v>
      </c>
      <c r="E2021" t="s">
        <v>7873</v>
      </c>
      <c r="F2021" t="b">
        <v>0</v>
      </c>
      <c r="G2021" t="b">
        <v>0</v>
      </c>
      <c r="H2021" t="b">
        <v>0</v>
      </c>
      <c r="I2021" t="b">
        <v>0</v>
      </c>
    </row>
    <row r="2022" spans="1:9" x14ac:dyDescent="0.2">
      <c r="A2022" t="s">
        <v>4953</v>
      </c>
      <c r="B2022" t="s">
        <v>897</v>
      </c>
      <c r="D2022" t="b">
        <f>IFERROR(VLOOKUP(B2022,PatData!$A$2:$A$2030,1,),"")&lt;&gt;""</f>
        <v>0</v>
      </c>
      <c r="E2022"/>
      <c r="F2022" t="b">
        <v>0</v>
      </c>
      <c r="G2022" t="b">
        <v>0</v>
      </c>
      <c r="H2022" t="b">
        <v>0</v>
      </c>
      <c r="I2022" t="b">
        <v>0</v>
      </c>
    </row>
    <row r="2023" spans="1:9" x14ac:dyDescent="0.2">
      <c r="A2023" t="s">
        <v>4954</v>
      </c>
      <c r="B2023" t="s">
        <v>898</v>
      </c>
      <c r="D2023" t="b">
        <f>IFERROR(VLOOKUP(B2023,PatData!$A$2:$A$2030,1,),"")&lt;&gt;""</f>
        <v>0</v>
      </c>
      <c r="E2023" t="s">
        <v>7874</v>
      </c>
      <c r="F2023" t="b">
        <v>0</v>
      </c>
      <c r="G2023" t="b">
        <v>0</v>
      </c>
      <c r="H2023" t="b">
        <v>0</v>
      </c>
      <c r="I2023" t="b">
        <v>0</v>
      </c>
    </row>
    <row r="2024" spans="1:9" x14ac:dyDescent="0.2">
      <c r="A2024" t="s">
        <v>7598</v>
      </c>
      <c r="B2024" t="s">
        <v>899</v>
      </c>
      <c r="D2024" t="b">
        <f>IFERROR(VLOOKUP(B2024,PatData!$A$2:$A$2030,1,),"")&lt;&gt;""</f>
        <v>0</v>
      </c>
      <c r="E2024" t="s">
        <v>188</v>
      </c>
      <c r="F2024" t="b">
        <v>0</v>
      </c>
      <c r="G2024" t="b">
        <v>0</v>
      </c>
      <c r="H2024" t="b">
        <v>0</v>
      </c>
      <c r="I2024" t="b">
        <v>0</v>
      </c>
    </row>
    <row r="2025" spans="1:9" x14ac:dyDescent="0.2">
      <c r="A2025" t="s">
        <v>7599</v>
      </c>
      <c r="B2025" t="s">
        <v>900</v>
      </c>
      <c r="D2025" t="b">
        <f>IFERROR(VLOOKUP(B2025,PatData!$A$2:$A$2030,1,),"")&lt;&gt;""</f>
        <v>0</v>
      </c>
      <c r="E2025" t="s">
        <v>188</v>
      </c>
      <c r="F2025" t="b">
        <v>0</v>
      </c>
      <c r="G2025" t="b">
        <v>0</v>
      </c>
      <c r="H2025" t="b">
        <v>0</v>
      </c>
      <c r="I2025" t="b">
        <v>0</v>
      </c>
    </row>
    <row r="2026" spans="1:9" x14ac:dyDescent="0.2">
      <c r="A2026" t="s">
        <v>7600</v>
      </c>
      <c r="B2026" t="s">
        <v>7601</v>
      </c>
      <c r="D2026" t="b">
        <f>IFERROR(VLOOKUP(B2026,PatData!$A$2:$A$2030,1,),"")&lt;&gt;""</f>
        <v>0</v>
      </c>
      <c r="E2026" t="s">
        <v>188</v>
      </c>
      <c r="F2026" t="b">
        <v>0</v>
      </c>
      <c r="G2026" t="b">
        <v>0</v>
      </c>
      <c r="H2026" t="b">
        <v>0</v>
      </c>
      <c r="I2026" t="b">
        <v>0</v>
      </c>
    </row>
    <row r="2027" spans="1:9" x14ac:dyDescent="0.2">
      <c r="A2027" t="s">
        <v>7602</v>
      </c>
      <c r="B2027" t="s">
        <v>901</v>
      </c>
      <c r="D2027" t="b">
        <f>IFERROR(VLOOKUP(B2027,PatData!$A$2:$A$2030,1,),"")&lt;&gt;""</f>
        <v>0</v>
      </c>
      <c r="E2027" t="s">
        <v>188</v>
      </c>
      <c r="F2027" t="b">
        <v>0</v>
      </c>
      <c r="G2027" t="b">
        <v>0</v>
      </c>
      <c r="H2027" t="b">
        <v>0</v>
      </c>
      <c r="I2027" t="b">
        <v>0</v>
      </c>
    </row>
    <row r="2028" spans="1:9" x14ac:dyDescent="0.2">
      <c r="A2028" t="s">
        <v>7603</v>
      </c>
      <c r="B2028" t="s">
        <v>902</v>
      </c>
      <c r="D2028" t="b">
        <f>IFERROR(VLOOKUP(B2028,PatData!$A$2:$A$2030,1,),"")&lt;&gt;""</f>
        <v>0</v>
      </c>
      <c r="E2028" t="s">
        <v>188</v>
      </c>
      <c r="F2028" t="b">
        <v>0</v>
      </c>
      <c r="G2028" t="b">
        <v>0</v>
      </c>
      <c r="H2028" t="b">
        <v>0</v>
      </c>
      <c r="I2028" t="b">
        <v>0</v>
      </c>
    </row>
    <row r="2029" spans="1:9" x14ac:dyDescent="0.2">
      <c r="A2029" t="s">
        <v>7604</v>
      </c>
      <c r="B2029" t="s">
        <v>7605</v>
      </c>
      <c r="D2029" t="b">
        <f>IFERROR(VLOOKUP(B2029,PatData!$A$2:$A$2030,1,),"")&lt;&gt;""</f>
        <v>0</v>
      </c>
      <c r="E2029" t="s">
        <v>188</v>
      </c>
      <c r="F2029" t="b">
        <v>0</v>
      </c>
      <c r="G2029" t="b">
        <v>0</v>
      </c>
      <c r="H2029" t="b">
        <v>0</v>
      </c>
      <c r="I2029" t="b">
        <v>0</v>
      </c>
    </row>
    <row r="2030" spans="1:9" x14ac:dyDescent="0.2">
      <c r="A2030" t="s">
        <v>1510</v>
      </c>
      <c r="B2030" t="s">
        <v>903</v>
      </c>
      <c r="D2030" t="b">
        <f>IFERROR(VLOOKUP(B2030,PatData!$A$2:$A$2030,1,),"")&lt;&gt;""</f>
        <v>0</v>
      </c>
      <c r="E2030" t="s">
        <v>4921</v>
      </c>
      <c r="F2030" t="b">
        <v>0</v>
      </c>
      <c r="G2030" t="b">
        <v>0</v>
      </c>
      <c r="H2030" t="b">
        <v>0</v>
      </c>
      <c r="I2030" t="b">
        <v>0</v>
      </c>
    </row>
    <row r="2031" spans="1:9" x14ac:dyDescent="0.2">
      <c r="A2031" t="s">
        <v>4955</v>
      </c>
      <c r="B2031" t="s">
        <v>4956</v>
      </c>
      <c r="D2031" t="b">
        <f>IFERROR(VLOOKUP(B2031,PatData!$A$2:$A$2030,1,),"")&lt;&gt;""</f>
        <v>0</v>
      </c>
      <c r="E2031" t="s">
        <v>6984</v>
      </c>
      <c r="F2031" t="b">
        <v>0</v>
      </c>
      <c r="G2031" t="b">
        <v>0</v>
      </c>
      <c r="H2031" t="b">
        <v>0</v>
      </c>
      <c r="I2031" t="b">
        <v>0</v>
      </c>
    </row>
    <row r="2032" spans="1:9" x14ac:dyDescent="0.2">
      <c r="A2032" t="s">
        <v>1511</v>
      </c>
      <c r="B2032" t="s">
        <v>904</v>
      </c>
      <c r="D2032" t="b">
        <f>IFERROR(VLOOKUP(B2032,PatData!$A$2:$A$2030,1,),"")&lt;&gt;""</f>
        <v>0</v>
      </c>
      <c r="E2032" t="s">
        <v>3492</v>
      </c>
      <c r="F2032" t="b">
        <v>0</v>
      </c>
      <c r="G2032" t="b">
        <v>0</v>
      </c>
      <c r="H2032" t="b">
        <v>0</v>
      </c>
      <c r="I2032" t="b">
        <v>0</v>
      </c>
    </row>
    <row r="2033" spans="1:9" x14ac:dyDescent="0.2">
      <c r="A2033" t="s">
        <v>1512</v>
      </c>
      <c r="B2033" t="s">
        <v>905</v>
      </c>
      <c r="D2033" t="b">
        <f>IFERROR(VLOOKUP(B2033,PatData!$A$2:$A$2030,1,),"")&lt;&gt;""</f>
        <v>0</v>
      </c>
      <c r="E2033" t="b">
        <v>1</v>
      </c>
      <c r="F2033" t="b">
        <v>0</v>
      </c>
      <c r="G2033" t="b">
        <v>0</v>
      </c>
      <c r="H2033" t="b">
        <v>0</v>
      </c>
      <c r="I2033" t="b">
        <v>0</v>
      </c>
    </row>
    <row r="2034" spans="1:9" x14ac:dyDescent="0.2">
      <c r="A2034" t="s">
        <v>1513</v>
      </c>
      <c r="B2034" t="s">
        <v>906</v>
      </c>
      <c r="D2034" t="b">
        <f>IFERROR(VLOOKUP(B2034,PatData!$A$2:$A$2030,1,),"")&lt;&gt;""</f>
        <v>0</v>
      </c>
      <c r="E2034" t="s">
        <v>876</v>
      </c>
      <c r="F2034" t="b">
        <v>0</v>
      </c>
      <c r="G2034" t="b">
        <v>0</v>
      </c>
      <c r="H2034" t="b">
        <v>0</v>
      </c>
      <c r="I2034" t="b">
        <v>0</v>
      </c>
    </row>
    <row r="2035" spans="1:9" x14ac:dyDescent="0.2">
      <c r="A2035" t="s">
        <v>1514</v>
      </c>
      <c r="B2035" t="s">
        <v>907</v>
      </c>
      <c r="D2035" t="b">
        <f>IFERROR(VLOOKUP(B2035,PatData!$A$2:$A$2030,1,),"")&lt;&gt;""</f>
        <v>0</v>
      </c>
      <c r="E2035" t="b">
        <v>1</v>
      </c>
      <c r="F2035" t="b">
        <v>0</v>
      </c>
      <c r="G2035" t="b">
        <v>0</v>
      </c>
      <c r="H2035" t="b">
        <v>0</v>
      </c>
      <c r="I2035" t="b">
        <v>0</v>
      </c>
    </row>
    <row r="2036" spans="1:9" x14ac:dyDescent="0.2">
      <c r="A2036" t="s">
        <v>1515</v>
      </c>
      <c r="B2036" t="s">
        <v>908</v>
      </c>
      <c r="D2036" t="b">
        <f>IFERROR(VLOOKUP(B2036,PatData!$A$2:$A$2030,1,),"")&lt;&gt;""</f>
        <v>0</v>
      </c>
      <c r="E2036" t="s">
        <v>870</v>
      </c>
      <c r="F2036" t="b">
        <v>0</v>
      </c>
      <c r="G2036" t="b">
        <v>0</v>
      </c>
      <c r="H2036" t="b">
        <v>0</v>
      </c>
      <c r="I2036" t="b">
        <v>0</v>
      </c>
    </row>
    <row r="2037" spans="1:9" x14ac:dyDescent="0.2">
      <c r="A2037" t="s">
        <v>1516</v>
      </c>
      <c r="B2037" t="s">
        <v>909</v>
      </c>
      <c r="D2037" t="b">
        <f>IFERROR(VLOOKUP(B2037,PatData!$A$2:$A$2030,1,),"")&lt;&gt;""</f>
        <v>0</v>
      </c>
      <c r="E2037" t="s">
        <v>871</v>
      </c>
      <c r="F2037" t="b">
        <v>0</v>
      </c>
      <c r="G2037" t="b">
        <v>0</v>
      </c>
      <c r="H2037" t="b">
        <v>0</v>
      </c>
      <c r="I2037" t="b">
        <v>0</v>
      </c>
    </row>
    <row r="2038" spans="1:9" x14ac:dyDescent="0.2">
      <c r="A2038" t="s">
        <v>1517</v>
      </c>
      <c r="B2038" t="s">
        <v>910</v>
      </c>
      <c r="D2038" t="b">
        <f>IFERROR(VLOOKUP(B2038,PatData!$A$2:$A$2030,1,),"")&lt;&gt;""</f>
        <v>0</v>
      </c>
      <c r="E2038" t="s">
        <v>874</v>
      </c>
      <c r="F2038" t="b">
        <v>0</v>
      </c>
      <c r="G2038" t="b">
        <v>0</v>
      </c>
      <c r="H2038" t="b">
        <v>0</v>
      </c>
      <c r="I2038" t="b">
        <v>0</v>
      </c>
    </row>
    <row r="2039" spans="1:9" x14ac:dyDescent="0.2">
      <c r="A2039" t="s">
        <v>7057</v>
      </c>
      <c r="B2039" t="s">
        <v>7058</v>
      </c>
      <c r="D2039" t="b">
        <f>IFERROR(VLOOKUP(B2039,PatData!$A$2:$A$2030,1,),"")&lt;&gt;""</f>
        <v>0</v>
      </c>
      <c r="E2039" t="s">
        <v>159</v>
      </c>
      <c r="F2039" t="b">
        <v>0</v>
      </c>
      <c r="G2039" t="b">
        <v>0</v>
      </c>
      <c r="H2039" t="b">
        <v>0</v>
      </c>
      <c r="I2039" t="b">
        <v>0</v>
      </c>
    </row>
    <row r="2040" spans="1:9" x14ac:dyDescent="0.2">
      <c r="A2040" t="s">
        <v>7642</v>
      </c>
      <c r="B2040" t="s">
        <v>7059</v>
      </c>
      <c r="D2040" t="b">
        <f>IFERROR(VLOOKUP(B2040,PatData!$A$2:$A$2030,1,),"")&lt;&gt;""</f>
        <v>0</v>
      </c>
      <c r="E2040" t="s">
        <v>450</v>
      </c>
      <c r="F2040" t="b">
        <v>0</v>
      </c>
      <c r="G2040" t="b">
        <v>0</v>
      </c>
      <c r="H2040" t="b">
        <v>0</v>
      </c>
      <c r="I2040" t="b">
        <v>0</v>
      </c>
    </row>
    <row r="2041" spans="1:9" x14ac:dyDescent="0.2">
      <c r="A2041" t="s">
        <v>7060</v>
      </c>
      <c r="B2041" t="s">
        <v>7061</v>
      </c>
      <c r="D2041" t="b">
        <f>IFERROR(VLOOKUP(B2041,PatData!$A$2:$A$2030,1,),"")&lt;&gt;""</f>
        <v>0</v>
      </c>
      <c r="E2041" t="s">
        <v>159</v>
      </c>
      <c r="F2041" t="b">
        <v>0</v>
      </c>
      <c r="G2041" t="b">
        <v>0</v>
      </c>
      <c r="H2041" t="b">
        <v>0</v>
      </c>
      <c r="I2041" t="b">
        <v>0</v>
      </c>
    </row>
    <row r="2042" spans="1:9" x14ac:dyDescent="0.2">
      <c r="A2042" t="s">
        <v>4198</v>
      </c>
      <c r="B2042" t="s">
        <v>4049</v>
      </c>
      <c r="D2042" t="b">
        <f>IFERROR(VLOOKUP(B2042,PatData!$A$2:$A$2030,1,),"")&lt;&gt;""</f>
        <v>0</v>
      </c>
      <c r="E2042"/>
      <c r="F2042" t="b">
        <v>0</v>
      </c>
      <c r="G2042" t="b">
        <v>0</v>
      </c>
      <c r="H2042" t="b">
        <v>0</v>
      </c>
      <c r="I2042" t="b">
        <v>0</v>
      </c>
    </row>
    <row r="2043" spans="1:9" x14ac:dyDescent="0.2">
      <c r="A2043" t="s">
        <v>4199</v>
      </c>
      <c r="B2043" t="s">
        <v>4048</v>
      </c>
      <c r="D2043" t="b">
        <f>IFERROR(VLOOKUP(B2043,PatData!$A$2:$A$2030,1,),"")&lt;&gt;""</f>
        <v>0</v>
      </c>
      <c r="E2043"/>
      <c r="F2043" t="b">
        <v>0</v>
      </c>
      <c r="G2043" t="b">
        <v>0</v>
      </c>
      <c r="H2043" t="b">
        <v>0</v>
      </c>
      <c r="I2043" t="b">
        <v>0</v>
      </c>
    </row>
    <row r="2044" spans="1:9" x14ac:dyDescent="0.2">
      <c r="A2044" t="s">
        <v>7062</v>
      </c>
      <c r="B2044" t="s">
        <v>4072</v>
      </c>
      <c r="D2044" t="b">
        <f>IFERROR(VLOOKUP(B2044,PatData!$A$2:$A$2030,1,),"")&lt;&gt;""</f>
        <v>0</v>
      </c>
      <c r="E2044"/>
      <c r="F2044" t="b">
        <v>0</v>
      </c>
      <c r="G2044" t="b">
        <v>0</v>
      </c>
      <c r="H2044" t="b">
        <v>0</v>
      </c>
      <c r="I2044" t="b">
        <v>0</v>
      </c>
    </row>
    <row r="2045" spans="1:9" x14ac:dyDescent="0.2">
      <c r="A2045" t="s">
        <v>4200</v>
      </c>
      <c r="B2045" t="s">
        <v>4057</v>
      </c>
      <c r="D2045" t="b">
        <f>IFERROR(VLOOKUP(B2045,PatData!$A$2:$A$2030,1,),"")&lt;&gt;""</f>
        <v>0</v>
      </c>
      <c r="E2045" t="s">
        <v>175</v>
      </c>
      <c r="F2045" t="b">
        <v>0</v>
      </c>
      <c r="G2045" t="b">
        <v>0</v>
      </c>
      <c r="H2045" t="b">
        <v>0</v>
      </c>
      <c r="I2045" t="b">
        <v>0</v>
      </c>
    </row>
    <row r="2046" spans="1:9" x14ac:dyDescent="0.2">
      <c r="A2046" t="s">
        <v>4957</v>
      </c>
      <c r="B2046" t="s">
        <v>4958</v>
      </c>
      <c r="D2046" t="b">
        <f>IFERROR(VLOOKUP(B2046,PatData!$A$2:$A$2030,1,),"")&lt;&gt;""</f>
        <v>0</v>
      </c>
      <c r="E2046" t="s">
        <v>4922</v>
      </c>
      <c r="F2046" t="b">
        <v>0</v>
      </c>
      <c r="G2046" t="b">
        <v>0</v>
      </c>
      <c r="H2046" t="b">
        <v>0</v>
      </c>
      <c r="I2046" t="b">
        <v>0</v>
      </c>
    </row>
    <row r="2047" spans="1:9" x14ac:dyDescent="0.2">
      <c r="A2047" t="s">
        <v>5654</v>
      </c>
      <c r="B2047" t="s">
        <v>4704</v>
      </c>
      <c r="D2047" t="b">
        <f>IFERROR(VLOOKUP(B2047,PatData!$A$2:$A$2030,1,),"")&lt;&gt;""</f>
        <v>0</v>
      </c>
      <c r="E2047"/>
      <c r="F2047" t="b">
        <v>0</v>
      </c>
      <c r="G2047" t="b">
        <v>0</v>
      </c>
      <c r="H2047" t="b">
        <v>0</v>
      </c>
      <c r="I2047" t="b">
        <v>0</v>
      </c>
    </row>
    <row r="2048" spans="1:9" x14ac:dyDescent="0.2">
      <c r="A2048" t="s">
        <v>7606</v>
      </c>
      <c r="B2048" t="s">
        <v>4651</v>
      </c>
      <c r="D2048" t="b">
        <f>IFERROR(VLOOKUP(B2048,PatData!$A$2:$A$2030,1,),"")&lt;&gt;""</f>
        <v>0</v>
      </c>
      <c r="E2048"/>
      <c r="F2048" t="b">
        <v>0</v>
      </c>
      <c r="G2048" t="b">
        <v>0</v>
      </c>
      <c r="H2048" t="b">
        <v>0</v>
      </c>
      <c r="I2048" t="b">
        <v>0</v>
      </c>
    </row>
    <row r="2049" spans="1:9" x14ac:dyDescent="0.2">
      <c r="A2049" t="s">
        <v>7607</v>
      </c>
      <c r="B2049" t="s">
        <v>7063</v>
      </c>
      <c r="D2049" t="b">
        <f>IFERROR(VLOOKUP(B2049,PatData!$A$2:$A$2030,1,),"")&lt;&gt;""</f>
        <v>0</v>
      </c>
      <c r="E2049" t="s">
        <v>5978</v>
      </c>
      <c r="F2049" t="b">
        <v>0</v>
      </c>
      <c r="G2049" t="b">
        <v>0</v>
      </c>
      <c r="H2049" t="b">
        <v>0</v>
      </c>
      <c r="I2049" t="b">
        <v>0</v>
      </c>
    </row>
    <row r="2050" spans="1:9" x14ac:dyDescent="0.2">
      <c r="A2050" t="s">
        <v>7643</v>
      </c>
      <c r="B2050" t="s">
        <v>4058</v>
      </c>
      <c r="D2050" t="b">
        <f>IFERROR(VLOOKUP(B2050,PatData!$A$2:$A$2030,1,),"")&lt;&gt;""</f>
        <v>0</v>
      </c>
      <c r="E2050"/>
      <c r="F2050" t="b">
        <v>0</v>
      </c>
      <c r="G2050" t="b">
        <v>0</v>
      </c>
      <c r="H2050" t="b">
        <v>0</v>
      </c>
      <c r="I2050" t="b">
        <v>0</v>
      </c>
    </row>
    <row r="2051" spans="1:9" x14ac:dyDescent="0.2">
      <c r="A2051" t="s">
        <v>4212</v>
      </c>
      <c r="B2051" t="s">
        <v>4726</v>
      </c>
      <c r="D2051" t="b">
        <f>IFERROR(VLOOKUP(B2051,PatData!$A$2:$A$2030,1,),"")&lt;&gt;""</f>
        <v>0</v>
      </c>
      <c r="E2051"/>
      <c r="F2051" t="b">
        <v>0</v>
      </c>
      <c r="G2051" t="b">
        <v>0</v>
      </c>
      <c r="H2051" t="b">
        <v>0</v>
      </c>
      <c r="I2051" t="b">
        <v>0</v>
      </c>
    </row>
    <row r="2052" spans="1:9" x14ac:dyDescent="0.2">
      <c r="A2052" t="s">
        <v>4729</v>
      </c>
      <c r="B2052" t="s">
        <v>4725</v>
      </c>
      <c r="D2052" t="b">
        <f>IFERROR(VLOOKUP(B2052,PatData!$A$2:$A$2030,1,),"")&lt;&gt;""</f>
        <v>0</v>
      </c>
      <c r="E2052"/>
      <c r="F2052" t="b">
        <v>0</v>
      </c>
      <c r="G2052" t="b">
        <v>0</v>
      </c>
      <c r="H2052" t="b">
        <v>0</v>
      </c>
      <c r="I2052" t="b">
        <v>0</v>
      </c>
    </row>
    <row r="2053" spans="1:9" x14ac:dyDescent="0.2">
      <c r="A2053" t="s">
        <v>2798</v>
      </c>
      <c r="B2053" t="s">
        <v>4701</v>
      </c>
      <c r="D2053" t="b">
        <f>IFERROR(VLOOKUP(B2053,PatData!$A$2:$A$2030,1,),"")&lt;&gt;""</f>
        <v>0</v>
      </c>
      <c r="E2053" t="s">
        <v>2748</v>
      </c>
      <c r="F2053" t="b">
        <v>0</v>
      </c>
      <c r="G2053" t="b">
        <v>0</v>
      </c>
      <c r="H2053" t="b">
        <v>0</v>
      </c>
      <c r="I2053" t="b">
        <v>0</v>
      </c>
    </row>
    <row r="2054" spans="1:9" x14ac:dyDescent="0.2">
      <c r="A2054" t="s">
        <v>4959</v>
      </c>
      <c r="B2054" t="s">
        <v>4960</v>
      </c>
      <c r="D2054" t="b">
        <f>IFERROR(VLOOKUP(B2054,PatData!$A$2:$A$2030,1,),"")&lt;&gt;""</f>
        <v>0</v>
      </c>
      <c r="E2054" t="s">
        <v>470</v>
      </c>
      <c r="F2054" t="b">
        <v>0</v>
      </c>
      <c r="G2054" t="b">
        <v>0</v>
      </c>
      <c r="H2054" t="b">
        <v>0</v>
      </c>
      <c r="I2054" t="b">
        <v>0</v>
      </c>
    </row>
    <row r="2055" spans="1:9" x14ac:dyDescent="0.2">
      <c r="A2055" t="s">
        <v>4327</v>
      </c>
      <c r="B2055" t="s">
        <v>4706</v>
      </c>
      <c r="D2055" t="b">
        <f>IFERROR(VLOOKUP(B2055,PatData!$A$2:$A$2030,1,),"")&lt;&gt;""</f>
        <v>0</v>
      </c>
      <c r="E2055" t="s">
        <v>433</v>
      </c>
      <c r="F2055" t="b">
        <v>0</v>
      </c>
      <c r="G2055" t="b">
        <v>0</v>
      </c>
      <c r="H2055" t="b">
        <v>0</v>
      </c>
      <c r="I2055" t="b">
        <v>0</v>
      </c>
    </row>
    <row r="2056" spans="1:9" x14ac:dyDescent="0.2">
      <c r="A2056" t="s">
        <v>5171</v>
      </c>
      <c r="B2056" t="s">
        <v>4201</v>
      </c>
      <c r="D2056" t="b">
        <f>IFERROR(VLOOKUP(B2056,PatData!$A$2:$A$2030,1,),"")&lt;&gt;""</f>
        <v>0</v>
      </c>
      <c r="E2056"/>
      <c r="F2056" t="b">
        <v>0</v>
      </c>
      <c r="G2056" t="b">
        <v>0</v>
      </c>
      <c r="H2056" t="b">
        <v>0</v>
      </c>
      <c r="I2056" t="b">
        <v>0</v>
      </c>
    </row>
    <row r="2057" spans="1:9" x14ac:dyDescent="0.2">
      <c r="A2057" t="s">
        <v>4328</v>
      </c>
      <c r="B2057" t="s">
        <v>4707</v>
      </c>
      <c r="D2057" t="b">
        <f>IFERROR(VLOOKUP(B2057,PatData!$A$2:$A$2030,1,),"")&lt;&gt;""</f>
        <v>0</v>
      </c>
      <c r="E2057"/>
      <c r="F2057" t="b">
        <v>0</v>
      </c>
      <c r="G2057" t="b">
        <v>0</v>
      </c>
      <c r="H2057" t="b">
        <v>0</v>
      </c>
      <c r="I2057" t="b">
        <v>0</v>
      </c>
    </row>
    <row r="2058" spans="1:9" x14ac:dyDescent="0.2">
      <c r="A2058" t="s">
        <v>4329</v>
      </c>
      <c r="B2058" t="s">
        <v>4708</v>
      </c>
      <c r="D2058" t="b">
        <f>IFERROR(VLOOKUP(B2058,PatData!$A$2:$A$2030,1,),"")&lt;&gt;""</f>
        <v>0</v>
      </c>
      <c r="E2058"/>
      <c r="F2058" t="b">
        <v>0</v>
      </c>
      <c r="G2058" t="b">
        <v>0</v>
      </c>
      <c r="H2058" t="b">
        <v>0</v>
      </c>
      <c r="I2058" t="b">
        <v>0</v>
      </c>
    </row>
    <row r="2059" spans="1:9" x14ac:dyDescent="0.2">
      <c r="A2059" t="s">
        <v>5172</v>
      </c>
      <c r="B2059" t="s">
        <v>4233</v>
      </c>
      <c r="D2059" t="b">
        <f>IFERROR(VLOOKUP(B2059,PatData!$A$2:$A$2030,1,),"")&lt;&gt;""</f>
        <v>0</v>
      </c>
      <c r="E2059"/>
      <c r="F2059" t="b">
        <v>0</v>
      </c>
      <c r="G2059" t="b">
        <v>0</v>
      </c>
      <c r="H2059" t="b">
        <v>0</v>
      </c>
      <c r="I2059" t="b">
        <v>0</v>
      </c>
    </row>
    <row r="2060" spans="1:9" x14ac:dyDescent="0.2">
      <c r="A2060" t="s">
        <v>4202</v>
      </c>
      <c r="B2060" t="s">
        <v>4052</v>
      </c>
      <c r="D2060" t="b">
        <f>IFERROR(VLOOKUP(B2060,PatData!$A$2:$A$2030,1,),"")&lt;&gt;""</f>
        <v>0</v>
      </c>
      <c r="E2060"/>
      <c r="F2060" t="b">
        <v>0</v>
      </c>
      <c r="G2060" t="b">
        <v>0</v>
      </c>
      <c r="H2060" t="b">
        <v>0</v>
      </c>
      <c r="I2060" t="b">
        <v>0</v>
      </c>
    </row>
    <row r="2061" spans="1:9" x14ac:dyDescent="0.2">
      <c r="A2061" t="s">
        <v>4203</v>
      </c>
      <c r="B2061" t="s">
        <v>4204</v>
      </c>
      <c r="D2061" t="b">
        <f>IFERROR(VLOOKUP(B2061,PatData!$A$2:$A$2030,1,),"")&lt;&gt;""</f>
        <v>0</v>
      </c>
      <c r="E2061"/>
      <c r="F2061" t="b">
        <v>0</v>
      </c>
      <c r="G2061" t="b">
        <v>0</v>
      </c>
      <c r="H2061" t="b">
        <v>0</v>
      </c>
      <c r="I2061" t="b">
        <v>0</v>
      </c>
    </row>
    <row r="2062" spans="1:9" x14ac:dyDescent="0.2">
      <c r="A2062" t="s">
        <v>1519</v>
      </c>
      <c r="B2062" t="s">
        <v>4709</v>
      </c>
      <c r="D2062" t="b">
        <f>IFERROR(VLOOKUP(B2062,PatData!$A$2:$A$2030,1,),"")&lt;&gt;""</f>
        <v>0</v>
      </c>
      <c r="E2062">
        <v>0</v>
      </c>
      <c r="F2062" t="b">
        <v>0</v>
      </c>
      <c r="G2062" t="b">
        <v>0</v>
      </c>
      <c r="H2062" t="b">
        <v>0</v>
      </c>
      <c r="I2062" t="b">
        <v>0</v>
      </c>
    </row>
    <row r="2063" spans="1:9" x14ac:dyDescent="0.2">
      <c r="A2063" t="s">
        <v>7270</v>
      </c>
      <c r="B2063" t="s">
        <v>7271</v>
      </c>
      <c r="D2063" t="b">
        <f>IFERROR(VLOOKUP(B2063,PatData!$A$2:$A$2030,1,),"")&lt;&gt;""</f>
        <v>0</v>
      </c>
      <c r="E2063" t="b">
        <v>0</v>
      </c>
      <c r="F2063" t="b">
        <v>0</v>
      </c>
      <c r="G2063" t="b">
        <v>0</v>
      </c>
      <c r="H2063" t="b">
        <v>0</v>
      </c>
      <c r="I2063" t="b">
        <v>0</v>
      </c>
    </row>
    <row r="2064" spans="1:9" x14ac:dyDescent="0.2">
      <c r="A2064" t="s">
        <v>4205</v>
      </c>
      <c r="B2064" t="s">
        <v>4050</v>
      </c>
      <c r="D2064" t="b">
        <f>IFERROR(VLOOKUP(B2064,PatData!$A$2:$A$2030,1,),"")&lt;&gt;""</f>
        <v>0</v>
      </c>
      <c r="E2064"/>
      <c r="F2064" t="b">
        <v>0</v>
      </c>
      <c r="G2064" t="b">
        <v>0</v>
      </c>
      <c r="H2064" t="b">
        <v>0</v>
      </c>
      <c r="I2064" t="b">
        <v>0</v>
      </c>
    </row>
    <row r="2065" spans="1:9" x14ac:dyDescent="0.2">
      <c r="A2065" t="s">
        <v>7272</v>
      </c>
      <c r="B2065" t="s">
        <v>7273</v>
      </c>
      <c r="D2065" t="b">
        <f>IFERROR(VLOOKUP(B2065,PatData!$A$2:$A$2030,1,),"")&lt;&gt;""</f>
        <v>0</v>
      </c>
      <c r="E2065" t="s">
        <v>7274</v>
      </c>
      <c r="F2065" t="b">
        <v>1</v>
      </c>
      <c r="G2065" t="b">
        <v>0</v>
      </c>
      <c r="H2065" t="b">
        <v>0</v>
      </c>
      <c r="I2065" t="b">
        <v>0</v>
      </c>
    </row>
    <row r="2066" spans="1:9" x14ac:dyDescent="0.2">
      <c r="A2066" t="s">
        <v>3237</v>
      </c>
      <c r="B2066" t="s">
        <v>4710</v>
      </c>
      <c r="D2066" t="b">
        <f>IFERROR(VLOOKUP(B2066,PatData!$A$2:$A$2030,1,),"")&lt;&gt;""</f>
        <v>0</v>
      </c>
      <c r="E2066" t="s">
        <v>7274</v>
      </c>
      <c r="F2066" t="b">
        <v>1</v>
      </c>
      <c r="G2066" t="b">
        <v>0</v>
      </c>
      <c r="H2066" t="b">
        <v>0</v>
      </c>
      <c r="I2066" t="b">
        <v>0</v>
      </c>
    </row>
    <row r="2067" spans="1:9" x14ac:dyDescent="0.2">
      <c r="A2067" t="s">
        <v>7064</v>
      </c>
      <c r="B2067" t="s">
        <v>4702</v>
      </c>
      <c r="D2067" t="b">
        <f>IFERROR(VLOOKUP(B2067,PatData!$A$2:$A$2030,1,),"")&lt;&gt;""</f>
        <v>0</v>
      </c>
      <c r="E2067" t="s">
        <v>7274</v>
      </c>
      <c r="F2067" t="b">
        <v>1</v>
      </c>
      <c r="G2067" t="b">
        <v>0</v>
      </c>
      <c r="H2067" t="b">
        <v>0</v>
      </c>
      <c r="I2067" t="b">
        <v>0</v>
      </c>
    </row>
    <row r="2068" spans="1:9" x14ac:dyDescent="0.2">
      <c r="A2068" t="s">
        <v>7065</v>
      </c>
      <c r="B2068" t="s">
        <v>7066</v>
      </c>
      <c r="D2068" t="b">
        <f>IFERROR(VLOOKUP(B2068,PatData!$A$2:$A$2030,1,),"")&lt;&gt;""</f>
        <v>0</v>
      </c>
      <c r="E2068" t="s">
        <v>7274</v>
      </c>
      <c r="F2068" t="b">
        <v>1</v>
      </c>
      <c r="G2068" t="b">
        <v>0</v>
      </c>
      <c r="H2068" t="b">
        <v>0</v>
      </c>
      <c r="I2068" t="b">
        <v>0</v>
      </c>
    </row>
    <row r="2069" spans="1:9" x14ac:dyDescent="0.2">
      <c r="A2069" t="s">
        <v>3238</v>
      </c>
      <c r="B2069" t="s">
        <v>4711</v>
      </c>
      <c r="D2069" t="b">
        <f>IFERROR(VLOOKUP(B2069,PatData!$A$2:$A$2030,1,),"")&lt;&gt;""</f>
        <v>0</v>
      </c>
      <c r="E2069" t="s">
        <v>7274</v>
      </c>
      <c r="F2069" t="b">
        <v>1</v>
      </c>
      <c r="G2069" t="b">
        <v>0</v>
      </c>
      <c r="H2069" t="b">
        <v>0</v>
      </c>
      <c r="I2069" t="b">
        <v>0</v>
      </c>
    </row>
    <row r="2070" spans="1:9" x14ac:dyDescent="0.2">
      <c r="A2070" t="s">
        <v>3239</v>
      </c>
      <c r="B2070" t="s">
        <v>4769</v>
      </c>
      <c r="D2070" t="b">
        <f>IFERROR(VLOOKUP(B2070,PatData!$A$2:$A$2030,1,),"")&lt;&gt;""</f>
        <v>0</v>
      </c>
      <c r="E2070" t="s">
        <v>7274</v>
      </c>
      <c r="F2070" t="b">
        <v>1</v>
      </c>
      <c r="G2070" t="b">
        <v>0</v>
      </c>
      <c r="H2070" t="b">
        <v>0</v>
      </c>
      <c r="I2070" t="b">
        <v>0</v>
      </c>
    </row>
    <row r="2071" spans="1:9" x14ac:dyDescent="0.2">
      <c r="A2071" t="s">
        <v>3240</v>
      </c>
      <c r="B2071" t="s">
        <v>4770</v>
      </c>
      <c r="D2071" t="b">
        <f>IFERROR(VLOOKUP(B2071,PatData!$A$2:$A$2030,1,),"")&lt;&gt;""</f>
        <v>0</v>
      </c>
      <c r="E2071" t="s">
        <v>7274</v>
      </c>
      <c r="F2071" t="b">
        <v>1</v>
      </c>
      <c r="G2071" t="b">
        <v>0</v>
      </c>
      <c r="H2071" t="b">
        <v>0</v>
      </c>
      <c r="I2071" t="b">
        <v>0</v>
      </c>
    </row>
    <row r="2072" spans="1:9" x14ac:dyDescent="0.2">
      <c r="A2072" t="s">
        <v>4206</v>
      </c>
      <c r="B2072" t="s">
        <v>4207</v>
      </c>
      <c r="D2072" t="b">
        <f>IFERROR(VLOOKUP(B2072,PatData!$A$2:$A$2030,1,),"")&lt;&gt;""</f>
        <v>0</v>
      </c>
      <c r="E2072" t="s">
        <v>7274</v>
      </c>
      <c r="F2072" t="b">
        <v>1</v>
      </c>
      <c r="G2072" t="b">
        <v>0</v>
      </c>
      <c r="H2072" t="b">
        <v>0</v>
      </c>
      <c r="I2072" t="b">
        <v>0</v>
      </c>
    </row>
    <row r="2073" spans="1:9" x14ac:dyDescent="0.2">
      <c r="A2073" t="s">
        <v>7608</v>
      </c>
      <c r="B2073" t="s">
        <v>4703</v>
      </c>
      <c r="D2073" t="b">
        <f>IFERROR(VLOOKUP(B2073,PatData!$A$2:$A$2030,1,),"")&lt;&gt;""</f>
        <v>0</v>
      </c>
      <c r="E2073" t="s">
        <v>7274</v>
      </c>
      <c r="F2073" t="b">
        <v>1</v>
      </c>
      <c r="G2073" t="b">
        <v>0</v>
      </c>
      <c r="H2073" t="b">
        <v>0</v>
      </c>
      <c r="I2073" t="b">
        <v>0</v>
      </c>
    </row>
    <row r="2074" spans="1:9" x14ac:dyDescent="0.2">
      <c r="A2074" t="s">
        <v>3241</v>
      </c>
      <c r="B2074" t="s">
        <v>4771</v>
      </c>
      <c r="D2074" t="b">
        <f>IFERROR(VLOOKUP(B2074,PatData!$A$2:$A$2030,1,),"")&lt;&gt;""</f>
        <v>0</v>
      </c>
      <c r="E2074" t="s">
        <v>7274</v>
      </c>
      <c r="F2074" t="b">
        <v>1</v>
      </c>
      <c r="G2074" t="b">
        <v>0</v>
      </c>
      <c r="H2074" t="b">
        <v>0</v>
      </c>
      <c r="I2074" t="b">
        <v>0</v>
      </c>
    </row>
    <row r="2075" spans="1:9" x14ac:dyDescent="0.2">
      <c r="A2075" t="s">
        <v>7644</v>
      </c>
      <c r="B2075" t="s">
        <v>7639</v>
      </c>
      <c r="D2075" t="b">
        <f>IFERROR(VLOOKUP(B2075,PatData!$A$2:$A$2030,1,),"")&lt;&gt;""</f>
        <v>0</v>
      </c>
      <c r="E2075" t="s">
        <v>7274</v>
      </c>
      <c r="F2075" t="b">
        <v>1</v>
      </c>
      <c r="G2075" t="b">
        <v>0</v>
      </c>
      <c r="H2075" t="b">
        <v>0</v>
      </c>
      <c r="I2075" t="b">
        <v>0</v>
      </c>
    </row>
    <row r="2076" spans="1:9" x14ac:dyDescent="0.2">
      <c r="A2076" t="s">
        <v>3242</v>
      </c>
      <c r="B2076" t="s">
        <v>4772</v>
      </c>
      <c r="D2076" t="b">
        <f>IFERROR(VLOOKUP(B2076,PatData!$A$2:$A$2030,1,),"")&lt;&gt;""</f>
        <v>0</v>
      </c>
      <c r="E2076" t="s">
        <v>7274</v>
      </c>
      <c r="F2076" t="b">
        <v>1</v>
      </c>
      <c r="G2076" t="b">
        <v>0</v>
      </c>
      <c r="H2076" t="b">
        <v>0</v>
      </c>
      <c r="I2076" t="b">
        <v>0</v>
      </c>
    </row>
    <row r="2077" spans="1:9" x14ac:dyDescent="0.2">
      <c r="A2077" t="s">
        <v>7067</v>
      </c>
      <c r="B2077" t="s">
        <v>4082</v>
      </c>
      <c r="D2077" t="b">
        <f>IFERROR(VLOOKUP(B2077,PatData!$A$2:$A$2030,1,),"")&lt;&gt;""</f>
        <v>0</v>
      </c>
      <c r="E2077" t="s">
        <v>7274</v>
      </c>
      <c r="F2077" t="b">
        <v>1</v>
      </c>
      <c r="G2077" t="b">
        <v>0</v>
      </c>
      <c r="H2077" t="b">
        <v>0</v>
      </c>
      <c r="I2077" t="b">
        <v>0</v>
      </c>
    </row>
    <row r="2078" spans="1:9" x14ac:dyDescent="0.2">
      <c r="A2078" t="s">
        <v>7068</v>
      </c>
      <c r="B2078" t="s">
        <v>4705</v>
      </c>
      <c r="D2078" t="b">
        <f>IFERROR(VLOOKUP(B2078,PatData!$A$2:$A$2030,1,),"")&lt;&gt;""</f>
        <v>0</v>
      </c>
      <c r="E2078" t="s">
        <v>7274</v>
      </c>
      <c r="F2078" t="b">
        <v>1</v>
      </c>
      <c r="G2078" t="b">
        <v>0</v>
      </c>
      <c r="H2078" t="b">
        <v>0</v>
      </c>
      <c r="I2078" t="b">
        <v>0</v>
      </c>
    </row>
    <row r="2079" spans="1:9" x14ac:dyDescent="0.2">
      <c r="A2079" t="s">
        <v>3243</v>
      </c>
      <c r="B2079" t="s">
        <v>4773</v>
      </c>
      <c r="D2079" t="b">
        <f>IFERROR(VLOOKUP(B2079,PatData!$A$2:$A$2030,1,),"")&lt;&gt;""</f>
        <v>0</v>
      </c>
      <c r="E2079" t="s">
        <v>7274</v>
      </c>
      <c r="F2079" t="b">
        <v>1</v>
      </c>
      <c r="G2079" t="b">
        <v>0</v>
      </c>
      <c r="H2079" t="b">
        <v>0</v>
      </c>
      <c r="I2079" t="b">
        <v>0</v>
      </c>
    </row>
    <row r="2080" spans="1:9" x14ac:dyDescent="0.2">
      <c r="A2080" t="s">
        <v>3244</v>
      </c>
      <c r="B2080" t="s">
        <v>4774</v>
      </c>
      <c r="D2080" t="b">
        <f>IFERROR(VLOOKUP(B2080,PatData!$A$2:$A$2030,1,),"")&lt;&gt;""</f>
        <v>0</v>
      </c>
      <c r="E2080" t="s">
        <v>7274</v>
      </c>
      <c r="F2080" t="b">
        <v>1</v>
      </c>
      <c r="G2080" t="b">
        <v>0</v>
      </c>
      <c r="H2080" t="b">
        <v>0</v>
      </c>
      <c r="I2080" t="b">
        <v>0</v>
      </c>
    </row>
    <row r="2081" spans="1:9" x14ac:dyDescent="0.2">
      <c r="A2081" t="s">
        <v>7609</v>
      </c>
      <c r="B2081" t="s">
        <v>4712</v>
      </c>
      <c r="D2081" t="b">
        <f>IFERROR(VLOOKUP(B2081,PatData!$A$2:$A$2030,1,),"")&lt;&gt;""</f>
        <v>0</v>
      </c>
      <c r="E2081" t="s">
        <v>7274</v>
      </c>
      <c r="F2081" t="b">
        <v>1</v>
      </c>
      <c r="G2081" t="b">
        <v>0</v>
      </c>
      <c r="H2081" t="b">
        <v>0</v>
      </c>
      <c r="I2081" t="b">
        <v>0</v>
      </c>
    </row>
    <row r="2082" spans="1:9" x14ac:dyDescent="0.2">
      <c r="A2082" t="s">
        <v>1520</v>
      </c>
      <c r="B2082" t="s">
        <v>4713</v>
      </c>
      <c r="D2082" t="b">
        <f>IFERROR(VLOOKUP(B2082,PatData!$A$2:$A$2030,1,),"")&lt;&gt;""</f>
        <v>0</v>
      </c>
      <c r="E2082" t="s">
        <v>7274</v>
      </c>
      <c r="F2082" t="b">
        <v>1</v>
      </c>
      <c r="G2082" t="b">
        <v>0</v>
      </c>
      <c r="H2082" t="b">
        <v>0</v>
      </c>
      <c r="I2082" t="b">
        <v>0</v>
      </c>
    </row>
    <row r="2083" spans="1:9" x14ac:dyDescent="0.2">
      <c r="A2083" t="s">
        <v>4961</v>
      </c>
      <c r="B2083" t="s">
        <v>4714</v>
      </c>
      <c r="D2083" t="b">
        <f>IFERROR(VLOOKUP(B2083,PatData!$A$2:$A$2030,1,),"")&lt;&gt;""</f>
        <v>0</v>
      </c>
      <c r="E2083" t="s">
        <v>7274</v>
      </c>
      <c r="F2083" t="b">
        <v>1</v>
      </c>
      <c r="G2083" t="b">
        <v>0</v>
      </c>
      <c r="H2083" t="b">
        <v>0</v>
      </c>
      <c r="I2083" t="b">
        <v>0</v>
      </c>
    </row>
    <row r="2084" spans="1:9" x14ac:dyDescent="0.2">
      <c r="A2084" t="s">
        <v>4962</v>
      </c>
      <c r="B2084" t="s">
        <v>4715</v>
      </c>
      <c r="D2084" t="b">
        <f>IFERROR(VLOOKUP(B2084,PatData!$A$2:$A$2030,1,),"")&lt;&gt;""</f>
        <v>0</v>
      </c>
      <c r="E2084" t="s">
        <v>7274</v>
      </c>
      <c r="F2084" t="b">
        <v>1</v>
      </c>
      <c r="G2084" t="b">
        <v>0</v>
      </c>
      <c r="H2084" t="b">
        <v>0</v>
      </c>
      <c r="I2084" t="b">
        <v>0</v>
      </c>
    </row>
    <row r="2085" spans="1:9" x14ac:dyDescent="0.2">
      <c r="A2085" t="s">
        <v>4208</v>
      </c>
      <c r="B2085" t="s">
        <v>4209</v>
      </c>
      <c r="D2085" t="b">
        <f>IFERROR(VLOOKUP(B2085,PatData!$A$2:$A$2030,1,),"")&lt;&gt;""</f>
        <v>0</v>
      </c>
      <c r="E2085" t="s">
        <v>7274</v>
      </c>
      <c r="F2085" t="b">
        <v>1</v>
      </c>
      <c r="G2085" t="b">
        <v>0</v>
      </c>
      <c r="H2085" t="b">
        <v>0</v>
      </c>
      <c r="I2085" t="b">
        <v>0</v>
      </c>
    </row>
    <row r="2086" spans="1:9" x14ac:dyDescent="0.2">
      <c r="A2086" t="s">
        <v>4211</v>
      </c>
      <c r="B2086" t="s">
        <v>4730</v>
      </c>
      <c r="D2086" t="b">
        <f>IFERROR(VLOOKUP(B2086,PatData!$A$2:$A$2030,1,),"")&lt;&gt;""</f>
        <v>0</v>
      </c>
      <c r="E2086" t="s">
        <v>7274</v>
      </c>
      <c r="F2086" t="b">
        <v>1</v>
      </c>
      <c r="G2086" t="b">
        <v>0</v>
      </c>
      <c r="H2086" t="b">
        <v>0</v>
      </c>
      <c r="I2086" t="b">
        <v>0</v>
      </c>
    </row>
    <row r="2087" spans="1:9" x14ac:dyDescent="0.2">
      <c r="A2087" t="s">
        <v>4759</v>
      </c>
      <c r="B2087" t="s">
        <v>4060</v>
      </c>
      <c r="D2087" t="b">
        <f>IFERROR(VLOOKUP(B2087,PatData!$A$2:$A$2030,1,),"")&lt;&gt;""</f>
        <v>0</v>
      </c>
      <c r="E2087" t="s">
        <v>7274</v>
      </c>
      <c r="F2087" t="b">
        <v>1</v>
      </c>
      <c r="G2087" t="b">
        <v>0</v>
      </c>
      <c r="H2087" t="b">
        <v>0</v>
      </c>
      <c r="I2087" t="b">
        <v>0</v>
      </c>
    </row>
    <row r="2088" spans="1:9" x14ac:dyDescent="0.2">
      <c r="A2088" t="s">
        <v>4963</v>
      </c>
      <c r="B2088" t="s">
        <v>4775</v>
      </c>
      <c r="D2088" t="b">
        <f>IFERROR(VLOOKUP(B2088,PatData!$A$2:$A$2030,1,),"")&lt;&gt;""</f>
        <v>0</v>
      </c>
      <c r="E2088" t="s">
        <v>7274</v>
      </c>
      <c r="F2088" t="b">
        <v>1</v>
      </c>
      <c r="G2088" t="b">
        <v>0</v>
      </c>
      <c r="H2088" t="b">
        <v>0</v>
      </c>
      <c r="I2088" t="b">
        <v>0</v>
      </c>
    </row>
    <row r="2089" spans="1:9" x14ac:dyDescent="0.2">
      <c r="A2089" t="s">
        <v>4760</v>
      </c>
      <c r="B2089" t="s">
        <v>4059</v>
      </c>
      <c r="D2089" t="b">
        <f>IFERROR(VLOOKUP(B2089,PatData!$A$2:$A$2030,1,),"")&lt;&gt;""</f>
        <v>0</v>
      </c>
      <c r="E2089" t="s">
        <v>7274</v>
      </c>
      <c r="F2089" t="b">
        <v>1</v>
      </c>
      <c r="G2089" t="b">
        <v>0</v>
      </c>
      <c r="H2089" t="b">
        <v>0</v>
      </c>
      <c r="I2089" t="b">
        <v>0</v>
      </c>
    </row>
    <row r="2090" spans="1:9" x14ac:dyDescent="0.2">
      <c r="A2090" t="s">
        <v>4964</v>
      </c>
      <c r="B2090" t="s">
        <v>4847</v>
      </c>
      <c r="D2090" t="b">
        <f>IFERROR(VLOOKUP(B2090,PatData!$A$2:$A$2030,1,),"")&lt;&gt;""</f>
        <v>0</v>
      </c>
      <c r="E2090" t="s">
        <v>7274</v>
      </c>
      <c r="F2090" t="b">
        <v>1</v>
      </c>
      <c r="G2090" t="b">
        <v>0</v>
      </c>
      <c r="H2090" t="b">
        <v>0</v>
      </c>
      <c r="I2090" t="b">
        <v>0</v>
      </c>
    </row>
    <row r="2091" spans="1:9" x14ac:dyDescent="0.2">
      <c r="A2091" t="s">
        <v>3245</v>
      </c>
      <c r="B2091" t="s">
        <v>4776</v>
      </c>
      <c r="D2091" t="b">
        <f>IFERROR(VLOOKUP(B2091,PatData!$A$2:$A$2030,1,),"")&lt;&gt;""</f>
        <v>0</v>
      </c>
      <c r="E2091" t="s">
        <v>7274</v>
      </c>
      <c r="F2091" t="b">
        <v>1</v>
      </c>
      <c r="G2091" t="b">
        <v>0</v>
      </c>
      <c r="H2091" t="b">
        <v>0</v>
      </c>
      <c r="I2091" t="b">
        <v>0</v>
      </c>
    </row>
    <row r="2092" spans="1:9" x14ac:dyDescent="0.2">
      <c r="A2092" t="s">
        <v>4210</v>
      </c>
      <c r="B2092" t="s">
        <v>4047</v>
      </c>
      <c r="D2092" t="b">
        <f>IFERROR(VLOOKUP(B2092,PatData!$A$2:$A$2030,1,),"")&lt;&gt;""</f>
        <v>0</v>
      </c>
      <c r="E2092" t="s">
        <v>7274</v>
      </c>
      <c r="F2092" t="b">
        <v>1</v>
      </c>
      <c r="G2092" t="b">
        <v>0</v>
      </c>
      <c r="H2092" t="b">
        <v>0</v>
      </c>
      <c r="I2092" t="b">
        <v>0</v>
      </c>
    </row>
    <row r="2093" spans="1:9" x14ac:dyDescent="0.2">
      <c r="A2093" t="s">
        <v>4965</v>
      </c>
      <c r="B2093" t="s">
        <v>3780</v>
      </c>
      <c r="D2093" t="b">
        <f>IFERROR(VLOOKUP(B2093,PatData!$A$2:$A$2030,1,),"")&lt;&gt;""</f>
        <v>0</v>
      </c>
      <c r="E2093" t="s">
        <v>4333</v>
      </c>
      <c r="F2093" t="b">
        <v>1</v>
      </c>
      <c r="G2093" t="b">
        <v>0</v>
      </c>
      <c r="H2093" t="b">
        <v>0</v>
      </c>
      <c r="I2093" t="b">
        <v>0</v>
      </c>
    </row>
    <row r="2094" spans="1:9" x14ac:dyDescent="0.2">
      <c r="A2094" t="s">
        <v>4966</v>
      </c>
      <c r="B2094" t="s">
        <v>3781</v>
      </c>
      <c r="D2094" t="b">
        <f>IFERROR(VLOOKUP(B2094,PatData!$A$2:$A$2030,1,),"")&lt;&gt;""</f>
        <v>0</v>
      </c>
      <c r="E2094" t="s">
        <v>4967</v>
      </c>
      <c r="F2094" t="b">
        <v>1</v>
      </c>
      <c r="G2094" t="b">
        <v>0</v>
      </c>
      <c r="H2094" t="b">
        <v>0</v>
      </c>
      <c r="I2094" t="b">
        <v>0</v>
      </c>
    </row>
    <row r="2095" spans="1:9" x14ac:dyDescent="0.2">
      <c r="A2095" t="s">
        <v>4968</v>
      </c>
      <c r="B2095" t="s">
        <v>3782</v>
      </c>
      <c r="D2095" t="b">
        <f>IFERROR(VLOOKUP(B2095,PatData!$A$2:$A$2030,1,),"")&lt;&gt;""</f>
        <v>0</v>
      </c>
      <c r="E2095" t="s">
        <v>4969</v>
      </c>
      <c r="F2095" t="b">
        <v>1</v>
      </c>
      <c r="G2095" t="b">
        <v>0</v>
      </c>
      <c r="H2095" t="b">
        <v>0</v>
      </c>
      <c r="I2095" t="b">
        <v>0</v>
      </c>
    </row>
    <row r="2096" spans="1:9" x14ac:dyDescent="0.2">
      <c r="A2096" t="s">
        <v>4970</v>
      </c>
      <c r="B2096" t="s">
        <v>3783</v>
      </c>
      <c r="D2096" t="b">
        <f>IFERROR(VLOOKUP(B2096,PatData!$A$2:$A$2030,1,),"")&lt;&gt;""</f>
        <v>0</v>
      </c>
      <c r="E2096" t="s">
        <v>4971</v>
      </c>
      <c r="F2096" t="b">
        <v>1</v>
      </c>
      <c r="G2096" t="b">
        <v>0</v>
      </c>
      <c r="H2096" t="b">
        <v>0</v>
      </c>
      <c r="I2096" t="b">
        <v>0</v>
      </c>
    </row>
    <row r="2097" spans="1:9" x14ac:dyDescent="0.2">
      <c r="A2097" t="s">
        <v>4972</v>
      </c>
      <c r="B2097" t="s">
        <v>3784</v>
      </c>
      <c r="D2097" t="b">
        <f>IFERROR(VLOOKUP(B2097,PatData!$A$2:$A$2030,1,),"")&lt;&gt;""</f>
        <v>0</v>
      </c>
      <c r="E2097" t="s">
        <v>4973</v>
      </c>
      <c r="F2097" t="b">
        <v>1</v>
      </c>
      <c r="G2097" t="b">
        <v>0</v>
      </c>
      <c r="H2097" t="b">
        <v>0</v>
      </c>
      <c r="I2097" t="b">
        <v>0</v>
      </c>
    </row>
    <row r="2098" spans="1:9" x14ac:dyDescent="0.2">
      <c r="A2098" t="s">
        <v>4974</v>
      </c>
      <c r="B2098" t="s">
        <v>3785</v>
      </c>
      <c r="D2098" t="b">
        <f>IFERROR(VLOOKUP(B2098,PatData!$A$2:$A$2030,1,),"")&lt;&gt;""</f>
        <v>0</v>
      </c>
      <c r="E2098" t="s">
        <v>4975</v>
      </c>
      <c r="F2098" t="b">
        <v>1</v>
      </c>
      <c r="G2098" t="b">
        <v>0</v>
      </c>
      <c r="H2098" t="b">
        <v>0</v>
      </c>
      <c r="I2098" t="b">
        <v>0</v>
      </c>
    </row>
    <row r="2099" spans="1:9" x14ac:dyDescent="0.2">
      <c r="A2099" t="s">
        <v>4976</v>
      </c>
      <c r="B2099" t="s">
        <v>3786</v>
      </c>
      <c r="D2099" t="b">
        <f>IFERROR(VLOOKUP(B2099,PatData!$A$2:$A$2030,1,),"")&lt;&gt;""</f>
        <v>0</v>
      </c>
      <c r="E2099" t="s">
        <v>4977</v>
      </c>
      <c r="F2099" t="b">
        <v>1</v>
      </c>
      <c r="G2099" t="b">
        <v>0</v>
      </c>
      <c r="H2099" t="b">
        <v>0</v>
      </c>
      <c r="I2099" t="b">
        <v>0</v>
      </c>
    </row>
    <row r="2100" spans="1:9" x14ac:dyDescent="0.2">
      <c r="A2100" t="s">
        <v>4978</v>
      </c>
      <c r="B2100" t="s">
        <v>3787</v>
      </c>
      <c r="D2100" t="b">
        <f>IFERROR(VLOOKUP(B2100,PatData!$A$2:$A$2030,1,),"")&lt;&gt;""</f>
        <v>0</v>
      </c>
      <c r="E2100" t="s">
        <v>4979</v>
      </c>
      <c r="F2100" t="b">
        <v>1</v>
      </c>
      <c r="G2100" t="b">
        <v>0</v>
      </c>
      <c r="H2100" t="b">
        <v>0</v>
      </c>
      <c r="I2100" t="b">
        <v>0</v>
      </c>
    </row>
    <row r="2101" spans="1:9" x14ac:dyDescent="0.2">
      <c r="A2101" t="s">
        <v>4980</v>
      </c>
      <c r="B2101" t="s">
        <v>3788</v>
      </c>
      <c r="D2101" t="b">
        <f>IFERROR(VLOOKUP(B2101,PatData!$A$2:$A$2030,1,),"")&lt;&gt;""</f>
        <v>0</v>
      </c>
      <c r="E2101" t="s">
        <v>4981</v>
      </c>
      <c r="F2101" t="b">
        <v>1</v>
      </c>
      <c r="G2101" t="b">
        <v>0</v>
      </c>
      <c r="H2101" t="b">
        <v>0</v>
      </c>
      <c r="I2101" t="b">
        <v>0</v>
      </c>
    </row>
    <row r="2102" spans="1:9" x14ac:dyDescent="0.2">
      <c r="A2102" t="s">
        <v>4982</v>
      </c>
      <c r="B2102" t="s">
        <v>3789</v>
      </c>
      <c r="D2102" t="b">
        <f>IFERROR(VLOOKUP(B2102,PatData!$A$2:$A$2030,1,),"")&lt;&gt;""</f>
        <v>0</v>
      </c>
      <c r="E2102" t="s">
        <v>4983</v>
      </c>
      <c r="F2102" t="b">
        <v>1</v>
      </c>
      <c r="G2102" t="b">
        <v>0</v>
      </c>
      <c r="H2102" t="b">
        <v>0</v>
      </c>
      <c r="I2102" t="b">
        <v>0</v>
      </c>
    </row>
    <row r="2103" spans="1:9" x14ac:dyDescent="0.2">
      <c r="A2103" t="s">
        <v>4984</v>
      </c>
      <c r="B2103" t="s">
        <v>3790</v>
      </c>
      <c r="D2103" t="b">
        <f>IFERROR(VLOOKUP(B2103,PatData!$A$2:$A$2030,1,),"")&lt;&gt;""</f>
        <v>0</v>
      </c>
      <c r="E2103" t="s">
        <v>4985</v>
      </c>
      <c r="F2103" t="b">
        <v>1</v>
      </c>
      <c r="G2103" t="b">
        <v>0</v>
      </c>
      <c r="H2103" t="b">
        <v>0</v>
      </c>
      <c r="I2103" t="b">
        <v>0</v>
      </c>
    </row>
    <row r="2104" spans="1:9" x14ac:dyDescent="0.2">
      <c r="A2104" t="s">
        <v>4986</v>
      </c>
      <c r="B2104" t="s">
        <v>3791</v>
      </c>
      <c r="D2104" t="b">
        <f>IFERROR(VLOOKUP(B2104,PatData!$A$2:$A$2030,1,),"")&lt;&gt;""</f>
        <v>0</v>
      </c>
      <c r="E2104" t="s">
        <v>4987</v>
      </c>
      <c r="F2104" t="b">
        <v>1</v>
      </c>
      <c r="G2104" t="b">
        <v>0</v>
      </c>
      <c r="H2104" t="b">
        <v>0</v>
      </c>
      <c r="I2104" t="b">
        <v>0</v>
      </c>
    </row>
    <row r="2105" spans="1:9" x14ac:dyDescent="0.2">
      <c r="A2105" t="s">
        <v>4988</v>
      </c>
      <c r="B2105" t="s">
        <v>3792</v>
      </c>
      <c r="D2105" t="b">
        <f>IFERROR(VLOOKUP(B2105,PatData!$A$2:$A$2030,1,),"")&lt;&gt;""</f>
        <v>0</v>
      </c>
      <c r="E2105" t="s">
        <v>4989</v>
      </c>
      <c r="F2105" t="b">
        <v>1</v>
      </c>
      <c r="G2105" t="b">
        <v>0</v>
      </c>
      <c r="H2105" t="b">
        <v>0</v>
      </c>
      <c r="I2105" t="b">
        <v>0</v>
      </c>
    </row>
    <row r="2106" spans="1:9" x14ac:dyDescent="0.2">
      <c r="A2106" t="s">
        <v>4990</v>
      </c>
      <c r="B2106" t="s">
        <v>3793</v>
      </c>
      <c r="D2106" t="b">
        <f>IFERROR(VLOOKUP(B2106,PatData!$A$2:$A$2030,1,),"")&lt;&gt;""</f>
        <v>0</v>
      </c>
      <c r="E2106" t="s">
        <v>4991</v>
      </c>
      <c r="F2106" t="b">
        <v>1</v>
      </c>
      <c r="G2106" t="b">
        <v>0</v>
      </c>
      <c r="H2106" t="b">
        <v>0</v>
      </c>
      <c r="I2106" t="b">
        <v>0</v>
      </c>
    </row>
    <row r="2107" spans="1:9" x14ac:dyDescent="0.2">
      <c r="A2107" t="s">
        <v>4992</v>
      </c>
      <c r="B2107" t="s">
        <v>3794</v>
      </c>
      <c r="D2107" t="b">
        <f>IFERROR(VLOOKUP(B2107,PatData!$A$2:$A$2030,1,),"")&lt;&gt;""</f>
        <v>0</v>
      </c>
      <c r="E2107" t="s">
        <v>4330</v>
      </c>
      <c r="F2107" t="b">
        <v>1</v>
      </c>
      <c r="G2107" t="b">
        <v>0</v>
      </c>
      <c r="H2107" t="b">
        <v>0</v>
      </c>
      <c r="I2107" t="b">
        <v>0</v>
      </c>
    </row>
    <row r="2108" spans="1:9" x14ac:dyDescent="0.2">
      <c r="A2108" t="s">
        <v>4993</v>
      </c>
      <c r="B2108" t="s">
        <v>3795</v>
      </c>
      <c r="D2108" t="b">
        <f>IFERROR(VLOOKUP(B2108,PatData!$A$2:$A$2030,1,),"")&lt;&gt;""</f>
        <v>0</v>
      </c>
      <c r="E2108" t="s">
        <v>4331</v>
      </c>
      <c r="F2108" t="b">
        <v>1</v>
      </c>
      <c r="G2108" t="b">
        <v>0</v>
      </c>
      <c r="H2108" t="b">
        <v>0</v>
      </c>
      <c r="I2108" t="b">
        <v>0</v>
      </c>
    </row>
    <row r="2109" spans="1:9" x14ac:dyDescent="0.2">
      <c r="A2109" t="s">
        <v>4994</v>
      </c>
      <c r="B2109" t="s">
        <v>4475</v>
      </c>
      <c r="D2109" t="b">
        <f>IFERROR(VLOOKUP(B2109,PatData!$A$2:$A$2030,1,),"")&lt;&gt;""</f>
        <v>0</v>
      </c>
      <c r="E2109" t="s">
        <v>4334</v>
      </c>
      <c r="F2109" t="b">
        <v>1</v>
      </c>
      <c r="G2109" t="b">
        <v>0</v>
      </c>
      <c r="H2109" t="b">
        <v>0</v>
      </c>
      <c r="I2109" t="b">
        <v>0</v>
      </c>
    </row>
    <row r="2110" spans="1:9" x14ac:dyDescent="0.2">
      <c r="A2110" t="s">
        <v>4995</v>
      </c>
      <c r="B2110" t="s">
        <v>4476</v>
      </c>
      <c r="D2110" t="b">
        <f>IFERROR(VLOOKUP(B2110,PatData!$A$2:$A$2030,1,),"")&lt;&gt;""</f>
        <v>0</v>
      </c>
      <c r="E2110" t="s">
        <v>7610</v>
      </c>
      <c r="F2110" t="b">
        <v>1</v>
      </c>
      <c r="G2110" t="b">
        <v>0</v>
      </c>
      <c r="H2110" t="b">
        <v>0</v>
      </c>
      <c r="I2110" t="b">
        <v>0</v>
      </c>
    </row>
    <row r="2111" spans="1:9" x14ac:dyDescent="0.2">
      <c r="A2111" t="s">
        <v>4996</v>
      </c>
      <c r="B2111" t="s">
        <v>4477</v>
      </c>
      <c r="D2111" t="b">
        <f>IFERROR(VLOOKUP(B2111,PatData!$A$2:$A$2030,1,),"")&lt;&gt;""</f>
        <v>0</v>
      </c>
      <c r="E2111" t="s">
        <v>4332</v>
      </c>
      <c r="F2111" t="b">
        <v>1</v>
      </c>
      <c r="G2111" t="b">
        <v>0</v>
      </c>
      <c r="H2111" t="b">
        <v>0</v>
      </c>
      <c r="I2111" t="b">
        <v>0</v>
      </c>
    </row>
    <row r="2112" spans="1:9" x14ac:dyDescent="0.2">
      <c r="A2112" t="s">
        <v>4997</v>
      </c>
      <c r="B2112" t="s">
        <v>4478</v>
      </c>
      <c r="D2112" t="b">
        <f>IFERROR(VLOOKUP(B2112,PatData!$A$2:$A$2030,1,),"")&lt;&gt;""</f>
        <v>0</v>
      </c>
      <c r="E2112" t="s">
        <v>4998</v>
      </c>
      <c r="F2112" t="b">
        <v>1</v>
      </c>
      <c r="G2112" t="b">
        <v>0</v>
      </c>
      <c r="H2112" t="b">
        <v>0</v>
      </c>
      <c r="I2112" t="b">
        <v>0</v>
      </c>
    </row>
    <row r="2113" spans="1:9" x14ac:dyDescent="0.2">
      <c r="A2113" t="s">
        <v>4999</v>
      </c>
      <c r="B2113" t="s">
        <v>4479</v>
      </c>
      <c r="D2113" t="b">
        <f>IFERROR(VLOOKUP(B2113,PatData!$A$2:$A$2030,1,),"")&lt;&gt;""</f>
        <v>0</v>
      </c>
      <c r="E2113" t="s">
        <v>5000</v>
      </c>
      <c r="F2113" t="b">
        <v>1</v>
      </c>
      <c r="G2113" t="b">
        <v>0</v>
      </c>
      <c r="H2113" t="b">
        <v>0</v>
      </c>
      <c r="I2113" t="b">
        <v>0</v>
      </c>
    </row>
    <row r="2114" spans="1:9" x14ac:dyDescent="0.2">
      <c r="A2114" t="s">
        <v>5001</v>
      </c>
      <c r="B2114" t="s">
        <v>4480</v>
      </c>
      <c r="D2114" t="b">
        <f>IFERROR(VLOOKUP(B2114,PatData!$A$2:$A$2030,1,),"")&lt;&gt;""</f>
        <v>0</v>
      </c>
      <c r="E2114" t="s">
        <v>5002</v>
      </c>
      <c r="F2114" t="b">
        <v>1</v>
      </c>
      <c r="G2114" t="b">
        <v>0</v>
      </c>
      <c r="H2114" t="b">
        <v>0</v>
      </c>
      <c r="I2114" t="b">
        <v>0</v>
      </c>
    </row>
    <row r="2115" spans="1:9" x14ac:dyDescent="0.2">
      <c r="A2115" t="s">
        <v>5003</v>
      </c>
      <c r="B2115" t="s">
        <v>4481</v>
      </c>
      <c r="D2115" t="b">
        <f>IFERROR(VLOOKUP(B2115,PatData!$A$2:$A$2030,1,),"")&lt;&gt;""</f>
        <v>0</v>
      </c>
      <c r="E2115" t="s">
        <v>5004</v>
      </c>
      <c r="F2115" t="b">
        <v>1</v>
      </c>
      <c r="G2115" t="b">
        <v>0</v>
      </c>
      <c r="H2115" t="b">
        <v>0</v>
      </c>
      <c r="I2115" t="b">
        <v>0</v>
      </c>
    </row>
    <row r="2116" spans="1:9" x14ac:dyDescent="0.2">
      <c r="A2116" t="s">
        <v>5005</v>
      </c>
      <c r="B2116" t="s">
        <v>4482</v>
      </c>
      <c r="D2116" t="b">
        <f>IFERROR(VLOOKUP(B2116,PatData!$A$2:$A$2030,1,),"")&lt;&gt;""</f>
        <v>0</v>
      </c>
      <c r="E2116" t="s">
        <v>5006</v>
      </c>
      <c r="F2116" t="b">
        <v>1</v>
      </c>
      <c r="G2116" t="b">
        <v>0</v>
      </c>
      <c r="H2116" t="b">
        <v>0</v>
      </c>
      <c r="I2116" t="b">
        <v>0</v>
      </c>
    </row>
    <row r="2117" spans="1:9" x14ac:dyDescent="0.2">
      <c r="A2117" t="s">
        <v>5007</v>
      </c>
      <c r="B2117" t="s">
        <v>4483</v>
      </c>
      <c r="D2117" t="b">
        <f>IFERROR(VLOOKUP(B2117,PatData!$A$2:$A$2030,1,),"")&lt;&gt;""</f>
        <v>0</v>
      </c>
      <c r="E2117" t="s">
        <v>5008</v>
      </c>
      <c r="F2117" t="b">
        <v>1</v>
      </c>
      <c r="G2117" t="b">
        <v>0</v>
      </c>
      <c r="H2117" t="b">
        <v>0</v>
      </c>
      <c r="I2117" t="b">
        <v>0</v>
      </c>
    </row>
    <row r="2118" spans="1:9" x14ac:dyDescent="0.2">
      <c r="A2118" t="s">
        <v>5009</v>
      </c>
      <c r="B2118" t="s">
        <v>4473</v>
      </c>
      <c r="D2118" t="b">
        <f>IFERROR(VLOOKUP(B2118,PatData!$A$2:$A$2030,1,),"")&lt;&gt;""</f>
        <v>0</v>
      </c>
      <c r="E2118" t="s">
        <v>5010</v>
      </c>
      <c r="F2118" t="b">
        <v>1</v>
      </c>
      <c r="G2118" t="b">
        <v>0</v>
      </c>
      <c r="H2118" t="b">
        <v>0</v>
      </c>
      <c r="I2118" t="b">
        <v>0</v>
      </c>
    </row>
    <row r="2119" spans="1:9" x14ac:dyDescent="0.2">
      <c r="A2119" t="s">
        <v>5011</v>
      </c>
      <c r="B2119" t="s">
        <v>4474</v>
      </c>
      <c r="D2119" t="b">
        <f>IFERROR(VLOOKUP(B2119,PatData!$A$2:$A$2030,1,),"")&lt;&gt;""</f>
        <v>0</v>
      </c>
      <c r="E2119" t="s">
        <v>5012</v>
      </c>
      <c r="F2119" t="b">
        <v>1</v>
      </c>
      <c r="G2119" t="b">
        <v>0</v>
      </c>
      <c r="H2119" t="b">
        <v>0</v>
      </c>
      <c r="I2119" t="b">
        <v>0</v>
      </c>
    </row>
    <row r="2120" spans="1:9" x14ac:dyDescent="0.2">
      <c r="A2120" t="s">
        <v>5013</v>
      </c>
      <c r="B2120" t="s">
        <v>4484</v>
      </c>
      <c r="D2120" t="b">
        <f>IFERROR(VLOOKUP(B2120,PatData!$A$2:$A$2030,1,),"")&lt;&gt;""</f>
        <v>0</v>
      </c>
      <c r="E2120" t="s">
        <v>5014</v>
      </c>
      <c r="F2120" t="b">
        <v>1</v>
      </c>
      <c r="G2120" t="b">
        <v>0</v>
      </c>
      <c r="H2120" t="b">
        <v>0</v>
      </c>
      <c r="I2120" t="b">
        <v>0</v>
      </c>
    </row>
    <row r="2121" spans="1:9" x14ac:dyDescent="0.2">
      <c r="A2121" t="s">
        <v>5015</v>
      </c>
      <c r="B2121" t="s">
        <v>4485</v>
      </c>
      <c r="D2121" t="b">
        <f>IFERROR(VLOOKUP(B2121,PatData!$A$2:$A$2030,1,),"")&lt;&gt;""</f>
        <v>0</v>
      </c>
      <c r="E2121" t="s">
        <v>5016</v>
      </c>
      <c r="F2121" t="b">
        <v>1</v>
      </c>
      <c r="G2121" t="b">
        <v>0</v>
      </c>
      <c r="H2121" t="b">
        <v>0</v>
      </c>
      <c r="I2121" t="b">
        <v>0</v>
      </c>
    </row>
    <row r="2122" spans="1:9" x14ac:dyDescent="0.2">
      <c r="A2122" t="s">
        <v>5017</v>
      </c>
      <c r="B2122" t="s">
        <v>3796</v>
      </c>
      <c r="D2122" t="b">
        <f>IFERROR(VLOOKUP(B2122,PatData!$A$2:$A$2030,1,),"")&lt;&gt;""</f>
        <v>0</v>
      </c>
      <c r="E2122" t="s">
        <v>5018</v>
      </c>
      <c r="F2122" t="b">
        <v>1</v>
      </c>
      <c r="G2122" t="b">
        <v>0</v>
      </c>
      <c r="H2122" t="b">
        <v>0</v>
      </c>
      <c r="I2122" t="b">
        <v>0</v>
      </c>
    </row>
    <row r="2123" spans="1:9" x14ac:dyDescent="0.2">
      <c r="A2123" t="s">
        <v>5019</v>
      </c>
      <c r="B2123" t="s">
        <v>3797</v>
      </c>
      <c r="D2123" t="b">
        <f>IFERROR(VLOOKUP(B2123,PatData!$A$2:$A$2030,1,),"")&lt;&gt;""</f>
        <v>0</v>
      </c>
      <c r="E2123" t="s">
        <v>5020</v>
      </c>
      <c r="F2123" t="b">
        <v>1</v>
      </c>
      <c r="G2123" t="b">
        <v>0</v>
      </c>
      <c r="H2123" t="b">
        <v>0</v>
      </c>
      <c r="I2123" t="b">
        <v>0</v>
      </c>
    </row>
    <row r="2124" spans="1:9" x14ac:dyDescent="0.2">
      <c r="A2124" t="s">
        <v>5021</v>
      </c>
      <c r="B2124" t="s">
        <v>3798</v>
      </c>
      <c r="D2124" t="b">
        <f>IFERROR(VLOOKUP(B2124,PatData!$A$2:$A$2030,1,),"")&lt;&gt;""</f>
        <v>0</v>
      </c>
      <c r="E2124" t="s">
        <v>5022</v>
      </c>
      <c r="F2124" t="b">
        <v>1</v>
      </c>
      <c r="G2124" t="b">
        <v>0</v>
      </c>
      <c r="H2124" t="b">
        <v>0</v>
      </c>
      <c r="I2124" t="b">
        <v>0</v>
      </c>
    </row>
    <row r="2125" spans="1:9" x14ac:dyDescent="0.2">
      <c r="A2125" t="s">
        <v>5023</v>
      </c>
      <c r="B2125" t="s">
        <v>3799</v>
      </c>
      <c r="D2125" t="b">
        <f>IFERROR(VLOOKUP(B2125,PatData!$A$2:$A$2030,1,),"")&lt;&gt;""</f>
        <v>0</v>
      </c>
      <c r="E2125" t="s">
        <v>5024</v>
      </c>
      <c r="F2125" t="b">
        <v>1</v>
      </c>
      <c r="G2125" t="b">
        <v>0</v>
      </c>
      <c r="H2125" t="b">
        <v>0</v>
      </c>
      <c r="I2125" t="b">
        <v>0</v>
      </c>
    </row>
    <row r="2126" spans="1:9" x14ac:dyDescent="0.2">
      <c r="A2126" t="s">
        <v>5025</v>
      </c>
      <c r="B2126" t="s">
        <v>3800</v>
      </c>
      <c r="D2126" t="b">
        <f>IFERROR(VLOOKUP(B2126,PatData!$A$2:$A$2030,1,),"")&lt;&gt;""</f>
        <v>0</v>
      </c>
      <c r="E2126" t="s">
        <v>5026</v>
      </c>
      <c r="F2126" t="b">
        <v>1</v>
      </c>
      <c r="G2126" t="b">
        <v>0</v>
      </c>
      <c r="H2126" t="b">
        <v>0</v>
      </c>
      <c r="I2126" t="b">
        <v>0</v>
      </c>
    </row>
    <row r="2127" spans="1:9" x14ac:dyDescent="0.2">
      <c r="A2127" t="s">
        <v>5027</v>
      </c>
      <c r="B2127" t="s">
        <v>3801</v>
      </c>
      <c r="D2127" t="b">
        <f>IFERROR(VLOOKUP(B2127,PatData!$A$2:$A$2030,1,),"")&lt;&gt;""</f>
        <v>0</v>
      </c>
      <c r="E2127" t="s">
        <v>5028</v>
      </c>
      <c r="F2127" t="b">
        <v>1</v>
      </c>
      <c r="G2127" t="b">
        <v>0</v>
      </c>
      <c r="H2127" t="b">
        <v>0</v>
      </c>
      <c r="I2127" t="b">
        <v>0</v>
      </c>
    </row>
    <row r="2128" spans="1:9" x14ac:dyDescent="0.2">
      <c r="A2128" t="s">
        <v>5029</v>
      </c>
      <c r="B2128" t="s">
        <v>3802</v>
      </c>
      <c r="D2128" t="b">
        <f>IFERROR(VLOOKUP(B2128,PatData!$A$2:$A$2030,1,),"")&lt;&gt;""</f>
        <v>0</v>
      </c>
      <c r="E2128" t="s">
        <v>5030</v>
      </c>
      <c r="F2128" t="b">
        <v>1</v>
      </c>
      <c r="G2128" t="b">
        <v>0</v>
      </c>
      <c r="H2128" t="b">
        <v>0</v>
      </c>
      <c r="I2128" t="b">
        <v>0</v>
      </c>
    </row>
    <row r="2129" spans="1:9" x14ac:dyDescent="0.2">
      <c r="A2129" t="s">
        <v>5031</v>
      </c>
      <c r="B2129" t="s">
        <v>3803</v>
      </c>
      <c r="D2129" t="b">
        <f>IFERROR(VLOOKUP(B2129,PatData!$A$2:$A$2030,1,),"")&lt;&gt;""</f>
        <v>0</v>
      </c>
      <c r="E2129" t="s">
        <v>5032</v>
      </c>
      <c r="F2129" t="b">
        <v>1</v>
      </c>
      <c r="G2129" t="b">
        <v>0</v>
      </c>
      <c r="H2129" t="b">
        <v>0</v>
      </c>
      <c r="I2129" t="b">
        <v>0</v>
      </c>
    </row>
    <row r="2130" spans="1:9" x14ac:dyDescent="0.2">
      <c r="A2130" t="s">
        <v>5033</v>
      </c>
      <c r="B2130" t="s">
        <v>3804</v>
      </c>
      <c r="D2130" t="b">
        <f>IFERROR(VLOOKUP(B2130,PatData!$A$2:$A$2030,1,),"")&lt;&gt;""</f>
        <v>0</v>
      </c>
      <c r="E2130" t="s">
        <v>5034</v>
      </c>
      <c r="F2130" t="b">
        <v>1</v>
      </c>
      <c r="G2130" t="b">
        <v>0</v>
      </c>
      <c r="H2130" t="b">
        <v>0</v>
      </c>
      <c r="I2130" t="b">
        <v>0</v>
      </c>
    </row>
    <row r="2131" spans="1:9" x14ac:dyDescent="0.2">
      <c r="A2131" t="s">
        <v>5035</v>
      </c>
      <c r="B2131" t="s">
        <v>3805</v>
      </c>
      <c r="D2131" t="b">
        <f>IFERROR(VLOOKUP(B2131,PatData!$A$2:$A$2030,1,),"")&lt;&gt;""</f>
        <v>0</v>
      </c>
      <c r="E2131" t="s">
        <v>5036</v>
      </c>
      <c r="F2131" t="b">
        <v>1</v>
      </c>
      <c r="G2131" t="b">
        <v>0</v>
      </c>
      <c r="H2131" t="b">
        <v>0</v>
      </c>
      <c r="I2131" t="b">
        <v>0</v>
      </c>
    </row>
    <row r="2132" spans="1:9" x14ac:dyDescent="0.2">
      <c r="A2132" t="s">
        <v>3710</v>
      </c>
      <c r="B2132" t="s">
        <v>3746</v>
      </c>
      <c r="D2132" t="b">
        <f>IFERROR(VLOOKUP(B2132,PatData!$A$2:$A$2030,1,),"")&lt;&gt;""</f>
        <v>0</v>
      </c>
      <c r="E2132" t="s">
        <v>4335</v>
      </c>
      <c r="F2132" t="b">
        <v>1</v>
      </c>
      <c r="G2132" t="b">
        <v>0</v>
      </c>
      <c r="H2132" t="b">
        <v>0</v>
      </c>
      <c r="I2132" t="b">
        <v>0</v>
      </c>
    </row>
    <row r="2133" spans="1:9" x14ac:dyDescent="0.2">
      <c r="A2133" t="s">
        <v>3711</v>
      </c>
      <c r="B2133" t="s">
        <v>3747</v>
      </c>
      <c r="D2133" t="b">
        <f>IFERROR(VLOOKUP(B2133,PatData!$A$2:$A$2030,1,),"")&lt;&gt;""</f>
        <v>0</v>
      </c>
      <c r="E2133" t="s">
        <v>4336</v>
      </c>
      <c r="F2133" t="b">
        <v>1</v>
      </c>
      <c r="G2133" t="b">
        <v>0</v>
      </c>
      <c r="H2133" t="b">
        <v>0</v>
      </c>
      <c r="I2133" t="b">
        <v>0</v>
      </c>
    </row>
    <row r="2134" spans="1:9" x14ac:dyDescent="0.2">
      <c r="A2134" t="s">
        <v>3712</v>
      </c>
      <c r="B2134" t="s">
        <v>3748</v>
      </c>
      <c r="D2134" t="b">
        <f>IFERROR(VLOOKUP(B2134,PatData!$A$2:$A$2030,1,),"")&lt;&gt;""</f>
        <v>0</v>
      </c>
      <c r="E2134" t="s">
        <v>2801</v>
      </c>
      <c r="F2134" t="b">
        <v>1</v>
      </c>
      <c r="G2134" t="b">
        <v>0</v>
      </c>
      <c r="H2134" t="b">
        <v>0</v>
      </c>
      <c r="I2134" t="b">
        <v>0</v>
      </c>
    </row>
    <row r="2135" spans="1:9" x14ac:dyDescent="0.2">
      <c r="A2135" t="s">
        <v>3713</v>
      </c>
      <c r="B2135" t="s">
        <v>3749</v>
      </c>
      <c r="D2135" t="b">
        <f>IFERROR(VLOOKUP(B2135,PatData!$A$2:$A$2030,1,),"")&lt;&gt;""</f>
        <v>0</v>
      </c>
      <c r="E2135" t="s">
        <v>4337</v>
      </c>
      <c r="F2135" t="b">
        <v>1</v>
      </c>
      <c r="G2135" t="b">
        <v>0</v>
      </c>
      <c r="H2135" t="b">
        <v>0</v>
      </c>
      <c r="I2135" t="b">
        <v>0</v>
      </c>
    </row>
    <row r="2136" spans="1:9" x14ac:dyDescent="0.2">
      <c r="A2136" t="s">
        <v>3714</v>
      </c>
      <c r="B2136" t="s">
        <v>3750</v>
      </c>
      <c r="D2136" t="b">
        <f>IFERROR(VLOOKUP(B2136,PatData!$A$2:$A$2030,1,),"")&lt;&gt;""</f>
        <v>0</v>
      </c>
      <c r="E2136" t="s">
        <v>7069</v>
      </c>
      <c r="F2136" t="b">
        <v>1</v>
      </c>
      <c r="G2136" t="b">
        <v>0</v>
      </c>
      <c r="H2136" t="b">
        <v>0</v>
      </c>
      <c r="I2136" t="b">
        <v>0</v>
      </c>
    </row>
    <row r="2137" spans="1:9" x14ac:dyDescent="0.2">
      <c r="A2137" t="s">
        <v>3715</v>
      </c>
      <c r="B2137" t="s">
        <v>3751</v>
      </c>
      <c r="D2137" t="b">
        <f>IFERROR(VLOOKUP(B2137,PatData!$A$2:$A$2030,1,),"")&lt;&gt;""</f>
        <v>0</v>
      </c>
      <c r="E2137" t="s">
        <v>7070</v>
      </c>
      <c r="F2137" t="b">
        <v>1</v>
      </c>
      <c r="G2137" t="b">
        <v>0</v>
      </c>
      <c r="H2137" t="b">
        <v>0</v>
      </c>
      <c r="I2137" t="b">
        <v>0</v>
      </c>
    </row>
    <row r="2138" spans="1:9" x14ac:dyDescent="0.2">
      <c r="A2138" t="s">
        <v>3716</v>
      </c>
      <c r="B2138" t="s">
        <v>3752</v>
      </c>
      <c r="D2138" t="b">
        <f>IFERROR(VLOOKUP(B2138,PatData!$A$2:$A$2030,1,),"")&lt;&gt;""</f>
        <v>0</v>
      </c>
      <c r="E2138" t="s">
        <v>326</v>
      </c>
      <c r="F2138" t="b">
        <v>0</v>
      </c>
      <c r="G2138" t="b">
        <v>0</v>
      </c>
      <c r="H2138" t="b">
        <v>0</v>
      </c>
      <c r="I2138" t="b">
        <v>0</v>
      </c>
    </row>
    <row r="2139" spans="1:9" x14ac:dyDescent="0.2">
      <c r="A2139" t="s">
        <v>3717</v>
      </c>
      <c r="B2139" t="s">
        <v>3753</v>
      </c>
      <c r="D2139" t="b">
        <f>IFERROR(VLOOKUP(B2139,PatData!$A$2:$A$2030,1,),"")&lt;&gt;""</f>
        <v>0</v>
      </c>
      <c r="E2139" t="s">
        <v>7071</v>
      </c>
      <c r="F2139" t="b">
        <v>1</v>
      </c>
      <c r="G2139" t="b">
        <v>0</v>
      </c>
      <c r="H2139" t="b">
        <v>0</v>
      </c>
      <c r="I2139" t="b">
        <v>0</v>
      </c>
    </row>
    <row r="2140" spans="1:9" x14ac:dyDescent="0.2">
      <c r="A2140" t="s">
        <v>3718</v>
      </c>
      <c r="B2140" t="s">
        <v>3754</v>
      </c>
      <c r="D2140" t="b">
        <f>IFERROR(VLOOKUP(B2140,PatData!$A$2:$A$2030,1,),"")&lt;&gt;""</f>
        <v>0</v>
      </c>
      <c r="E2140" t="s">
        <v>7072</v>
      </c>
      <c r="F2140" t="b">
        <v>1</v>
      </c>
      <c r="G2140" t="b">
        <v>0</v>
      </c>
      <c r="H2140" t="b">
        <v>0</v>
      </c>
      <c r="I2140" t="b">
        <v>0</v>
      </c>
    </row>
    <row r="2141" spans="1:9" x14ac:dyDescent="0.2">
      <c r="A2141" t="s">
        <v>3719</v>
      </c>
      <c r="B2141" t="s">
        <v>3755</v>
      </c>
      <c r="D2141" t="b">
        <f>IFERROR(VLOOKUP(B2141,PatData!$A$2:$A$2030,1,),"")&lt;&gt;""</f>
        <v>0</v>
      </c>
      <c r="E2141" t="s">
        <v>4338</v>
      </c>
      <c r="F2141" t="b">
        <v>1</v>
      </c>
      <c r="G2141" t="b">
        <v>0</v>
      </c>
      <c r="H2141" t="b">
        <v>0</v>
      </c>
      <c r="I2141" t="b">
        <v>0</v>
      </c>
    </row>
    <row r="2142" spans="1:9" x14ac:dyDescent="0.2">
      <c r="A2142" t="s">
        <v>3720</v>
      </c>
      <c r="B2142" t="s">
        <v>3756</v>
      </c>
      <c r="D2142" t="b">
        <f>IFERROR(VLOOKUP(B2142,PatData!$A$2:$A$2030,1,),"")&lt;&gt;""</f>
        <v>0</v>
      </c>
      <c r="E2142" t="s">
        <v>7073</v>
      </c>
      <c r="F2142" t="b">
        <v>1</v>
      </c>
      <c r="G2142" t="b">
        <v>0</v>
      </c>
      <c r="H2142" t="b">
        <v>0</v>
      </c>
      <c r="I2142" t="b">
        <v>0</v>
      </c>
    </row>
    <row r="2143" spans="1:9" x14ac:dyDescent="0.2">
      <c r="A2143" t="s">
        <v>3721</v>
      </c>
      <c r="B2143" t="s">
        <v>3757</v>
      </c>
      <c r="D2143" t="b">
        <f>IFERROR(VLOOKUP(B2143,PatData!$A$2:$A$2030,1,),"")&lt;&gt;""</f>
        <v>0</v>
      </c>
      <c r="E2143" t="s">
        <v>7074</v>
      </c>
      <c r="F2143" t="b">
        <v>1</v>
      </c>
      <c r="G2143" t="b">
        <v>0</v>
      </c>
      <c r="H2143" t="b">
        <v>0</v>
      </c>
      <c r="I2143" t="b">
        <v>0</v>
      </c>
    </row>
    <row r="2144" spans="1:9" x14ac:dyDescent="0.2">
      <c r="A2144" t="s">
        <v>3722</v>
      </c>
      <c r="B2144" t="s">
        <v>3758</v>
      </c>
      <c r="D2144" t="b">
        <f>IFERROR(VLOOKUP(B2144,PatData!$A$2:$A$2030,1,),"")&lt;&gt;""</f>
        <v>0</v>
      </c>
      <c r="E2144" t="s">
        <v>402</v>
      </c>
      <c r="F2144" t="b">
        <v>0</v>
      </c>
      <c r="G2144" t="b">
        <v>0</v>
      </c>
      <c r="H2144" t="b">
        <v>0</v>
      </c>
      <c r="I2144" t="b">
        <v>0</v>
      </c>
    </row>
    <row r="2145" spans="1:9" x14ac:dyDescent="0.2">
      <c r="A2145" t="s">
        <v>3723</v>
      </c>
      <c r="B2145" t="s">
        <v>3759</v>
      </c>
      <c r="D2145" t="b">
        <f>IFERROR(VLOOKUP(B2145,PatData!$A$2:$A$2030,1,),"")&lt;&gt;""</f>
        <v>0</v>
      </c>
      <c r="E2145" t="s">
        <v>7075</v>
      </c>
      <c r="F2145" t="b">
        <v>1</v>
      </c>
      <c r="G2145" t="b">
        <v>0</v>
      </c>
      <c r="H2145" t="b">
        <v>0</v>
      </c>
      <c r="I2145" t="b">
        <v>0</v>
      </c>
    </row>
    <row r="2146" spans="1:9" x14ac:dyDescent="0.2">
      <c r="A2146" t="s">
        <v>3724</v>
      </c>
      <c r="B2146" t="s">
        <v>3760</v>
      </c>
      <c r="D2146" t="b">
        <f>IFERROR(VLOOKUP(B2146,PatData!$A$2:$A$2030,1,),"")&lt;&gt;""</f>
        <v>0</v>
      </c>
      <c r="E2146" t="s">
        <v>7076</v>
      </c>
      <c r="F2146" t="b">
        <v>1</v>
      </c>
      <c r="G2146" t="b">
        <v>0</v>
      </c>
      <c r="H2146" t="b">
        <v>0</v>
      </c>
      <c r="I2146" t="b">
        <v>0</v>
      </c>
    </row>
    <row r="2147" spans="1:9" x14ac:dyDescent="0.2">
      <c r="A2147" t="s">
        <v>3725</v>
      </c>
      <c r="B2147" t="s">
        <v>3761</v>
      </c>
      <c r="D2147" t="b">
        <f>IFERROR(VLOOKUP(B2147,PatData!$A$2:$A$2030,1,),"")&lt;&gt;""</f>
        <v>0</v>
      </c>
      <c r="E2147" t="s">
        <v>327</v>
      </c>
      <c r="F2147" t="b">
        <v>0</v>
      </c>
      <c r="G2147" t="b">
        <v>0</v>
      </c>
      <c r="H2147" t="b">
        <v>0</v>
      </c>
      <c r="I2147" t="b">
        <v>0</v>
      </c>
    </row>
    <row r="2148" spans="1:9" x14ac:dyDescent="0.2">
      <c r="A2148" t="s">
        <v>3726</v>
      </c>
      <c r="B2148" t="s">
        <v>3762</v>
      </c>
      <c r="D2148" t="b">
        <f>IFERROR(VLOOKUP(B2148,PatData!$A$2:$A$2030,1,),"")&lt;&gt;""</f>
        <v>0</v>
      </c>
      <c r="E2148" t="s">
        <v>7077</v>
      </c>
      <c r="F2148" t="b">
        <v>1</v>
      </c>
      <c r="G2148" t="b">
        <v>0</v>
      </c>
      <c r="H2148" t="b">
        <v>0</v>
      </c>
      <c r="I2148" t="b">
        <v>0</v>
      </c>
    </row>
    <row r="2149" spans="1:9" x14ac:dyDescent="0.2">
      <c r="A2149" t="s">
        <v>3727</v>
      </c>
      <c r="B2149" t="s">
        <v>3763</v>
      </c>
      <c r="D2149" t="b">
        <f>IFERROR(VLOOKUP(B2149,PatData!$A$2:$A$2030,1,),"")&lt;&gt;""</f>
        <v>0</v>
      </c>
      <c r="E2149" t="s">
        <v>7078</v>
      </c>
      <c r="F2149" t="b">
        <v>1</v>
      </c>
      <c r="G2149" t="b">
        <v>0</v>
      </c>
      <c r="H2149" t="b">
        <v>0</v>
      </c>
      <c r="I2149" t="b">
        <v>0</v>
      </c>
    </row>
    <row r="2150" spans="1:9" x14ac:dyDescent="0.2">
      <c r="A2150" t="s">
        <v>3728</v>
      </c>
      <c r="B2150" t="s">
        <v>3764</v>
      </c>
      <c r="D2150" t="b">
        <f>IFERROR(VLOOKUP(B2150,PatData!$A$2:$A$2030,1,),"")&lt;&gt;""</f>
        <v>0</v>
      </c>
      <c r="E2150" t="s">
        <v>7889</v>
      </c>
      <c r="F2150" t="b">
        <v>0</v>
      </c>
      <c r="G2150" t="b">
        <v>0</v>
      </c>
      <c r="H2150" t="b">
        <v>0</v>
      </c>
      <c r="I2150" t="b">
        <v>0</v>
      </c>
    </row>
    <row r="2151" spans="1:9" x14ac:dyDescent="0.2">
      <c r="A2151" t="s">
        <v>3729</v>
      </c>
      <c r="B2151" t="s">
        <v>3765</v>
      </c>
      <c r="D2151" t="b">
        <f>IFERROR(VLOOKUP(B2151,PatData!$A$2:$A$2030,1,),"")&lt;&gt;""</f>
        <v>0</v>
      </c>
      <c r="E2151" t="s">
        <v>7079</v>
      </c>
      <c r="F2151" t="b">
        <v>1</v>
      </c>
      <c r="G2151" t="b">
        <v>0</v>
      </c>
      <c r="H2151" t="b">
        <v>0</v>
      </c>
      <c r="I2151" t="b">
        <v>0</v>
      </c>
    </row>
    <row r="2152" spans="1:9" x14ac:dyDescent="0.2">
      <c r="A2152" t="s">
        <v>3730</v>
      </c>
      <c r="B2152" t="s">
        <v>3766</v>
      </c>
      <c r="D2152" t="b">
        <f>IFERROR(VLOOKUP(B2152,PatData!$A$2:$A$2030,1,),"")&lt;&gt;""</f>
        <v>0</v>
      </c>
      <c r="E2152" t="s">
        <v>7080</v>
      </c>
      <c r="F2152" t="b">
        <v>1</v>
      </c>
      <c r="G2152" t="b">
        <v>0</v>
      </c>
      <c r="H2152" t="b">
        <v>0</v>
      </c>
      <c r="I2152" t="b">
        <v>0</v>
      </c>
    </row>
    <row r="2153" spans="1:9" x14ac:dyDescent="0.2">
      <c r="A2153" t="s">
        <v>3731</v>
      </c>
      <c r="B2153" t="s">
        <v>3767</v>
      </c>
      <c r="D2153" t="b">
        <f>IFERROR(VLOOKUP(B2153,PatData!$A$2:$A$2030,1,),"")&lt;&gt;""</f>
        <v>0</v>
      </c>
      <c r="E2153" t="s">
        <v>404</v>
      </c>
      <c r="F2153" t="b">
        <v>0</v>
      </c>
      <c r="G2153" t="b">
        <v>0</v>
      </c>
      <c r="H2153" t="b">
        <v>0</v>
      </c>
      <c r="I2153" t="b">
        <v>0</v>
      </c>
    </row>
    <row r="2154" spans="1:9" x14ac:dyDescent="0.2">
      <c r="A2154" t="s">
        <v>3732</v>
      </c>
      <c r="B2154" t="s">
        <v>3768</v>
      </c>
      <c r="D2154" t="b">
        <f>IFERROR(VLOOKUP(B2154,PatData!$A$2:$A$2030,1,),"")&lt;&gt;""</f>
        <v>0</v>
      </c>
      <c r="E2154" t="s">
        <v>7081</v>
      </c>
      <c r="F2154" t="b">
        <v>1</v>
      </c>
      <c r="G2154" t="b">
        <v>0</v>
      </c>
      <c r="H2154" t="b">
        <v>0</v>
      </c>
      <c r="I2154" t="b">
        <v>0</v>
      </c>
    </row>
    <row r="2155" spans="1:9" x14ac:dyDescent="0.2">
      <c r="A2155" t="s">
        <v>3733</v>
      </c>
      <c r="B2155" t="s">
        <v>3769</v>
      </c>
      <c r="D2155" t="b">
        <f>IFERROR(VLOOKUP(B2155,PatData!$A$2:$A$2030,1,),"")&lt;&gt;""</f>
        <v>0</v>
      </c>
      <c r="E2155" t="s">
        <v>7082</v>
      </c>
      <c r="F2155" t="b">
        <v>1</v>
      </c>
      <c r="G2155" t="b">
        <v>0</v>
      </c>
      <c r="H2155" t="b">
        <v>0</v>
      </c>
      <c r="I2155" t="b">
        <v>0</v>
      </c>
    </row>
    <row r="2156" spans="1:9" x14ac:dyDescent="0.2">
      <c r="A2156" t="s">
        <v>3734</v>
      </c>
      <c r="B2156" t="s">
        <v>3770</v>
      </c>
      <c r="D2156" t="b">
        <f>IFERROR(VLOOKUP(B2156,PatData!$A$2:$A$2030,1,),"")&lt;&gt;""</f>
        <v>0</v>
      </c>
      <c r="E2156" t="s">
        <v>403</v>
      </c>
      <c r="F2156" t="b">
        <v>0</v>
      </c>
      <c r="G2156" t="b">
        <v>0</v>
      </c>
      <c r="H2156" t="b">
        <v>0</v>
      </c>
      <c r="I2156" t="b">
        <v>0</v>
      </c>
    </row>
    <row r="2157" spans="1:9" x14ac:dyDescent="0.2">
      <c r="A2157" t="s">
        <v>3735</v>
      </c>
      <c r="B2157" t="s">
        <v>3771</v>
      </c>
      <c r="D2157" t="b">
        <f>IFERROR(VLOOKUP(B2157,PatData!$A$2:$A$2030,1,),"")&lt;&gt;""</f>
        <v>0</v>
      </c>
      <c r="E2157" t="s">
        <v>7083</v>
      </c>
      <c r="F2157" t="b">
        <v>1</v>
      </c>
      <c r="G2157" t="b">
        <v>0</v>
      </c>
      <c r="H2157" t="b">
        <v>0</v>
      </c>
      <c r="I2157" t="b">
        <v>0</v>
      </c>
    </row>
    <row r="2158" spans="1:9" x14ac:dyDescent="0.2">
      <c r="A2158" t="s">
        <v>3736</v>
      </c>
      <c r="B2158" t="s">
        <v>3772</v>
      </c>
      <c r="D2158" t="b">
        <f>IFERROR(VLOOKUP(B2158,PatData!$A$2:$A$2030,1,),"")&lt;&gt;""</f>
        <v>0</v>
      </c>
      <c r="E2158" t="s">
        <v>7084</v>
      </c>
      <c r="F2158" t="b">
        <v>1</v>
      </c>
      <c r="G2158" t="b">
        <v>0</v>
      </c>
      <c r="H2158" t="b">
        <v>0</v>
      </c>
      <c r="I2158" t="b">
        <v>0</v>
      </c>
    </row>
    <row r="2159" spans="1:9" x14ac:dyDescent="0.2">
      <c r="A2159" t="s">
        <v>3737</v>
      </c>
      <c r="B2159" t="s">
        <v>3773</v>
      </c>
      <c r="D2159" t="b">
        <f>IFERROR(VLOOKUP(B2159,PatData!$A$2:$A$2030,1,),"")&lt;&gt;""</f>
        <v>0</v>
      </c>
      <c r="E2159" t="s">
        <v>256</v>
      </c>
      <c r="F2159" t="b">
        <v>0</v>
      </c>
      <c r="G2159" t="b">
        <v>0</v>
      </c>
      <c r="H2159" t="b">
        <v>0</v>
      </c>
      <c r="I2159" t="b">
        <v>0</v>
      </c>
    </row>
    <row r="2160" spans="1:9" x14ac:dyDescent="0.2">
      <c r="A2160" t="s">
        <v>3738</v>
      </c>
      <c r="B2160" t="s">
        <v>3774</v>
      </c>
      <c r="D2160" t="b">
        <f>IFERROR(VLOOKUP(B2160,PatData!$A$2:$A$2030,1,),"")&lt;&gt;""</f>
        <v>0</v>
      </c>
      <c r="E2160" t="s">
        <v>7085</v>
      </c>
      <c r="F2160" t="b">
        <v>1</v>
      </c>
      <c r="G2160" t="b">
        <v>0</v>
      </c>
      <c r="H2160" t="b">
        <v>0</v>
      </c>
      <c r="I2160" t="b">
        <v>0</v>
      </c>
    </row>
    <row r="2161" spans="1:9" x14ac:dyDescent="0.2">
      <c r="A2161" t="s">
        <v>3739</v>
      </c>
      <c r="B2161" t="s">
        <v>3775</v>
      </c>
      <c r="D2161" t="b">
        <f>IFERROR(VLOOKUP(B2161,PatData!$A$2:$A$2030,1,),"")&lt;&gt;""</f>
        <v>0</v>
      </c>
      <c r="E2161" t="s">
        <v>7086</v>
      </c>
      <c r="F2161" t="b">
        <v>1</v>
      </c>
      <c r="G2161" t="b">
        <v>0</v>
      </c>
      <c r="H2161" t="b">
        <v>0</v>
      </c>
      <c r="I2161" t="b">
        <v>0</v>
      </c>
    </row>
    <row r="2162" spans="1:9" x14ac:dyDescent="0.2">
      <c r="A2162" t="s">
        <v>3740</v>
      </c>
      <c r="B2162" t="s">
        <v>3776</v>
      </c>
      <c r="D2162" t="b">
        <f>IFERROR(VLOOKUP(B2162,PatData!$A$2:$A$2030,1,),"")&lt;&gt;""</f>
        <v>0</v>
      </c>
      <c r="E2162" t="s">
        <v>149</v>
      </c>
      <c r="F2162" t="b">
        <v>0</v>
      </c>
      <c r="G2162" t="b">
        <v>0</v>
      </c>
      <c r="H2162" t="b">
        <v>0</v>
      </c>
      <c r="I2162" t="b">
        <v>0</v>
      </c>
    </row>
    <row r="2163" spans="1:9" x14ac:dyDescent="0.2">
      <c r="A2163" t="s">
        <v>3741</v>
      </c>
      <c r="B2163" t="s">
        <v>3777</v>
      </c>
      <c r="D2163" t="b">
        <f>IFERROR(VLOOKUP(B2163,PatData!$A$2:$A$2030,1,),"")&lt;&gt;""</f>
        <v>0</v>
      </c>
      <c r="E2163" t="s">
        <v>7611</v>
      </c>
      <c r="F2163" t="b">
        <v>1</v>
      </c>
      <c r="G2163" t="b">
        <v>0</v>
      </c>
      <c r="H2163" t="b">
        <v>0</v>
      </c>
      <c r="I2163" t="b">
        <v>0</v>
      </c>
    </row>
    <row r="2164" spans="1:9" x14ac:dyDescent="0.2">
      <c r="A2164" t="s">
        <v>3742</v>
      </c>
      <c r="B2164" t="s">
        <v>3778</v>
      </c>
      <c r="D2164" t="b">
        <f>IFERROR(VLOOKUP(B2164,PatData!$A$2:$A$2030,1,),"")&lt;&gt;""</f>
        <v>0</v>
      </c>
      <c r="E2164" t="s">
        <v>7275</v>
      </c>
      <c r="F2164" t="b">
        <v>1</v>
      </c>
      <c r="G2164" t="b">
        <v>0</v>
      </c>
      <c r="H2164" t="b">
        <v>0</v>
      </c>
      <c r="I2164" t="b">
        <v>0</v>
      </c>
    </row>
    <row r="2165" spans="1:9" x14ac:dyDescent="0.2">
      <c r="A2165" t="s">
        <v>3743</v>
      </c>
      <c r="B2165" t="s">
        <v>3779</v>
      </c>
      <c r="D2165" t="b">
        <f>IFERROR(VLOOKUP(B2165,PatData!$A$2:$A$2030,1,),"")&lt;&gt;""</f>
        <v>0</v>
      </c>
      <c r="E2165" t="s">
        <v>7276</v>
      </c>
      <c r="F2165" t="b">
        <v>1</v>
      </c>
      <c r="G2165" t="b">
        <v>0</v>
      </c>
      <c r="H2165" t="b">
        <v>0</v>
      </c>
      <c r="I2165" t="b">
        <v>0</v>
      </c>
    </row>
    <row r="2166" spans="1:9" x14ac:dyDescent="0.2">
      <c r="A2166" t="s">
        <v>4661</v>
      </c>
      <c r="B2166" t="s">
        <v>4652</v>
      </c>
      <c r="D2166" t="b">
        <f>IFERROR(VLOOKUP(B2166,PatData!$A$2:$A$2030,1,),"")&lt;&gt;""</f>
        <v>0</v>
      </c>
      <c r="E2166" t="s">
        <v>4653</v>
      </c>
      <c r="F2166" t="b">
        <v>1</v>
      </c>
      <c r="G2166" t="b">
        <v>0</v>
      </c>
      <c r="H2166" t="b">
        <v>0</v>
      </c>
      <c r="I2166" t="b">
        <v>0</v>
      </c>
    </row>
    <row r="2167" spans="1:9" x14ac:dyDescent="0.2">
      <c r="A2167" t="s">
        <v>4664</v>
      </c>
      <c r="B2167" t="s">
        <v>4655</v>
      </c>
      <c r="D2167" t="b">
        <f>IFERROR(VLOOKUP(B2167,PatData!$A$2:$A$2030,1,),"")&lt;&gt;""</f>
        <v>0</v>
      </c>
      <c r="E2167" t="s">
        <v>4656</v>
      </c>
      <c r="F2167" t="b">
        <v>1</v>
      </c>
      <c r="G2167" t="b">
        <v>0</v>
      </c>
      <c r="H2167" t="b">
        <v>0</v>
      </c>
      <c r="I2167" t="b">
        <v>0</v>
      </c>
    </row>
    <row r="2168" spans="1:9" x14ac:dyDescent="0.2">
      <c r="A2168" t="s">
        <v>4667</v>
      </c>
      <c r="B2168" t="s">
        <v>4657</v>
      </c>
      <c r="D2168" t="b">
        <f>IFERROR(VLOOKUP(B2168,PatData!$A$2:$A$2030,1,),"")&lt;&gt;""</f>
        <v>0</v>
      </c>
      <c r="E2168" t="s">
        <v>5655</v>
      </c>
      <c r="F2168" t="b">
        <v>1</v>
      </c>
      <c r="G2168" t="b">
        <v>0</v>
      </c>
      <c r="H2168" t="b">
        <v>0</v>
      </c>
      <c r="I2168" t="b">
        <v>0</v>
      </c>
    </row>
    <row r="2169" spans="1:9" x14ac:dyDescent="0.2">
      <c r="A2169" t="s">
        <v>5173</v>
      </c>
      <c r="B2169" t="s">
        <v>4659</v>
      </c>
      <c r="D2169" t="b">
        <f>IFERROR(VLOOKUP(B2169,PatData!$A$2:$A$2030,1,),"")&lt;&gt;""</f>
        <v>0</v>
      </c>
      <c r="E2169" t="s">
        <v>4660</v>
      </c>
      <c r="F2169" t="b">
        <v>1</v>
      </c>
      <c r="G2169" t="b">
        <v>0</v>
      </c>
      <c r="H2169" t="b">
        <v>0</v>
      </c>
      <c r="I2169" t="b">
        <v>0</v>
      </c>
    </row>
    <row r="2170" spans="1:9" x14ac:dyDescent="0.2">
      <c r="A2170" t="s">
        <v>5174</v>
      </c>
      <c r="B2170" t="s">
        <v>4662</v>
      </c>
      <c r="D2170" t="b">
        <f>IFERROR(VLOOKUP(B2170,PatData!$A$2:$A$2030,1,),"")&lt;&gt;""</f>
        <v>0</v>
      </c>
      <c r="E2170" t="s">
        <v>4663</v>
      </c>
      <c r="F2170" t="b">
        <v>1</v>
      </c>
      <c r="G2170" t="b">
        <v>0</v>
      </c>
      <c r="H2170" t="b">
        <v>0</v>
      </c>
      <c r="I2170" t="b">
        <v>0</v>
      </c>
    </row>
    <row r="2171" spans="1:9" x14ac:dyDescent="0.2">
      <c r="A2171" t="s">
        <v>5656</v>
      </c>
      <c r="B2171" t="s">
        <v>5657</v>
      </c>
      <c r="D2171" t="b">
        <f>IFERROR(VLOOKUP(B2171,PatData!$A$2:$A$2030,1,),"")&lt;&gt;""</f>
        <v>0</v>
      </c>
      <c r="E2171" t="s">
        <v>5658</v>
      </c>
      <c r="F2171" t="b">
        <v>1</v>
      </c>
      <c r="G2171" t="b">
        <v>0</v>
      </c>
      <c r="H2171" t="b">
        <v>0</v>
      </c>
      <c r="I2171" t="b">
        <v>0</v>
      </c>
    </row>
    <row r="2172" spans="1:9" x14ac:dyDescent="0.2">
      <c r="A2172" t="s">
        <v>5659</v>
      </c>
      <c r="B2172" t="s">
        <v>4665</v>
      </c>
      <c r="D2172" t="b">
        <f>IFERROR(VLOOKUP(B2172,PatData!$A$2:$A$2030,1,),"")&lt;&gt;""</f>
        <v>0</v>
      </c>
      <c r="E2172" t="s">
        <v>4666</v>
      </c>
      <c r="F2172" t="b">
        <v>1</v>
      </c>
      <c r="G2172" t="b">
        <v>0</v>
      </c>
      <c r="H2172" t="b">
        <v>0</v>
      </c>
      <c r="I2172" t="b">
        <v>0</v>
      </c>
    </row>
    <row r="2173" spans="1:9" x14ac:dyDescent="0.2">
      <c r="A2173" t="s">
        <v>4676</v>
      </c>
      <c r="B2173" t="s">
        <v>4668</v>
      </c>
      <c r="D2173" t="b">
        <f>IFERROR(VLOOKUP(B2173,PatData!$A$2:$A$2030,1,),"")&lt;&gt;""</f>
        <v>0</v>
      </c>
      <c r="E2173" t="s">
        <v>7612</v>
      </c>
      <c r="F2173" t="b">
        <v>1</v>
      </c>
      <c r="G2173" t="b">
        <v>0</v>
      </c>
      <c r="H2173" t="b">
        <v>0</v>
      </c>
      <c r="I2173" t="b">
        <v>0</v>
      </c>
    </row>
    <row r="2174" spans="1:9" x14ac:dyDescent="0.2">
      <c r="A2174" t="s">
        <v>4673</v>
      </c>
      <c r="B2174" t="s">
        <v>4669</v>
      </c>
      <c r="D2174" t="b">
        <f>IFERROR(VLOOKUP(B2174,PatData!$A$2:$A$2030,1,),"")&lt;&gt;""</f>
        <v>0</v>
      </c>
      <c r="E2174" t="s">
        <v>5660</v>
      </c>
      <c r="F2174" t="b">
        <v>1</v>
      </c>
      <c r="G2174" t="b">
        <v>0</v>
      </c>
      <c r="H2174" t="b">
        <v>0</v>
      </c>
      <c r="I2174" t="b">
        <v>0</v>
      </c>
    </row>
    <row r="2175" spans="1:9" x14ac:dyDescent="0.2">
      <c r="A2175" t="s">
        <v>4654</v>
      </c>
      <c r="B2175" t="s">
        <v>4671</v>
      </c>
      <c r="D2175" t="b">
        <f>IFERROR(VLOOKUP(B2175,PatData!$A$2:$A$2030,1,),"")&lt;&gt;""</f>
        <v>0</v>
      </c>
      <c r="E2175" t="s">
        <v>4672</v>
      </c>
      <c r="F2175" t="b">
        <v>1</v>
      </c>
      <c r="G2175" t="b">
        <v>0</v>
      </c>
      <c r="H2175" t="b">
        <v>0</v>
      </c>
      <c r="I2175" t="b">
        <v>0</v>
      </c>
    </row>
    <row r="2176" spans="1:9" x14ac:dyDescent="0.2">
      <c r="A2176" t="s">
        <v>4670</v>
      </c>
      <c r="B2176" t="s">
        <v>4674</v>
      </c>
      <c r="D2176" t="b">
        <f>IFERROR(VLOOKUP(B2176,PatData!$A$2:$A$2030,1,),"")&lt;&gt;""</f>
        <v>0</v>
      </c>
      <c r="E2176" t="s">
        <v>5661</v>
      </c>
      <c r="F2176" t="b">
        <v>1</v>
      </c>
      <c r="G2176" t="b">
        <v>0</v>
      </c>
      <c r="H2176" t="b">
        <v>0</v>
      </c>
      <c r="I2176" t="b">
        <v>0</v>
      </c>
    </row>
    <row r="2177" spans="1:9" x14ac:dyDescent="0.2">
      <c r="A2177" t="s">
        <v>4678</v>
      </c>
      <c r="B2177" t="s">
        <v>4675</v>
      </c>
      <c r="D2177" t="b">
        <f>IFERROR(VLOOKUP(B2177,PatData!$A$2:$A$2030,1,),"")&lt;&gt;""</f>
        <v>0</v>
      </c>
      <c r="E2177" t="s">
        <v>5662</v>
      </c>
      <c r="F2177" t="b">
        <v>1</v>
      </c>
      <c r="G2177" t="b">
        <v>0</v>
      </c>
      <c r="H2177" t="b">
        <v>0</v>
      </c>
      <c r="I2177" t="b">
        <v>0</v>
      </c>
    </row>
    <row r="2178" spans="1:9" x14ac:dyDescent="0.2">
      <c r="A2178" t="s">
        <v>4658</v>
      </c>
      <c r="B2178" t="s">
        <v>4677</v>
      </c>
      <c r="D2178" t="b">
        <f>IFERROR(VLOOKUP(B2178,PatData!$A$2:$A$2030,1,),"")&lt;&gt;""</f>
        <v>0</v>
      </c>
      <c r="E2178" t="s">
        <v>7613</v>
      </c>
      <c r="F2178" t="b">
        <v>1</v>
      </c>
      <c r="G2178" t="b">
        <v>0</v>
      </c>
      <c r="H2178" t="b">
        <v>0</v>
      </c>
      <c r="I2178" t="b">
        <v>0</v>
      </c>
    </row>
    <row r="2179" spans="1:9" x14ac:dyDescent="0.2">
      <c r="A2179" t="s">
        <v>5663</v>
      </c>
      <c r="B2179" t="s">
        <v>4679</v>
      </c>
      <c r="D2179" t="b">
        <f>IFERROR(VLOOKUP(B2179,PatData!$A$2:$A$2030,1,),"")&lt;&gt;""</f>
        <v>0</v>
      </c>
      <c r="E2179" t="s">
        <v>4680</v>
      </c>
      <c r="F2179" t="b">
        <v>1</v>
      </c>
      <c r="G2179" t="b">
        <v>0</v>
      </c>
      <c r="H2179" t="b">
        <v>0</v>
      </c>
      <c r="I2179" t="b">
        <v>0</v>
      </c>
    </row>
    <row r="2180" spans="1:9" x14ac:dyDescent="0.2">
      <c r="A2180" t="s">
        <v>3246</v>
      </c>
      <c r="B2180" t="s">
        <v>4781</v>
      </c>
      <c r="D2180" t="b">
        <f>IFERROR(VLOOKUP(B2180,PatData!$A$2:$A$2030,1,),"")&lt;&gt;""</f>
        <v>0</v>
      </c>
      <c r="E2180" t="s">
        <v>4779</v>
      </c>
      <c r="F2180" t="b">
        <v>1</v>
      </c>
      <c r="G2180" t="b">
        <v>0</v>
      </c>
      <c r="H2180" t="b">
        <v>0</v>
      </c>
      <c r="I2180" t="b">
        <v>0</v>
      </c>
    </row>
    <row r="2181" spans="1:9" x14ac:dyDescent="0.2">
      <c r="A2181" t="s">
        <v>3247</v>
      </c>
      <c r="B2181" t="s">
        <v>4784</v>
      </c>
      <c r="D2181" t="b">
        <f>IFERROR(VLOOKUP(B2181,PatData!$A$2:$A$2030,1,),"")&lt;&gt;""</f>
        <v>0</v>
      </c>
      <c r="E2181" t="s">
        <v>2802</v>
      </c>
      <c r="F2181" t="b">
        <v>1</v>
      </c>
      <c r="G2181" t="b">
        <v>0</v>
      </c>
      <c r="H2181" t="b">
        <v>0</v>
      </c>
      <c r="I2181" t="b">
        <v>0</v>
      </c>
    </row>
    <row r="2182" spans="1:9" x14ac:dyDescent="0.2">
      <c r="A2182" t="s">
        <v>3248</v>
      </c>
      <c r="B2182" t="s">
        <v>4782</v>
      </c>
      <c r="D2182" t="b">
        <f>IFERROR(VLOOKUP(B2182,PatData!$A$2:$A$2030,1,),"")&lt;&gt;""</f>
        <v>0</v>
      </c>
      <c r="E2182" t="s">
        <v>2803</v>
      </c>
      <c r="F2182" t="b">
        <v>1</v>
      </c>
      <c r="G2182" t="b">
        <v>0</v>
      </c>
      <c r="H2182" t="b">
        <v>0</v>
      </c>
      <c r="I2182" t="b">
        <v>0</v>
      </c>
    </row>
    <row r="2183" spans="1:9" x14ac:dyDescent="0.2">
      <c r="A2183" t="s">
        <v>3249</v>
      </c>
      <c r="B2183" t="s">
        <v>4783</v>
      </c>
      <c r="D2183" t="b">
        <f>IFERROR(VLOOKUP(B2183,PatData!$A$2:$A$2030,1,),"")&lt;&gt;""</f>
        <v>0</v>
      </c>
      <c r="E2183" t="s">
        <v>2804</v>
      </c>
      <c r="F2183" t="b">
        <v>1</v>
      </c>
      <c r="G2183" t="b">
        <v>0</v>
      </c>
      <c r="H2183" t="b">
        <v>0</v>
      </c>
      <c r="I2183" t="b">
        <v>0</v>
      </c>
    </row>
    <row r="2184" spans="1:9" x14ac:dyDescent="0.2">
      <c r="A2184" t="s">
        <v>4791</v>
      </c>
      <c r="B2184" t="s">
        <v>4792</v>
      </c>
      <c r="D2184" t="b">
        <f>IFERROR(VLOOKUP(B2184,PatData!$A$2:$A$2030,1,),"")&lt;&gt;""</f>
        <v>0</v>
      </c>
      <c r="E2184" t="s">
        <v>4793</v>
      </c>
      <c r="F2184" t="b">
        <v>1</v>
      </c>
      <c r="G2184" t="b">
        <v>0</v>
      </c>
      <c r="H2184" t="b">
        <v>0</v>
      </c>
      <c r="I2184" t="b">
        <v>0</v>
      </c>
    </row>
    <row r="2185" spans="1:9" x14ac:dyDescent="0.2">
      <c r="A2185" t="s">
        <v>4794</v>
      </c>
      <c r="B2185" t="s">
        <v>4795</v>
      </c>
      <c r="D2185" t="b">
        <f>IFERROR(VLOOKUP(B2185,PatData!$A$2:$A$2030,1,),"")&lt;&gt;""</f>
        <v>0</v>
      </c>
      <c r="E2185" t="s">
        <v>4796</v>
      </c>
      <c r="F2185" t="b">
        <v>1</v>
      </c>
      <c r="G2185" t="b">
        <v>0</v>
      </c>
      <c r="H2185" t="b">
        <v>0</v>
      </c>
      <c r="I2185" t="b">
        <v>0</v>
      </c>
    </row>
    <row r="2186" spans="1:9" x14ac:dyDescent="0.2">
      <c r="A2186" t="s">
        <v>4797</v>
      </c>
      <c r="B2186" t="s">
        <v>4798</v>
      </c>
      <c r="D2186" t="b">
        <f>IFERROR(VLOOKUP(B2186,PatData!$A$2:$A$2030,1,),"")&lt;&gt;""</f>
        <v>0</v>
      </c>
      <c r="E2186" t="s">
        <v>4799</v>
      </c>
      <c r="F2186" t="b">
        <v>1</v>
      </c>
      <c r="G2186" t="b">
        <v>0</v>
      </c>
      <c r="H2186" t="b">
        <v>0</v>
      </c>
      <c r="I2186" t="b">
        <v>0</v>
      </c>
    </row>
    <row r="2187" spans="1:9" x14ac:dyDescent="0.2">
      <c r="A2187" t="s">
        <v>4800</v>
      </c>
      <c r="B2187" t="s">
        <v>4801</v>
      </c>
      <c r="D2187" t="b">
        <f>IFERROR(VLOOKUP(B2187,PatData!$A$2:$A$2030,1,),"")&lt;&gt;""</f>
        <v>0</v>
      </c>
      <c r="E2187" t="s">
        <v>4802</v>
      </c>
      <c r="F2187" t="b">
        <v>1</v>
      </c>
      <c r="G2187" t="b">
        <v>0</v>
      </c>
      <c r="H2187" t="b">
        <v>0</v>
      </c>
      <c r="I2187" t="b">
        <v>0</v>
      </c>
    </row>
    <row r="2188" spans="1:9" x14ac:dyDescent="0.2">
      <c r="A2188" t="s">
        <v>4803</v>
      </c>
      <c r="B2188" t="s">
        <v>4804</v>
      </c>
      <c r="D2188" t="b">
        <f>IFERROR(VLOOKUP(B2188,PatData!$A$2:$A$2030,1,),"")&lt;&gt;""</f>
        <v>0</v>
      </c>
      <c r="E2188" t="s">
        <v>4805</v>
      </c>
      <c r="F2188" t="b">
        <v>1</v>
      </c>
      <c r="G2188" t="b">
        <v>0</v>
      </c>
      <c r="H2188" t="b">
        <v>0</v>
      </c>
      <c r="I2188" t="b">
        <v>0</v>
      </c>
    </row>
    <row r="2189" spans="1:9" x14ac:dyDescent="0.2">
      <c r="A2189" t="s">
        <v>4806</v>
      </c>
      <c r="B2189" t="s">
        <v>4807</v>
      </c>
      <c r="D2189" t="b">
        <f>IFERROR(VLOOKUP(B2189,PatData!$A$2:$A$2030,1,),"")&lt;&gt;""</f>
        <v>0</v>
      </c>
      <c r="E2189" t="s">
        <v>4808</v>
      </c>
      <c r="F2189" t="b">
        <v>1</v>
      </c>
      <c r="G2189" t="b">
        <v>0</v>
      </c>
      <c r="H2189" t="b">
        <v>0</v>
      </c>
      <c r="I2189" t="b">
        <v>0</v>
      </c>
    </row>
    <row r="2190" spans="1:9" x14ac:dyDescent="0.2">
      <c r="A2190" t="s">
        <v>4809</v>
      </c>
      <c r="B2190" t="s">
        <v>4810</v>
      </c>
      <c r="D2190" t="b">
        <f>IFERROR(VLOOKUP(B2190,PatData!$A$2:$A$2030,1,),"")&lt;&gt;""</f>
        <v>0</v>
      </c>
      <c r="E2190" t="s">
        <v>4811</v>
      </c>
      <c r="F2190" t="b">
        <v>1</v>
      </c>
      <c r="G2190" t="b">
        <v>0</v>
      </c>
      <c r="H2190" t="b">
        <v>0</v>
      </c>
      <c r="I2190" t="b">
        <v>0</v>
      </c>
    </row>
    <row r="2191" spans="1:9" x14ac:dyDescent="0.2">
      <c r="A2191" t="s">
        <v>4812</v>
      </c>
      <c r="B2191" t="s">
        <v>4813</v>
      </c>
      <c r="D2191" t="b">
        <f>IFERROR(VLOOKUP(B2191,PatData!$A$2:$A$2030,1,),"")&lt;&gt;""</f>
        <v>0</v>
      </c>
      <c r="E2191" t="s">
        <v>4814</v>
      </c>
      <c r="F2191" t="b">
        <v>1</v>
      </c>
      <c r="G2191" t="b">
        <v>0</v>
      </c>
      <c r="H2191" t="b">
        <v>0</v>
      </c>
      <c r="I2191" t="b">
        <v>0</v>
      </c>
    </row>
    <row r="2192" spans="1:9" x14ac:dyDescent="0.2">
      <c r="A2192" t="s">
        <v>4815</v>
      </c>
      <c r="B2192" t="s">
        <v>4816</v>
      </c>
      <c r="D2192" t="b">
        <f>IFERROR(VLOOKUP(B2192,PatData!$A$2:$A$2030,1,),"")&lt;&gt;""</f>
        <v>0</v>
      </c>
      <c r="E2192" t="s">
        <v>4817</v>
      </c>
      <c r="F2192" t="b">
        <v>1</v>
      </c>
      <c r="G2192" t="b">
        <v>0</v>
      </c>
      <c r="H2192" t="b">
        <v>0</v>
      </c>
      <c r="I2192" t="b">
        <v>0</v>
      </c>
    </row>
    <row r="2193" spans="1:9" x14ac:dyDescent="0.2">
      <c r="A2193" t="s">
        <v>4818</v>
      </c>
      <c r="B2193" t="s">
        <v>4819</v>
      </c>
      <c r="D2193" t="b">
        <f>IFERROR(VLOOKUP(B2193,PatData!$A$2:$A$2030,1,),"")&lt;&gt;""</f>
        <v>0</v>
      </c>
      <c r="E2193" t="s">
        <v>4820</v>
      </c>
      <c r="F2193" t="b">
        <v>1</v>
      </c>
      <c r="G2193" t="b">
        <v>0</v>
      </c>
      <c r="H2193" t="b">
        <v>0</v>
      </c>
      <c r="I2193" t="b">
        <v>0</v>
      </c>
    </row>
    <row r="2194" spans="1:9" x14ac:dyDescent="0.2">
      <c r="A2194" t="s">
        <v>3501</v>
      </c>
      <c r="B2194" t="s">
        <v>5037</v>
      </c>
      <c r="D2194" t="b">
        <f>IFERROR(VLOOKUP(B2194,PatData!$A$2:$A$2030,1,),"")&lt;&gt;""</f>
        <v>0</v>
      </c>
      <c r="E2194" t="s">
        <v>5038</v>
      </c>
      <c r="F2194" t="b">
        <v>1</v>
      </c>
      <c r="G2194" t="b">
        <v>0</v>
      </c>
      <c r="H2194" t="b">
        <v>0</v>
      </c>
      <c r="I2194" t="b">
        <v>0</v>
      </c>
    </row>
    <row r="2195" spans="1:9" x14ac:dyDescent="0.2">
      <c r="A2195" t="s">
        <v>5039</v>
      </c>
      <c r="B2195" t="s">
        <v>5040</v>
      </c>
      <c r="D2195" t="b">
        <f>IFERROR(VLOOKUP(B2195,PatData!$A$2:$A$2030,1,),"")&lt;&gt;""</f>
        <v>0</v>
      </c>
      <c r="E2195" t="s">
        <v>5041</v>
      </c>
      <c r="F2195" t="b">
        <v>1</v>
      </c>
      <c r="G2195" t="b">
        <v>0</v>
      </c>
      <c r="H2195" t="b">
        <v>0</v>
      </c>
      <c r="I2195" t="b">
        <v>0</v>
      </c>
    </row>
    <row r="2196" spans="1:9" x14ac:dyDescent="0.2">
      <c r="A2196" t="s">
        <v>5042</v>
      </c>
      <c r="B2196" t="s">
        <v>5043</v>
      </c>
      <c r="D2196" t="b">
        <f>IFERROR(VLOOKUP(B2196,PatData!$A$2:$A$2030,1,),"")&lt;&gt;""</f>
        <v>0</v>
      </c>
      <c r="E2196" t="s">
        <v>5044</v>
      </c>
      <c r="F2196" t="b">
        <v>1</v>
      </c>
      <c r="G2196" t="b">
        <v>0</v>
      </c>
      <c r="H2196" t="b">
        <v>0</v>
      </c>
      <c r="I2196" t="b">
        <v>0</v>
      </c>
    </row>
    <row r="2197" spans="1:9" x14ac:dyDescent="0.2">
      <c r="A2197" t="s">
        <v>5045</v>
      </c>
      <c r="B2197" t="s">
        <v>5046</v>
      </c>
      <c r="D2197" t="b">
        <f>IFERROR(VLOOKUP(B2197,PatData!$A$2:$A$2030,1,),"")&lt;&gt;""</f>
        <v>0</v>
      </c>
      <c r="E2197" t="s">
        <v>5047</v>
      </c>
      <c r="F2197" t="b">
        <v>1</v>
      </c>
      <c r="G2197" t="b">
        <v>0</v>
      </c>
      <c r="H2197" t="b">
        <v>0</v>
      </c>
      <c r="I2197" t="b">
        <v>0</v>
      </c>
    </row>
    <row r="2198" spans="1:9" x14ac:dyDescent="0.2">
      <c r="A2198" t="s">
        <v>5048</v>
      </c>
      <c r="B2198" t="s">
        <v>5049</v>
      </c>
      <c r="D2198" t="b">
        <f>IFERROR(VLOOKUP(B2198,PatData!$A$2:$A$2030,1,),"")&lt;&gt;""</f>
        <v>0</v>
      </c>
      <c r="E2198" t="s">
        <v>5050</v>
      </c>
      <c r="F2198" t="b">
        <v>1</v>
      </c>
      <c r="G2198" t="b">
        <v>0</v>
      </c>
      <c r="H2198" t="b">
        <v>0</v>
      </c>
      <c r="I2198" t="b">
        <v>0</v>
      </c>
    </row>
    <row r="2199" spans="1:9" x14ac:dyDescent="0.2">
      <c r="A2199" t="s">
        <v>5051</v>
      </c>
      <c r="B2199" t="s">
        <v>5052</v>
      </c>
      <c r="D2199" t="b">
        <f>IFERROR(VLOOKUP(B2199,PatData!$A$2:$A$2030,1,),"")&lt;&gt;""</f>
        <v>0</v>
      </c>
      <c r="E2199" t="s">
        <v>5053</v>
      </c>
      <c r="F2199" t="b">
        <v>1</v>
      </c>
      <c r="G2199" t="b">
        <v>0</v>
      </c>
      <c r="H2199" t="b">
        <v>0</v>
      </c>
      <c r="I2199" t="b">
        <v>0</v>
      </c>
    </row>
    <row r="2200" spans="1:9" x14ac:dyDescent="0.2">
      <c r="A2200" t="s">
        <v>5175</v>
      </c>
      <c r="B2200" t="s">
        <v>1721</v>
      </c>
      <c r="D2200" t="b">
        <f>IFERROR(VLOOKUP(B2200,PatData!$A$2:$A$2030,1,),"")&lt;&gt;""</f>
        <v>0</v>
      </c>
      <c r="E2200" t="s">
        <v>1726</v>
      </c>
      <c r="F2200" t="b">
        <v>1</v>
      </c>
      <c r="G2200" t="b">
        <v>0</v>
      </c>
      <c r="H2200" t="b">
        <v>0</v>
      </c>
      <c r="I2200" t="b">
        <v>0</v>
      </c>
    </row>
    <row r="2201" spans="1:9" x14ac:dyDescent="0.2">
      <c r="A2201" t="s">
        <v>5054</v>
      </c>
      <c r="B2201" t="s">
        <v>5055</v>
      </c>
      <c r="D2201" t="b">
        <f>IFERROR(VLOOKUP(B2201,PatData!$A$2:$A$2030,1,),"")&lt;&gt;""</f>
        <v>0</v>
      </c>
      <c r="E2201" t="s">
        <v>7277</v>
      </c>
      <c r="F2201" t="b">
        <v>1</v>
      </c>
      <c r="G2201" t="b">
        <v>0</v>
      </c>
      <c r="H2201" t="b">
        <v>0</v>
      </c>
      <c r="I2201" t="b">
        <v>0</v>
      </c>
    </row>
    <row r="2202" spans="1:9" x14ac:dyDescent="0.2">
      <c r="A2202" t="s">
        <v>5664</v>
      </c>
      <c r="B2202" t="s">
        <v>1707</v>
      </c>
      <c r="D2202" t="b">
        <f>IFERROR(VLOOKUP(B2202,PatData!$A$2:$A$2030,1,),"")&lt;&gt;""</f>
        <v>0</v>
      </c>
      <c r="E2202">
        <v>43011.583506944444</v>
      </c>
      <c r="F2202" t="b">
        <v>0</v>
      </c>
      <c r="G2202" t="b">
        <v>0</v>
      </c>
      <c r="H2202" t="b">
        <v>0</v>
      </c>
      <c r="I2202" t="b">
        <v>0</v>
      </c>
    </row>
    <row r="2203" spans="1:9" x14ac:dyDescent="0.2">
      <c r="A2203" t="s">
        <v>5850</v>
      </c>
      <c r="B2203" t="s">
        <v>5851</v>
      </c>
      <c r="D2203" t="b">
        <f>IFERROR(VLOOKUP(B2203,PatData!$A$2:$A$2030,1,),"")&lt;&gt;""</f>
        <v>0</v>
      </c>
      <c r="E2203" t="s">
        <v>5852</v>
      </c>
      <c r="F2203" t="b">
        <v>1</v>
      </c>
      <c r="G2203" t="b">
        <v>0</v>
      </c>
      <c r="H2203" t="b">
        <v>0</v>
      </c>
      <c r="I2203" t="b">
        <v>0</v>
      </c>
    </row>
    <row r="2204" spans="1:9" x14ac:dyDescent="0.2">
      <c r="A2204" t="s">
        <v>5853</v>
      </c>
      <c r="B2204" t="s">
        <v>5854</v>
      </c>
      <c r="D2204" t="b">
        <f>IFERROR(VLOOKUP(B2204,PatData!$A$2:$A$2030,1,),"")&lt;&gt;""</f>
        <v>0</v>
      </c>
      <c r="E2204" t="s">
        <v>5855</v>
      </c>
      <c r="F2204" t="b">
        <v>1</v>
      </c>
      <c r="G2204" t="b">
        <v>0</v>
      </c>
      <c r="H2204" t="b">
        <v>0</v>
      </c>
      <c r="I2204" t="b">
        <v>0</v>
      </c>
    </row>
    <row r="2205" spans="1:9" x14ac:dyDescent="0.2">
      <c r="A2205" t="s">
        <v>5856</v>
      </c>
      <c r="B2205" t="s">
        <v>5857</v>
      </c>
      <c r="D2205" t="b">
        <f>IFERROR(VLOOKUP(B2205,PatData!$A$2:$A$2030,1,),"")&lt;&gt;""</f>
        <v>0</v>
      </c>
      <c r="E2205" t="s">
        <v>5858</v>
      </c>
      <c r="F2205" t="b">
        <v>1</v>
      </c>
      <c r="G2205" t="b">
        <v>0</v>
      </c>
      <c r="H2205" t="b">
        <v>0</v>
      </c>
      <c r="I2205" t="b">
        <v>0</v>
      </c>
    </row>
    <row r="2206" spans="1:9" x14ac:dyDescent="0.2">
      <c r="A2206" t="s">
        <v>5859</v>
      </c>
      <c r="B2206" t="s">
        <v>5860</v>
      </c>
      <c r="D2206" t="b">
        <f>IFERROR(VLOOKUP(B2206,PatData!$A$2:$A$2030,1,),"")&lt;&gt;""</f>
        <v>0</v>
      </c>
      <c r="E2206" t="s">
        <v>5861</v>
      </c>
      <c r="F2206" t="b">
        <v>1</v>
      </c>
      <c r="G2206" t="b">
        <v>0</v>
      </c>
      <c r="H2206" t="b">
        <v>0</v>
      </c>
      <c r="I2206" t="b">
        <v>0</v>
      </c>
    </row>
    <row r="2207" spans="1:9" x14ac:dyDescent="0.2">
      <c r="A2207" t="s">
        <v>5862</v>
      </c>
      <c r="B2207" t="s">
        <v>5863</v>
      </c>
      <c r="D2207" t="b">
        <f>IFERROR(VLOOKUP(B2207,PatData!$A$2:$A$2030,1,),"")&lt;&gt;""</f>
        <v>0</v>
      </c>
      <c r="E2207" t="s">
        <v>5864</v>
      </c>
      <c r="F2207" t="b">
        <v>1</v>
      </c>
      <c r="G2207" t="b">
        <v>0</v>
      </c>
      <c r="H2207" t="b">
        <v>0</v>
      </c>
      <c r="I2207" t="b">
        <v>0</v>
      </c>
    </row>
    <row r="2208" spans="1:9" x14ac:dyDescent="0.2">
      <c r="A2208" t="s">
        <v>5865</v>
      </c>
      <c r="B2208" t="s">
        <v>5866</v>
      </c>
      <c r="D2208" t="b">
        <f>IFERROR(VLOOKUP(B2208,PatData!$A$2:$A$2030,1,),"")&lt;&gt;""</f>
        <v>0</v>
      </c>
      <c r="E2208" t="s">
        <v>5867</v>
      </c>
      <c r="F2208" t="b">
        <v>1</v>
      </c>
      <c r="G2208" t="b">
        <v>0</v>
      </c>
      <c r="H2208" t="b">
        <v>0</v>
      </c>
      <c r="I2208" t="b">
        <v>0</v>
      </c>
    </row>
    <row r="2209" spans="1:9" x14ac:dyDescent="0.2">
      <c r="A2209" t="s">
        <v>5868</v>
      </c>
      <c r="B2209" t="s">
        <v>5869</v>
      </c>
      <c r="D2209" t="b">
        <f>IFERROR(VLOOKUP(B2209,PatData!$A$2:$A$2030,1,),"")&lt;&gt;""</f>
        <v>0</v>
      </c>
      <c r="E2209" t="s">
        <v>5870</v>
      </c>
      <c r="F2209" t="b">
        <v>1</v>
      </c>
      <c r="G2209" t="b">
        <v>0</v>
      </c>
      <c r="H2209" t="b">
        <v>0</v>
      </c>
      <c r="I2209" t="b">
        <v>0</v>
      </c>
    </row>
    <row r="2210" spans="1:9" x14ac:dyDescent="0.2">
      <c r="A2210" t="s">
        <v>5871</v>
      </c>
      <c r="B2210" t="s">
        <v>5872</v>
      </c>
      <c r="D2210" t="b">
        <f>IFERROR(VLOOKUP(B2210,PatData!$A$2:$A$2030,1,),"")&lt;&gt;""</f>
        <v>0</v>
      </c>
      <c r="E2210" t="s">
        <v>5873</v>
      </c>
      <c r="F2210" t="b">
        <v>1</v>
      </c>
      <c r="G2210" t="b">
        <v>0</v>
      </c>
      <c r="H2210" t="b">
        <v>0</v>
      </c>
      <c r="I2210" t="b">
        <v>0</v>
      </c>
    </row>
    <row r="2211" spans="1:9" x14ac:dyDescent="0.2">
      <c r="A2211" t="s">
        <v>5874</v>
      </c>
      <c r="B2211" t="s">
        <v>5875</v>
      </c>
      <c r="D2211" t="b">
        <f>IFERROR(VLOOKUP(B2211,PatData!$A$2:$A$2030,1,),"")&lt;&gt;""</f>
        <v>0</v>
      </c>
      <c r="E2211" t="s">
        <v>5876</v>
      </c>
      <c r="F2211" t="b">
        <v>1</v>
      </c>
      <c r="G2211" t="b">
        <v>0</v>
      </c>
      <c r="H2211" t="b">
        <v>0</v>
      </c>
      <c r="I2211" t="b">
        <v>0</v>
      </c>
    </row>
    <row r="2212" spans="1:9" x14ac:dyDescent="0.2">
      <c r="A2212" t="s">
        <v>5877</v>
      </c>
      <c r="B2212" t="s">
        <v>5878</v>
      </c>
      <c r="D2212" t="b">
        <f>IFERROR(VLOOKUP(B2212,PatData!$A$2:$A$2030,1,),"")&lt;&gt;""</f>
        <v>0</v>
      </c>
      <c r="E2212" t="s">
        <v>5879</v>
      </c>
      <c r="F2212" t="b">
        <v>1</v>
      </c>
      <c r="G2212" t="b">
        <v>0</v>
      </c>
      <c r="H2212" t="b">
        <v>0</v>
      </c>
      <c r="I2212" t="b">
        <v>0</v>
      </c>
    </row>
    <row r="2213" spans="1:9" x14ac:dyDescent="0.2">
      <c r="A2213" t="s">
        <v>5880</v>
      </c>
      <c r="B2213" t="s">
        <v>5881</v>
      </c>
      <c r="D2213" t="b">
        <f>IFERROR(VLOOKUP(B2213,PatData!$A$2:$A$2030,1,),"")&lt;&gt;""</f>
        <v>0</v>
      </c>
      <c r="E2213" t="s">
        <v>5882</v>
      </c>
      <c r="F2213" t="b">
        <v>1</v>
      </c>
      <c r="G2213" t="b">
        <v>0</v>
      </c>
      <c r="H2213" t="b">
        <v>0</v>
      </c>
      <c r="I2213" t="b">
        <v>0</v>
      </c>
    </row>
    <row r="2214" spans="1:9" x14ac:dyDescent="0.2">
      <c r="A2214" t="s">
        <v>5883</v>
      </c>
      <c r="B2214" t="s">
        <v>5884</v>
      </c>
      <c r="D2214" t="b">
        <f>IFERROR(VLOOKUP(B2214,PatData!$A$2:$A$2030,1,),"")&lt;&gt;""</f>
        <v>0</v>
      </c>
      <c r="E2214" t="s">
        <v>5885</v>
      </c>
      <c r="F2214" t="b">
        <v>1</v>
      </c>
      <c r="G2214" t="b">
        <v>0</v>
      </c>
      <c r="H2214" t="b">
        <v>0</v>
      </c>
      <c r="I2214" t="b">
        <v>0</v>
      </c>
    </row>
    <row r="2215" spans="1:9" x14ac:dyDescent="0.2">
      <c r="A2215" t="s">
        <v>5886</v>
      </c>
      <c r="B2215" t="s">
        <v>5887</v>
      </c>
      <c r="D2215" t="b">
        <f>IFERROR(VLOOKUP(B2215,PatData!$A$2:$A$2030,1,),"")&lt;&gt;""</f>
        <v>0</v>
      </c>
      <c r="E2215" t="s">
        <v>5888</v>
      </c>
      <c r="F2215" t="b">
        <v>1</v>
      </c>
      <c r="G2215" t="b">
        <v>0</v>
      </c>
      <c r="H2215" t="b">
        <v>0</v>
      </c>
      <c r="I2215" t="b">
        <v>0</v>
      </c>
    </row>
    <row r="2216" spans="1:9" x14ac:dyDescent="0.2">
      <c r="A2216" t="s">
        <v>5889</v>
      </c>
      <c r="B2216" t="s">
        <v>5890</v>
      </c>
      <c r="D2216" t="b">
        <f>IFERROR(VLOOKUP(B2216,PatData!$A$2:$A$2030,1,),"")&lt;&gt;""</f>
        <v>0</v>
      </c>
      <c r="E2216" t="s">
        <v>5891</v>
      </c>
      <c r="F2216" t="b">
        <v>1</v>
      </c>
      <c r="G2216" t="b">
        <v>0</v>
      </c>
      <c r="H2216" t="b">
        <v>0</v>
      </c>
      <c r="I2216" t="b">
        <v>0</v>
      </c>
    </row>
    <row r="2217" spans="1:9" x14ac:dyDescent="0.2">
      <c r="A2217" t="s">
        <v>5892</v>
      </c>
      <c r="B2217" t="s">
        <v>5893</v>
      </c>
      <c r="D2217" t="b">
        <f>IFERROR(VLOOKUP(B2217,PatData!$A$2:$A$2030,1,),"")&lt;&gt;""</f>
        <v>0</v>
      </c>
      <c r="E2217" t="s">
        <v>5894</v>
      </c>
      <c r="F2217" t="b">
        <v>1</v>
      </c>
      <c r="G2217" t="b">
        <v>0</v>
      </c>
      <c r="H2217" t="b">
        <v>0</v>
      </c>
      <c r="I2217" t="b">
        <v>0</v>
      </c>
    </row>
    <row r="2218" spans="1:9" x14ac:dyDescent="0.2">
      <c r="A2218" t="s">
        <v>5895</v>
      </c>
      <c r="B2218" t="s">
        <v>5896</v>
      </c>
      <c r="D2218" t="b">
        <f>IFERROR(VLOOKUP(B2218,PatData!$A$2:$A$2030,1,),"")&lt;&gt;""</f>
        <v>0</v>
      </c>
      <c r="E2218" t="s">
        <v>5897</v>
      </c>
      <c r="F2218" t="b">
        <v>1</v>
      </c>
      <c r="G2218" t="b">
        <v>0</v>
      </c>
      <c r="H2218" t="b">
        <v>0</v>
      </c>
      <c r="I2218" t="b">
        <v>0</v>
      </c>
    </row>
    <row r="2219" spans="1:9" x14ac:dyDescent="0.2">
      <c r="A2219" t="s">
        <v>5898</v>
      </c>
      <c r="B2219" t="s">
        <v>5899</v>
      </c>
      <c r="D2219" t="b">
        <f>IFERROR(VLOOKUP(B2219,PatData!$A$2:$A$2030,1,),"")&lt;&gt;""</f>
        <v>0</v>
      </c>
      <c r="E2219" t="s">
        <v>5900</v>
      </c>
      <c r="F2219" t="b">
        <v>1</v>
      </c>
      <c r="G2219" t="b">
        <v>0</v>
      </c>
      <c r="H2219" t="b">
        <v>0</v>
      </c>
      <c r="I2219" t="b">
        <v>0</v>
      </c>
    </row>
    <row r="2220" spans="1:9" x14ac:dyDescent="0.2">
      <c r="A2220" t="s">
        <v>5901</v>
      </c>
      <c r="B2220" t="s">
        <v>5902</v>
      </c>
      <c r="D2220" t="b">
        <f>IFERROR(VLOOKUP(B2220,PatData!$A$2:$A$2030,1,),"")&lt;&gt;""</f>
        <v>0</v>
      </c>
      <c r="E2220" t="s">
        <v>5903</v>
      </c>
      <c r="F2220" t="b">
        <v>1</v>
      </c>
      <c r="G2220" t="b">
        <v>0</v>
      </c>
      <c r="H2220" t="b">
        <v>0</v>
      </c>
      <c r="I2220" t="b">
        <v>0</v>
      </c>
    </row>
    <row r="2221" spans="1:9" x14ac:dyDescent="0.2">
      <c r="A2221" t="s">
        <v>5904</v>
      </c>
      <c r="B2221" t="s">
        <v>5905</v>
      </c>
      <c r="D2221" t="b">
        <f>IFERROR(VLOOKUP(B2221,PatData!$A$2:$A$2030,1,),"")&lt;&gt;""</f>
        <v>0</v>
      </c>
      <c r="E2221" t="s">
        <v>5906</v>
      </c>
      <c r="F2221" t="b">
        <v>1</v>
      </c>
      <c r="G2221" t="b">
        <v>0</v>
      </c>
      <c r="H2221" t="b">
        <v>0</v>
      </c>
      <c r="I2221" t="b">
        <v>0</v>
      </c>
    </row>
    <row r="2222" spans="1:9" x14ac:dyDescent="0.2">
      <c r="A2222" t="s">
        <v>5907</v>
      </c>
      <c r="B2222" t="s">
        <v>5908</v>
      </c>
      <c r="D2222" t="b">
        <f>IFERROR(VLOOKUP(B2222,PatData!$A$2:$A$2030,1,),"")&lt;&gt;""</f>
        <v>0</v>
      </c>
      <c r="E2222" t="s">
        <v>5909</v>
      </c>
      <c r="F2222" t="b">
        <v>1</v>
      </c>
      <c r="G2222" t="b">
        <v>0</v>
      </c>
      <c r="H2222" t="b">
        <v>0</v>
      </c>
      <c r="I2222" t="b">
        <v>0</v>
      </c>
    </row>
    <row r="2223" spans="1:9" x14ac:dyDescent="0.2">
      <c r="A2223" t="s">
        <v>5910</v>
      </c>
      <c r="B2223" t="s">
        <v>5911</v>
      </c>
      <c r="D2223" t="b">
        <f>IFERROR(VLOOKUP(B2223,PatData!$A$2:$A$2030,1,),"")&lt;&gt;""</f>
        <v>0</v>
      </c>
      <c r="E2223" t="s">
        <v>5912</v>
      </c>
      <c r="F2223" t="b">
        <v>1</v>
      </c>
      <c r="G2223" t="b">
        <v>0</v>
      </c>
      <c r="H2223" t="b">
        <v>0</v>
      </c>
      <c r="I2223" t="b">
        <v>0</v>
      </c>
    </row>
    <row r="2224" spans="1:9" x14ac:dyDescent="0.2">
      <c r="A2224" t="s">
        <v>5913</v>
      </c>
      <c r="B2224" t="s">
        <v>5914</v>
      </c>
      <c r="D2224" t="b">
        <f>IFERROR(VLOOKUP(B2224,PatData!$A$2:$A$2030,1,),"")&lt;&gt;""</f>
        <v>0</v>
      </c>
      <c r="E2224" t="s">
        <v>5915</v>
      </c>
      <c r="F2224" t="b">
        <v>1</v>
      </c>
      <c r="G2224" t="b">
        <v>0</v>
      </c>
      <c r="H2224" t="b">
        <v>0</v>
      </c>
      <c r="I2224" t="b">
        <v>0</v>
      </c>
    </row>
    <row r="2225" spans="1:9" x14ac:dyDescent="0.2">
      <c r="A2225" t="s">
        <v>5916</v>
      </c>
      <c r="B2225" t="s">
        <v>5917</v>
      </c>
      <c r="D2225" t="b">
        <f>IFERROR(VLOOKUP(B2225,PatData!$A$2:$A$2030,1,),"")&lt;&gt;""</f>
        <v>0</v>
      </c>
      <c r="E2225" t="s">
        <v>5918</v>
      </c>
      <c r="F2225" t="b">
        <v>1</v>
      </c>
      <c r="G2225" t="b">
        <v>0</v>
      </c>
      <c r="H2225" t="b">
        <v>0</v>
      </c>
      <c r="I2225" t="b">
        <v>0</v>
      </c>
    </row>
    <row r="2226" spans="1:9" x14ac:dyDescent="0.2">
      <c r="A2226" t="s">
        <v>5919</v>
      </c>
      <c r="B2226" t="s">
        <v>5920</v>
      </c>
      <c r="D2226" t="b">
        <f>IFERROR(VLOOKUP(B2226,PatData!$A$2:$A$2030,1,),"")&lt;&gt;""</f>
        <v>0</v>
      </c>
      <c r="E2226" t="s">
        <v>5921</v>
      </c>
      <c r="F2226" t="b">
        <v>1</v>
      </c>
      <c r="G2226" t="b">
        <v>0</v>
      </c>
      <c r="H2226" t="b">
        <v>0</v>
      </c>
      <c r="I2226" t="b">
        <v>0</v>
      </c>
    </row>
    <row r="2227" spans="1:9" x14ac:dyDescent="0.2">
      <c r="A2227" t="s">
        <v>5922</v>
      </c>
      <c r="B2227" t="s">
        <v>5923</v>
      </c>
      <c r="D2227" t="b">
        <f>IFERROR(VLOOKUP(B2227,PatData!$A$2:$A$2030,1,),"")&lt;&gt;""</f>
        <v>0</v>
      </c>
      <c r="E2227" t="s">
        <v>5924</v>
      </c>
      <c r="F2227" t="b">
        <v>1</v>
      </c>
      <c r="G2227" t="b">
        <v>0</v>
      </c>
      <c r="H2227" t="b">
        <v>0</v>
      </c>
      <c r="I2227" t="b">
        <v>0</v>
      </c>
    </row>
    <row r="2228" spans="1:9" x14ac:dyDescent="0.2">
      <c r="A2228" t="s">
        <v>5925</v>
      </c>
      <c r="B2228" t="s">
        <v>5926</v>
      </c>
      <c r="D2228" t="b">
        <f>IFERROR(VLOOKUP(B2228,PatData!$A$2:$A$2030,1,),"")&lt;&gt;""</f>
        <v>0</v>
      </c>
      <c r="E2228" t="s">
        <v>5927</v>
      </c>
      <c r="F2228" t="b">
        <v>1</v>
      </c>
      <c r="G2228" t="b">
        <v>0</v>
      </c>
      <c r="H2228" t="b">
        <v>0</v>
      </c>
      <c r="I2228" t="b">
        <v>0</v>
      </c>
    </row>
    <row r="2229" spans="1:9" x14ac:dyDescent="0.2">
      <c r="A2229" t="s">
        <v>5928</v>
      </c>
      <c r="B2229" t="s">
        <v>5929</v>
      </c>
      <c r="D2229" t="b">
        <f>IFERROR(VLOOKUP(B2229,PatData!$A$2:$A$2030,1,),"")&lt;&gt;""</f>
        <v>0</v>
      </c>
      <c r="E2229" t="s">
        <v>5930</v>
      </c>
      <c r="F2229" t="b">
        <v>1</v>
      </c>
      <c r="G2229" t="b">
        <v>0</v>
      </c>
      <c r="H2229" t="b">
        <v>0</v>
      </c>
      <c r="I2229" t="b">
        <v>0</v>
      </c>
    </row>
    <row r="2230" spans="1:9" x14ac:dyDescent="0.2">
      <c r="A2230" t="s">
        <v>5931</v>
      </c>
      <c r="B2230" t="s">
        <v>5932</v>
      </c>
      <c r="D2230" t="b">
        <f>IFERROR(VLOOKUP(B2230,PatData!$A$2:$A$2030,1,),"")&lt;&gt;""</f>
        <v>0</v>
      </c>
      <c r="E2230" t="s">
        <v>5933</v>
      </c>
      <c r="F2230" t="b">
        <v>1</v>
      </c>
      <c r="G2230" t="b">
        <v>0</v>
      </c>
      <c r="H2230" t="b">
        <v>0</v>
      </c>
      <c r="I2230" t="b">
        <v>0</v>
      </c>
    </row>
    <row r="2231" spans="1:9" x14ac:dyDescent="0.2">
      <c r="A2231" t="s">
        <v>5934</v>
      </c>
      <c r="B2231" t="s">
        <v>5935</v>
      </c>
      <c r="D2231" t="b">
        <f>IFERROR(VLOOKUP(B2231,PatData!$A$2:$A$2030,1,),"")&lt;&gt;""</f>
        <v>0</v>
      </c>
      <c r="E2231" t="s">
        <v>5936</v>
      </c>
      <c r="F2231" t="b">
        <v>1</v>
      </c>
      <c r="G2231" t="b">
        <v>0</v>
      </c>
      <c r="H2231" t="b">
        <v>0</v>
      </c>
      <c r="I2231" t="b">
        <v>0</v>
      </c>
    </row>
    <row r="2232" spans="1:9" x14ac:dyDescent="0.2">
      <c r="A2232" t="s">
        <v>5937</v>
      </c>
      <c r="B2232" t="s">
        <v>5938</v>
      </c>
      <c r="D2232" t="b">
        <f>IFERROR(VLOOKUP(B2232,PatData!$A$2:$A$2030,1,),"")&lt;&gt;""</f>
        <v>0</v>
      </c>
      <c r="E2232" t="s">
        <v>5939</v>
      </c>
      <c r="F2232" t="b">
        <v>1</v>
      </c>
      <c r="G2232" t="b">
        <v>0</v>
      </c>
      <c r="H2232" t="b">
        <v>0</v>
      </c>
      <c r="I2232" t="b">
        <v>0</v>
      </c>
    </row>
    <row r="2233" spans="1:9" x14ac:dyDescent="0.2">
      <c r="A2233" t="s">
        <v>1221</v>
      </c>
      <c r="B2233" t="s">
        <v>1718</v>
      </c>
      <c r="D2233" t="b">
        <f>IFERROR(VLOOKUP(B2233,PatData!$A$2:$A$2030,1,),"")&lt;&gt;""</f>
        <v>0</v>
      </c>
      <c r="E2233" t="s">
        <v>4777</v>
      </c>
      <c r="F2233" t="b">
        <v>1</v>
      </c>
      <c r="G2233" t="b">
        <v>0</v>
      </c>
      <c r="H2233" t="b">
        <v>0</v>
      </c>
      <c r="I2233" t="b">
        <v>0</v>
      </c>
    </row>
    <row r="2234" spans="1:9" x14ac:dyDescent="0.2">
      <c r="A2234" t="s">
        <v>1222</v>
      </c>
      <c r="B2234" t="s">
        <v>1719</v>
      </c>
      <c r="D2234" t="b">
        <f>IFERROR(VLOOKUP(B2234,PatData!$A$2:$A$2030,1,),"")&lt;&gt;""</f>
        <v>0</v>
      </c>
      <c r="E2234" t="s">
        <v>2799</v>
      </c>
      <c r="F2234" t="b">
        <v>1</v>
      </c>
      <c r="G2234" t="b">
        <v>0</v>
      </c>
      <c r="H2234" t="b">
        <v>0</v>
      </c>
      <c r="I2234" t="b">
        <v>0</v>
      </c>
    </row>
    <row r="2235" spans="1:9" x14ac:dyDescent="0.2">
      <c r="A2235" t="s">
        <v>1223</v>
      </c>
      <c r="B2235" t="s">
        <v>1720</v>
      </c>
      <c r="D2235" t="b">
        <f>IFERROR(VLOOKUP(B2235,PatData!$A$2:$A$2030,1,),"")&lt;&gt;""</f>
        <v>0</v>
      </c>
      <c r="E2235" t="s">
        <v>4778</v>
      </c>
      <c r="F2235" t="b">
        <v>1</v>
      </c>
      <c r="G2235" t="b">
        <v>0</v>
      </c>
      <c r="H2235" t="b">
        <v>0</v>
      </c>
      <c r="I2235" t="b">
        <v>0</v>
      </c>
    </row>
    <row r="2236" spans="1:9" x14ac:dyDescent="0.2">
      <c r="A2236" t="s">
        <v>923</v>
      </c>
      <c r="B2236" t="s">
        <v>1704</v>
      </c>
      <c r="D2236" t="b">
        <f>IFERROR(VLOOKUP(B2236,PatData!$A$2:$A$2030,1,),"")&lt;&gt;""</f>
        <v>0</v>
      </c>
      <c r="E2236" t="s">
        <v>2800</v>
      </c>
      <c r="F2236" t="b">
        <v>1</v>
      </c>
      <c r="G2236" t="b">
        <v>0</v>
      </c>
      <c r="H2236" t="b">
        <v>0</v>
      </c>
      <c r="I2236" t="b">
        <v>0</v>
      </c>
    </row>
    <row r="2237" spans="1:9" ht="140.25" x14ac:dyDescent="0.2">
      <c r="A2237" t="s">
        <v>924</v>
      </c>
      <c r="B2237" t="s">
        <v>1705</v>
      </c>
      <c r="D2237" t="b">
        <f>IFERROR(VLOOKUP(B2237,PatData!$A$2:$A$2030,1,),"")&lt;&gt;""</f>
        <v>0</v>
      </c>
      <c r="E2237" s="9" t="s">
        <v>7087</v>
      </c>
      <c r="F2237" t="b">
        <v>1</v>
      </c>
      <c r="G2237" t="b">
        <v>0</v>
      </c>
      <c r="H2237" t="b">
        <v>0</v>
      </c>
      <c r="I2237" t="b">
        <v>0</v>
      </c>
    </row>
    <row r="2238" spans="1:9" x14ac:dyDescent="0.2">
      <c r="A2238" t="s">
        <v>4339</v>
      </c>
      <c r="B2238" t="s">
        <v>1706</v>
      </c>
      <c r="D2238" t="b">
        <f>IFERROR(VLOOKUP(B2238,PatData!$A$2:$A$2030,1,),"")&lt;&gt;""</f>
        <v>0</v>
      </c>
      <c r="E2238" t="s">
        <v>4213</v>
      </c>
      <c r="F2238" t="b">
        <v>1</v>
      </c>
      <c r="G2238" t="b">
        <v>0</v>
      </c>
      <c r="H2238" t="b">
        <v>0</v>
      </c>
      <c r="I2238" t="b">
        <v>0</v>
      </c>
    </row>
    <row r="2239" spans="1:9" x14ac:dyDescent="0.2">
      <c r="A2239" t="s">
        <v>3145</v>
      </c>
      <c r="B2239" t="s">
        <v>3960</v>
      </c>
      <c r="D2239" t="b">
        <f>IFERROR(VLOOKUP(B2239,PatData!$A$2:$A$2030,1,),"")&lt;&gt;""</f>
        <v>0</v>
      </c>
      <c r="E2239">
        <v>0</v>
      </c>
      <c r="F2239" t="b">
        <v>0</v>
      </c>
      <c r="G2239" t="b">
        <v>0</v>
      </c>
      <c r="H2239" t="b">
        <v>0</v>
      </c>
      <c r="I2239" t="b">
        <v>0</v>
      </c>
    </row>
    <row r="2240" spans="1:9" x14ac:dyDescent="0.2">
      <c r="A2240" t="s">
        <v>5176</v>
      </c>
      <c r="B2240" t="s">
        <v>5177</v>
      </c>
      <c r="D2240" t="b">
        <f>IFERROR(VLOOKUP(B2240,PatData!$A$2:$A$2030,1,),"")&lt;&gt;""</f>
        <v>0</v>
      </c>
      <c r="E2240" t="s">
        <v>7614</v>
      </c>
      <c r="F2240" t="b">
        <v>1</v>
      </c>
      <c r="G2240" t="b">
        <v>0</v>
      </c>
      <c r="H2240" t="b">
        <v>0</v>
      </c>
      <c r="I2240" t="b">
        <v>0</v>
      </c>
    </row>
    <row r="2241" spans="1:9" x14ac:dyDescent="0.2">
      <c r="A2241" t="s">
        <v>3146</v>
      </c>
      <c r="B2241" t="s">
        <v>4340</v>
      </c>
      <c r="D2241" t="b">
        <f>IFERROR(VLOOKUP(B2241,PatData!$A$2:$A$2030,1,),"")&lt;&gt;""</f>
        <v>0</v>
      </c>
      <c r="E2241">
        <v>1</v>
      </c>
      <c r="F2241" t="b">
        <v>0</v>
      </c>
      <c r="G2241" t="b">
        <v>0</v>
      </c>
      <c r="H2241" t="b">
        <v>0</v>
      </c>
      <c r="I2241" t="b">
        <v>0</v>
      </c>
    </row>
    <row r="2242" spans="1:9" x14ac:dyDescent="0.2">
      <c r="A2242" t="s">
        <v>3147</v>
      </c>
      <c r="B2242" t="s">
        <v>4341</v>
      </c>
      <c r="D2242" t="b">
        <f>IFERROR(VLOOKUP(B2242,PatData!$A$2:$A$2030,1,),"")&lt;&gt;""</f>
        <v>0</v>
      </c>
      <c r="E2242">
        <v>1</v>
      </c>
      <c r="F2242" t="b">
        <v>0</v>
      </c>
      <c r="G2242" t="b">
        <v>0</v>
      </c>
      <c r="H2242" t="b">
        <v>0</v>
      </c>
      <c r="I2242" t="b">
        <v>0</v>
      </c>
    </row>
    <row r="2243" spans="1:9" x14ac:dyDescent="0.2">
      <c r="A2243" t="s">
        <v>4342</v>
      </c>
      <c r="B2243" t="s">
        <v>4343</v>
      </c>
      <c r="D2243" t="b">
        <f>IFERROR(VLOOKUP(B2243,PatData!$A$2:$A$2030,1,),"")&lt;&gt;""</f>
        <v>0</v>
      </c>
      <c r="E2243">
        <v>1</v>
      </c>
      <c r="F2243" t="b">
        <v>0</v>
      </c>
      <c r="G2243" t="b">
        <v>0</v>
      </c>
      <c r="H2243" t="b">
        <v>0</v>
      </c>
      <c r="I2243" t="b">
        <v>0</v>
      </c>
    </row>
    <row r="2244" spans="1:9" x14ac:dyDescent="0.2">
      <c r="A2244" t="s">
        <v>4344</v>
      </c>
      <c r="B2244" t="s">
        <v>4345</v>
      </c>
      <c r="D2244" t="b">
        <f>IFERROR(VLOOKUP(B2244,PatData!$A$2:$A$2030,1,),"")&lt;&gt;""</f>
        <v>0</v>
      </c>
      <c r="E2244">
        <v>1</v>
      </c>
      <c r="F2244" t="b">
        <v>0</v>
      </c>
      <c r="G2244" t="b">
        <v>0</v>
      </c>
      <c r="H2244" t="b">
        <v>0</v>
      </c>
      <c r="I2244" t="b">
        <v>0</v>
      </c>
    </row>
    <row r="2245" spans="1:9" x14ac:dyDescent="0.2">
      <c r="A2245" t="s">
        <v>4346</v>
      </c>
      <c r="B2245" t="s">
        <v>4347</v>
      </c>
      <c r="D2245" t="b">
        <f>IFERROR(VLOOKUP(B2245,PatData!$A$2:$A$2030,1,),"")&lt;&gt;""</f>
        <v>0</v>
      </c>
      <c r="E2245">
        <v>1</v>
      </c>
      <c r="F2245" t="b">
        <v>0</v>
      </c>
      <c r="G2245" t="b">
        <v>0</v>
      </c>
      <c r="H2245" t="b">
        <v>0</v>
      </c>
      <c r="I2245" t="b">
        <v>0</v>
      </c>
    </row>
    <row r="2246" spans="1:9" x14ac:dyDescent="0.2">
      <c r="A2246" t="s">
        <v>3148</v>
      </c>
      <c r="B2246" t="s">
        <v>4348</v>
      </c>
      <c r="D2246" t="b">
        <f>IFERROR(VLOOKUP(B2246,PatData!$A$2:$A$2030,1,),"")&lt;&gt;""</f>
        <v>0</v>
      </c>
      <c r="E2246">
        <v>1</v>
      </c>
      <c r="F2246" t="b">
        <v>0</v>
      </c>
      <c r="G2246" t="b">
        <v>0</v>
      </c>
      <c r="H2246" t="b">
        <v>0</v>
      </c>
      <c r="I2246" t="b">
        <v>0</v>
      </c>
    </row>
    <row r="2247" spans="1:9" x14ac:dyDescent="0.2">
      <c r="A2247" t="s">
        <v>4217</v>
      </c>
      <c r="B2247" t="s">
        <v>4349</v>
      </c>
      <c r="D2247" t="b">
        <f>IFERROR(VLOOKUP(B2247,PatData!$A$2:$A$2030,1,),"")&lt;&gt;""</f>
        <v>0</v>
      </c>
      <c r="E2247">
        <v>1</v>
      </c>
      <c r="F2247" t="b">
        <v>0</v>
      </c>
      <c r="G2247" t="b">
        <v>0</v>
      </c>
      <c r="H2247" t="b">
        <v>0</v>
      </c>
      <c r="I2247" t="b">
        <v>0</v>
      </c>
    </row>
    <row r="2248" spans="1:9" x14ac:dyDescent="0.2">
      <c r="A2248" t="s">
        <v>4350</v>
      </c>
      <c r="B2248" t="s">
        <v>4351</v>
      </c>
      <c r="D2248" t="b">
        <f>IFERROR(VLOOKUP(B2248,PatData!$A$2:$A$2030,1,),"")&lt;&gt;""</f>
        <v>0</v>
      </c>
      <c r="E2248">
        <v>1</v>
      </c>
      <c r="F2248" t="b">
        <v>0</v>
      </c>
      <c r="G2248" t="b">
        <v>0</v>
      </c>
      <c r="H2248" t="b">
        <v>0</v>
      </c>
      <c r="I2248" t="b">
        <v>0</v>
      </c>
    </row>
    <row r="2249" spans="1:9" x14ac:dyDescent="0.2">
      <c r="A2249" t="s">
        <v>4352</v>
      </c>
      <c r="B2249" t="s">
        <v>4353</v>
      </c>
      <c r="D2249" t="b">
        <f>IFERROR(VLOOKUP(B2249,PatData!$A$2:$A$2030,1,),"")&lt;&gt;""</f>
        <v>0</v>
      </c>
      <c r="E2249">
        <v>1</v>
      </c>
      <c r="F2249" t="b">
        <v>0</v>
      </c>
      <c r="G2249" t="b">
        <v>0</v>
      </c>
      <c r="H2249" t="b">
        <v>0</v>
      </c>
      <c r="I2249" t="b">
        <v>0</v>
      </c>
    </row>
    <row r="2250" spans="1:9" x14ac:dyDescent="0.2">
      <c r="A2250" t="s">
        <v>4354</v>
      </c>
      <c r="B2250" t="s">
        <v>4355</v>
      </c>
      <c r="D2250" t="b">
        <f>IFERROR(VLOOKUP(B2250,PatData!$A$2:$A$2030,1,),"")&lt;&gt;""</f>
        <v>0</v>
      </c>
      <c r="E2250">
        <v>1</v>
      </c>
      <c r="F2250" t="b">
        <v>0</v>
      </c>
      <c r="G2250" t="b">
        <v>0</v>
      </c>
      <c r="H2250" t="b">
        <v>0</v>
      </c>
      <c r="I2250" t="b">
        <v>0</v>
      </c>
    </row>
    <row r="2251" spans="1:9" x14ac:dyDescent="0.2">
      <c r="A2251" t="s">
        <v>3149</v>
      </c>
      <c r="B2251" t="s">
        <v>4356</v>
      </c>
      <c r="D2251" t="b">
        <f>IFERROR(VLOOKUP(B2251,PatData!$A$2:$A$2030,1,),"")&lt;&gt;""</f>
        <v>0</v>
      </c>
      <c r="E2251">
        <v>0</v>
      </c>
      <c r="F2251" t="b">
        <v>0</v>
      </c>
      <c r="G2251" t="b">
        <v>0</v>
      </c>
      <c r="H2251" t="b">
        <v>0</v>
      </c>
      <c r="I2251" t="b">
        <v>0</v>
      </c>
    </row>
    <row r="2252" spans="1:9" x14ac:dyDescent="0.2">
      <c r="A2252" t="s">
        <v>3150</v>
      </c>
      <c r="B2252" t="s">
        <v>4357</v>
      </c>
      <c r="D2252" t="b">
        <f>IFERROR(VLOOKUP(B2252,PatData!$A$2:$A$2030,1,),"")&lt;&gt;""</f>
        <v>0</v>
      </c>
      <c r="E2252">
        <v>0</v>
      </c>
      <c r="F2252" t="b">
        <v>0</v>
      </c>
      <c r="G2252" t="b">
        <v>0</v>
      </c>
      <c r="H2252" t="b">
        <v>0</v>
      </c>
      <c r="I2252" t="b">
        <v>0</v>
      </c>
    </row>
    <row r="2253" spans="1:9" x14ac:dyDescent="0.2">
      <c r="A2253" t="s">
        <v>4358</v>
      </c>
      <c r="B2253" t="s">
        <v>4359</v>
      </c>
      <c r="D2253" t="b">
        <f>IFERROR(VLOOKUP(B2253,PatData!$A$2:$A$2030,1,),"")&lt;&gt;""</f>
        <v>0</v>
      </c>
      <c r="E2253">
        <v>0</v>
      </c>
      <c r="F2253" t="b">
        <v>0</v>
      </c>
      <c r="G2253" t="b">
        <v>0</v>
      </c>
      <c r="H2253" t="b">
        <v>0</v>
      </c>
      <c r="I2253" t="b">
        <v>0</v>
      </c>
    </row>
    <row r="2254" spans="1:9" x14ac:dyDescent="0.2">
      <c r="A2254" t="s">
        <v>4360</v>
      </c>
      <c r="B2254" t="s">
        <v>4361</v>
      </c>
      <c r="D2254" t="b">
        <f>IFERROR(VLOOKUP(B2254,PatData!$A$2:$A$2030,1,),"")&lt;&gt;""</f>
        <v>0</v>
      </c>
      <c r="E2254">
        <v>0</v>
      </c>
      <c r="F2254" t="b">
        <v>0</v>
      </c>
      <c r="G2254" t="b">
        <v>0</v>
      </c>
      <c r="H2254" t="b">
        <v>0</v>
      </c>
      <c r="I2254" t="b">
        <v>0</v>
      </c>
    </row>
    <row r="2255" spans="1:9" x14ac:dyDescent="0.2">
      <c r="A2255" t="s">
        <v>4362</v>
      </c>
      <c r="B2255" t="s">
        <v>4363</v>
      </c>
      <c r="D2255" t="b">
        <f>IFERROR(VLOOKUP(B2255,PatData!$A$2:$A$2030,1,),"")&lt;&gt;""</f>
        <v>0</v>
      </c>
      <c r="E2255">
        <v>0</v>
      </c>
      <c r="F2255" t="b">
        <v>0</v>
      </c>
      <c r="G2255" t="b">
        <v>0</v>
      </c>
      <c r="H2255" t="b">
        <v>0</v>
      </c>
      <c r="I2255" t="b">
        <v>0</v>
      </c>
    </row>
    <row r="2256" spans="1:9" x14ac:dyDescent="0.2">
      <c r="A2256" t="s">
        <v>4364</v>
      </c>
      <c r="B2256" t="s">
        <v>4365</v>
      </c>
      <c r="D2256" t="b">
        <f>IFERROR(VLOOKUP(B2256,PatData!$A$2:$A$2030,1,),"")&lt;&gt;""</f>
        <v>0</v>
      </c>
      <c r="E2256">
        <v>0</v>
      </c>
      <c r="F2256" t="b">
        <v>0</v>
      </c>
      <c r="G2256" t="b">
        <v>0</v>
      </c>
      <c r="H2256" t="b">
        <v>0</v>
      </c>
      <c r="I2256" t="b">
        <v>0</v>
      </c>
    </row>
    <row r="2257" spans="1:9" x14ac:dyDescent="0.2">
      <c r="A2257" t="s">
        <v>4366</v>
      </c>
      <c r="B2257" t="s">
        <v>4367</v>
      </c>
      <c r="D2257" t="b">
        <f>IFERROR(VLOOKUP(B2257,PatData!$A$2:$A$2030,1,),"")&lt;&gt;""</f>
        <v>0</v>
      </c>
      <c r="E2257">
        <v>0</v>
      </c>
      <c r="F2257" t="b">
        <v>0</v>
      </c>
      <c r="G2257" t="b">
        <v>0</v>
      </c>
      <c r="H2257" t="b">
        <v>0</v>
      </c>
      <c r="I2257" t="b">
        <v>0</v>
      </c>
    </row>
    <row r="2258" spans="1:9" x14ac:dyDescent="0.2">
      <c r="A2258" t="s">
        <v>4368</v>
      </c>
      <c r="B2258" t="s">
        <v>4369</v>
      </c>
      <c r="D2258" t="b">
        <f>IFERROR(VLOOKUP(B2258,PatData!$A$2:$A$2030,1,),"")&lt;&gt;""</f>
        <v>0</v>
      </c>
      <c r="E2258">
        <v>0</v>
      </c>
      <c r="F2258" t="b">
        <v>0</v>
      </c>
      <c r="G2258" t="b">
        <v>0</v>
      </c>
      <c r="H2258" t="b">
        <v>0</v>
      </c>
      <c r="I2258" t="b">
        <v>0</v>
      </c>
    </row>
    <row r="2259" spans="1:9" x14ac:dyDescent="0.2">
      <c r="A2259" t="s">
        <v>4370</v>
      </c>
      <c r="B2259" t="s">
        <v>4371</v>
      </c>
      <c r="D2259" t="b">
        <f>IFERROR(VLOOKUP(B2259,PatData!$A$2:$A$2030,1,),"")&lt;&gt;""</f>
        <v>0</v>
      </c>
      <c r="E2259">
        <v>0</v>
      </c>
      <c r="F2259" t="b">
        <v>0</v>
      </c>
      <c r="G2259" t="b">
        <v>0</v>
      </c>
      <c r="H2259" t="b">
        <v>0</v>
      </c>
      <c r="I2259" t="b">
        <v>0</v>
      </c>
    </row>
    <row r="2260" spans="1:9" x14ac:dyDescent="0.2">
      <c r="A2260" t="s">
        <v>4372</v>
      </c>
      <c r="B2260" t="s">
        <v>4373</v>
      </c>
      <c r="D2260" t="b">
        <f>IFERROR(VLOOKUP(B2260,PatData!$A$2:$A$2030,1,),"")&lt;&gt;""</f>
        <v>0</v>
      </c>
      <c r="E2260">
        <v>0</v>
      </c>
      <c r="F2260" t="b">
        <v>0</v>
      </c>
      <c r="G2260" t="b">
        <v>0</v>
      </c>
      <c r="H2260" t="b">
        <v>0</v>
      </c>
      <c r="I2260" t="b">
        <v>0</v>
      </c>
    </row>
    <row r="2261" spans="1:9" x14ac:dyDescent="0.2">
      <c r="A2261" t="s">
        <v>4374</v>
      </c>
      <c r="B2261" t="s">
        <v>3961</v>
      </c>
      <c r="D2261" t="b">
        <f>IFERROR(VLOOKUP(B2261,PatData!$A$2:$A$2030,1,),"")&lt;&gt;""</f>
        <v>0</v>
      </c>
      <c r="E2261"/>
      <c r="F2261" t="b">
        <v>0</v>
      </c>
      <c r="G2261" t="b">
        <v>0</v>
      </c>
      <c r="H2261" t="b">
        <v>0</v>
      </c>
      <c r="I2261" t="b">
        <v>0</v>
      </c>
    </row>
    <row r="2262" spans="1:9" x14ac:dyDescent="0.2">
      <c r="A2262" t="s">
        <v>4375</v>
      </c>
      <c r="B2262" t="s">
        <v>3962</v>
      </c>
      <c r="D2262" t="b">
        <f>IFERROR(VLOOKUP(B2262,PatData!$A$2:$A$2030,1,),"")&lt;&gt;""</f>
        <v>0</v>
      </c>
      <c r="E2262"/>
      <c r="F2262" t="b">
        <v>0</v>
      </c>
      <c r="G2262" t="b">
        <v>0</v>
      </c>
      <c r="H2262" t="b">
        <v>0</v>
      </c>
      <c r="I2262" t="b">
        <v>0</v>
      </c>
    </row>
    <row r="2263" spans="1:9" x14ac:dyDescent="0.2">
      <c r="A2263" t="s">
        <v>3152</v>
      </c>
      <c r="B2263" t="s">
        <v>4376</v>
      </c>
      <c r="D2263" t="b">
        <f>IFERROR(VLOOKUP(B2263,PatData!$A$2:$A$2030,1,),"")&lt;&gt;""</f>
        <v>0</v>
      </c>
      <c r="E2263">
        <v>0</v>
      </c>
      <c r="F2263" t="b">
        <v>0</v>
      </c>
      <c r="G2263" t="b">
        <v>0</v>
      </c>
      <c r="H2263" t="b">
        <v>0</v>
      </c>
      <c r="I2263" t="b">
        <v>0</v>
      </c>
    </row>
    <row r="2264" spans="1:9" x14ac:dyDescent="0.2">
      <c r="A2264" t="s">
        <v>3153</v>
      </c>
      <c r="B2264" t="s">
        <v>4377</v>
      </c>
      <c r="D2264" t="b">
        <f>IFERROR(VLOOKUP(B2264,PatData!$A$2:$A$2030,1,),"")&lt;&gt;""</f>
        <v>0</v>
      </c>
      <c r="E2264">
        <v>0</v>
      </c>
      <c r="F2264" t="b">
        <v>0</v>
      </c>
      <c r="G2264" t="b">
        <v>0</v>
      </c>
      <c r="H2264" t="b">
        <v>0</v>
      </c>
      <c r="I2264" t="b">
        <v>0</v>
      </c>
    </row>
    <row r="2265" spans="1:9" x14ac:dyDescent="0.2">
      <c r="A2265" t="s">
        <v>4378</v>
      </c>
      <c r="B2265" t="s">
        <v>4379</v>
      </c>
      <c r="D2265" t="b">
        <f>IFERROR(VLOOKUP(B2265,PatData!$A$2:$A$2030,1,),"")&lt;&gt;""</f>
        <v>0</v>
      </c>
      <c r="E2265">
        <v>0</v>
      </c>
      <c r="F2265" t="b">
        <v>0</v>
      </c>
      <c r="G2265" t="b">
        <v>0</v>
      </c>
      <c r="H2265" t="b">
        <v>0</v>
      </c>
      <c r="I2265" t="b">
        <v>0</v>
      </c>
    </row>
    <row r="2266" spans="1:9" x14ac:dyDescent="0.2">
      <c r="A2266" t="s">
        <v>4380</v>
      </c>
      <c r="B2266" t="s">
        <v>4381</v>
      </c>
      <c r="D2266" t="b">
        <f>IFERROR(VLOOKUP(B2266,PatData!$A$2:$A$2030,1,),"")&lt;&gt;""</f>
        <v>0</v>
      </c>
      <c r="E2266">
        <v>0</v>
      </c>
      <c r="F2266" t="b">
        <v>0</v>
      </c>
      <c r="G2266" t="b">
        <v>0</v>
      </c>
      <c r="H2266" t="b">
        <v>0</v>
      </c>
      <c r="I2266" t="b">
        <v>0</v>
      </c>
    </row>
    <row r="2267" spans="1:9" x14ac:dyDescent="0.2">
      <c r="A2267" t="s">
        <v>4382</v>
      </c>
      <c r="B2267" t="s">
        <v>4383</v>
      </c>
      <c r="D2267" t="b">
        <f>IFERROR(VLOOKUP(B2267,PatData!$A$2:$A$2030,1,),"")&lt;&gt;""</f>
        <v>0</v>
      </c>
      <c r="E2267">
        <v>0</v>
      </c>
      <c r="F2267" t="b">
        <v>0</v>
      </c>
      <c r="G2267" t="b">
        <v>0</v>
      </c>
      <c r="H2267" t="b">
        <v>0</v>
      </c>
      <c r="I2267" t="b">
        <v>0</v>
      </c>
    </row>
    <row r="2268" spans="1:9" x14ac:dyDescent="0.2">
      <c r="A2268" t="s">
        <v>4384</v>
      </c>
      <c r="B2268" t="s">
        <v>4385</v>
      </c>
      <c r="D2268" t="b">
        <f>IFERROR(VLOOKUP(B2268,PatData!$A$2:$A$2030,1,),"")&lt;&gt;""</f>
        <v>0</v>
      </c>
      <c r="E2268">
        <v>0</v>
      </c>
      <c r="F2268" t="b">
        <v>0</v>
      </c>
      <c r="G2268" t="b">
        <v>0</v>
      </c>
      <c r="H2268" t="b">
        <v>0</v>
      </c>
      <c r="I2268" t="b">
        <v>0</v>
      </c>
    </row>
    <row r="2269" spans="1:9" x14ac:dyDescent="0.2">
      <c r="A2269" t="s">
        <v>4386</v>
      </c>
      <c r="B2269" t="s">
        <v>4387</v>
      </c>
      <c r="D2269" t="b">
        <f>IFERROR(VLOOKUP(B2269,PatData!$A$2:$A$2030,1,),"")&lt;&gt;""</f>
        <v>0</v>
      </c>
      <c r="E2269">
        <v>0</v>
      </c>
      <c r="F2269" t="b">
        <v>0</v>
      </c>
      <c r="G2269" t="b">
        <v>0</v>
      </c>
      <c r="H2269" t="b">
        <v>0</v>
      </c>
      <c r="I2269" t="b">
        <v>0</v>
      </c>
    </row>
    <row r="2270" spans="1:9" x14ac:dyDescent="0.2">
      <c r="A2270" t="s">
        <v>4388</v>
      </c>
      <c r="B2270" t="s">
        <v>4389</v>
      </c>
      <c r="D2270" t="b">
        <f>IFERROR(VLOOKUP(B2270,PatData!$A$2:$A$2030,1,),"")&lt;&gt;""</f>
        <v>0</v>
      </c>
      <c r="E2270">
        <v>0</v>
      </c>
      <c r="F2270" t="b">
        <v>0</v>
      </c>
      <c r="G2270" t="b">
        <v>0</v>
      </c>
      <c r="H2270" t="b">
        <v>0</v>
      </c>
      <c r="I2270" t="b">
        <v>0</v>
      </c>
    </row>
    <row r="2271" spans="1:9" x14ac:dyDescent="0.2">
      <c r="A2271" t="s">
        <v>4230</v>
      </c>
      <c r="B2271" t="s">
        <v>4390</v>
      </c>
      <c r="D2271" t="b">
        <f>IFERROR(VLOOKUP(B2271,PatData!$A$2:$A$2030,1,),"")&lt;&gt;""</f>
        <v>0</v>
      </c>
      <c r="E2271">
        <v>0</v>
      </c>
      <c r="F2271" t="b">
        <v>0</v>
      </c>
      <c r="G2271" t="b">
        <v>0</v>
      </c>
      <c r="H2271" t="b">
        <v>0</v>
      </c>
      <c r="I2271" t="b">
        <v>0</v>
      </c>
    </row>
    <row r="2272" spans="1:9" x14ac:dyDescent="0.2">
      <c r="A2272" t="s">
        <v>4229</v>
      </c>
      <c r="B2272" t="s">
        <v>4391</v>
      </c>
      <c r="D2272" t="b">
        <f>IFERROR(VLOOKUP(B2272,PatData!$A$2:$A$2030,1,),"")&lt;&gt;""</f>
        <v>0</v>
      </c>
      <c r="E2272">
        <v>0</v>
      </c>
      <c r="F2272" t="b">
        <v>0</v>
      </c>
      <c r="G2272" t="b">
        <v>0</v>
      </c>
      <c r="H2272" t="b">
        <v>0</v>
      </c>
      <c r="I2272" t="b">
        <v>0</v>
      </c>
    </row>
    <row r="2273" spans="1:9" x14ac:dyDescent="0.2">
      <c r="A2273" t="s">
        <v>3154</v>
      </c>
      <c r="B2273" t="s">
        <v>3963</v>
      </c>
      <c r="D2273" t="b">
        <f>IFERROR(VLOOKUP(B2273,PatData!$A$2:$A$2030,1,),"")&lt;&gt;""</f>
        <v>0</v>
      </c>
      <c r="E2273">
        <v>1</v>
      </c>
      <c r="F2273" t="b">
        <v>0</v>
      </c>
      <c r="G2273" t="b">
        <v>0</v>
      </c>
      <c r="H2273" t="b">
        <v>0</v>
      </c>
      <c r="I2273" t="b">
        <v>0</v>
      </c>
    </row>
    <row r="2274" spans="1:9" x14ac:dyDescent="0.2">
      <c r="A2274" t="s">
        <v>3155</v>
      </c>
      <c r="B2274" t="s">
        <v>3964</v>
      </c>
      <c r="D2274" t="b">
        <f>IFERROR(VLOOKUP(B2274,PatData!$A$2:$A$2030,1,),"")&lt;&gt;""</f>
        <v>0</v>
      </c>
      <c r="E2274">
        <v>1</v>
      </c>
      <c r="F2274" t="b">
        <v>0</v>
      </c>
      <c r="G2274" t="b">
        <v>0</v>
      </c>
      <c r="H2274" t="b">
        <v>0</v>
      </c>
      <c r="I2274" t="b">
        <v>0</v>
      </c>
    </row>
    <row r="2275" spans="1:9" x14ac:dyDescent="0.2">
      <c r="A2275" t="s">
        <v>3156</v>
      </c>
      <c r="B2275" t="s">
        <v>3965</v>
      </c>
      <c r="D2275" t="b">
        <f>IFERROR(VLOOKUP(B2275,PatData!$A$2:$A$2030,1,),"")&lt;&gt;""</f>
        <v>0</v>
      </c>
      <c r="E2275">
        <v>1</v>
      </c>
      <c r="F2275" t="b">
        <v>0</v>
      </c>
      <c r="G2275" t="b">
        <v>0</v>
      </c>
      <c r="H2275" t="b">
        <v>0</v>
      </c>
      <c r="I2275" t="b">
        <v>0</v>
      </c>
    </row>
    <row r="2276" spans="1:9" x14ac:dyDescent="0.2">
      <c r="A2276" t="s">
        <v>3157</v>
      </c>
      <c r="B2276" t="s">
        <v>3966</v>
      </c>
      <c r="D2276" t="b">
        <f>IFERROR(VLOOKUP(B2276,PatData!$A$2:$A$2030,1,),"")&lt;&gt;""</f>
        <v>0</v>
      </c>
      <c r="E2276">
        <v>1</v>
      </c>
      <c r="F2276" t="b">
        <v>0</v>
      </c>
      <c r="G2276" t="b">
        <v>0</v>
      </c>
      <c r="H2276" t="b">
        <v>0</v>
      </c>
      <c r="I2276" t="b">
        <v>0</v>
      </c>
    </row>
    <row r="2277" spans="1:9" x14ac:dyDescent="0.2">
      <c r="A2277" t="s">
        <v>3158</v>
      </c>
      <c r="B2277" t="s">
        <v>3967</v>
      </c>
      <c r="D2277" t="b">
        <f>IFERROR(VLOOKUP(B2277,PatData!$A$2:$A$2030,1,),"")&lt;&gt;""</f>
        <v>0</v>
      </c>
      <c r="E2277">
        <v>1</v>
      </c>
      <c r="F2277" t="b">
        <v>0</v>
      </c>
      <c r="G2277" t="b">
        <v>0</v>
      </c>
      <c r="H2277" t="b">
        <v>0</v>
      </c>
      <c r="I2277" t="b">
        <v>0</v>
      </c>
    </row>
    <row r="2278" spans="1:9" x14ac:dyDescent="0.2">
      <c r="A2278" t="s">
        <v>4392</v>
      </c>
      <c r="B2278" t="s">
        <v>3968</v>
      </c>
      <c r="D2278" t="b">
        <f>IFERROR(VLOOKUP(B2278,PatData!$A$2:$A$2030,1,),"")&lt;&gt;""</f>
        <v>0</v>
      </c>
      <c r="E2278">
        <v>1</v>
      </c>
      <c r="F2278" t="b">
        <v>0</v>
      </c>
      <c r="G2278" t="b">
        <v>0</v>
      </c>
      <c r="H2278" t="b">
        <v>0</v>
      </c>
      <c r="I2278" t="b">
        <v>0</v>
      </c>
    </row>
    <row r="2279" spans="1:9" x14ac:dyDescent="0.2">
      <c r="A2279" t="s">
        <v>4393</v>
      </c>
      <c r="B2279" t="s">
        <v>3969</v>
      </c>
      <c r="D2279" t="b">
        <f>IFERROR(VLOOKUP(B2279,PatData!$A$2:$A$2030,1,),"")&lt;&gt;""</f>
        <v>0</v>
      </c>
      <c r="E2279">
        <v>1</v>
      </c>
      <c r="F2279" t="b">
        <v>0</v>
      </c>
      <c r="G2279" t="b">
        <v>0</v>
      </c>
      <c r="H2279" t="b">
        <v>0</v>
      </c>
      <c r="I2279" t="b">
        <v>0</v>
      </c>
    </row>
    <row r="2280" spans="1:9" x14ac:dyDescent="0.2">
      <c r="A2280" t="s">
        <v>4394</v>
      </c>
      <c r="B2280" t="s">
        <v>3970</v>
      </c>
      <c r="D2280" t="b">
        <f>IFERROR(VLOOKUP(B2280,PatData!$A$2:$A$2030,1,),"")&lt;&gt;""</f>
        <v>0</v>
      </c>
      <c r="E2280">
        <v>1</v>
      </c>
      <c r="F2280" t="b">
        <v>0</v>
      </c>
      <c r="G2280" t="b">
        <v>0</v>
      </c>
      <c r="H2280" t="b">
        <v>0</v>
      </c>
      <c r="I2280" t="b">
        <v>0</v>
      </c>
    </row>
    <row r="2281" spans="1:9" x14ac:dyDescent="0.2">
      <c r="A2281" t="s">
        <v>4395</v>
      </c>
      <c r="B2281" t="s">
        <v>3971</v>
      </c>
      <c r="D2281" t="b">
        <f>IFERROR(VLOOKUP(B2281,PatData!$A$2:$A$2030,1,),"")&lt;&gt;""</f>
        <v>0</v>
      </c>
      <c r="E2281">
        <v>1</v>
      </c>
      <c r="F2281" t="b">
        <v>0</v>
      </c>
      <c r="G2281" t="b">
        <v>0</v>
      </c>
      <c r="H2281" t="b">
        <v>0</v>
      </c>
      <c r="I2281" t="b">
        <v>0</v>
      </c>
    </row>
    <row r="2282" spans="1:9" x14ac:dyDescent="0.2">
      <c r="A2282" t="s">
        <v>4396</v>
      </c>
      <c r="B2282" t="s">
        <v>3972</v>
      </c>
      <c r="D2282" t="b">
        <f>IFERROR(VLOOKUP(B2282,PatData!$A$2:$A$2030,1,),"")&lt;&gt;""</f>
        <v>0</v>
      </c>
      <c r="E2282">
        <v>1</v>
      </c>
      <c r="F2282" t="b">
        <v>0</v>
      </c>
      <c r="G2282" t="b">
        <v>0</v>
      </c>
      <c r="H2282" t="b">
        <v>0</v>
      </c>
      <c r="I2282" t="b">
        <v>0</v>
      </c>
    </row>
    <row r="2283" spans="1:9" x14ac:dyDescent="0.2">
      <c r="A2283" t="s">
        <v>4397</v>
      </c>
      <c r="B2283" t="s">
        <v>3973</v>
      </c>
      <c r="D2283" t="b">
        <f>IFERROR(VLOOKUP(B2283,PatData!$A$2:$A$2030,1,),"")&lt;&gt;""</f>
        <v>0</v>
      </c>
      <c r="E2283">
        <v>1</v>
      </c>
      <c r="F2283" t="b">
        <v>0</v>
      </c>
      <c r="G2283" t="b">
        <v>0</v>
      </c>
      <c r="H2283" t="b">
        <v>0</v>
      </c>
      <c r="I2283" t="b">
        <v>0</v>
      </c>
    </row>
    <row r="2284" spans="1:9" x14ac:dyDescent="0.2">
      <c r="A2284" t="s">
        <v>4398</v>
      </c>
      <c r="B2284" t="s">
        <v>3974</v>
      </c>
      <c r="D2284" t="b">
        <f>IFERROR(VLOOKUP(B2284,PatData!$A$2:$A$2030,1,),"")&lt;&gt;""</f>
        <v>0</v>
      </c>
      <c r="E2284">
        <v>1</v>
      </c>
      <c r="F2284" t="b">
        <v>0</v>
      </c>
      <c r="G2284" t="b">
        <v>0</v>
      </c>
      <c r="H2284" t="b">
        <v>0</v>
      </c>
      <c r="I2284" t="b">
        <v>0</v>
      </c>
    </row>
    <row r="2285" spans="1:9" x14ac:dyDescent="0.2">
      <c r="A2285" t="s">
        <v>4399</v>
      </c>
      <c r="B2285" t="s">
        <v>4400</v>
      </c>
      <c r="D2285" t="b">
        <f>IFERROR(VLOOKUP(B2285,PatData!$A$2:$A$2030,1,),"")&lt;&gt;""</f>
        <v>0</v>
      </c>
      <c r="E2285">
        <v>1</v>
      </c>
      <c r="F2285" t="b">
        <v>0</v>
      </c>
      <c r="G2285" t="b">
        <v>0</v>
      </c>
      <c r="H2285" t="b">
        <v>0</v>
      </c>
      <c r="I2285" t="b">
        <v>0</v>
      </c>
    </row>
    <row r="2286" spans="1:9" x14ac:dyDescent="0.2">
      <c r="A2286" t="s">
        <v>3161</v>
      </c>
      <c r="B2286" t="s">
        <v>3975</v>
      </c>
      <c r="D2286" t="b">
        <f>IFERROR(VLOOKUP(B2286,PatData!$A$2:$A$2030,1,),"")&lt;&gt;""</f>
        <v>0</v>
      </c>
      <c r="E2286">
        <v>0</v>
      </c>
      <c r="F2286" t="b">
        <v>0</v>
      </c>
      <c r="G2286" t="b">
        <v>0</v>
      </c>
      <c r="H2286" t="b">
        <v>0</v>
      </c>
      <c r="I2286" t="b">
        <v>0</v>
      </c>
    </row>
    <row r="2287" spans="1:9" x14ac:dyDescent="0.2">
      <c r="A2287" t="s">
        <v>3162</v>
      </c>
      <c r="B2287" t="s">
        <v>3976</v>
      </c>
      <c r="D2287" t="b">
        <f>IFERROR(VLOOKUP(B2287,PatData!$A$2:$A$2030,1,),"")&lt;&gt;""</f>
        <v>0</v>
      </c>
      <c r="E2287">
        <v>0</v>
      </c>
      <c r="F2287" t="b">
        <v>0</v>
      </c>
      <c r="G2287" t="b">
        <v>0</v>
      </c>
      <c r="H2287" t="b">
        <v>0</v>
      </c>
      <c r="I2287" t="b">
        <v>0</v>
      </c>
    </row>
    <row r="2288" spans="1:9" x14ac:dyDescent="0.2">
      <c r="A2288" t="s">
        <v>3163</v>
      </c>
      <c r="B2288" t="s">
        <v>3977</v>
      </c>
      <c r="D2288" t="b">
        <f>IFERROR(VLOOKUP(B2288,PatData!$A$2:$A$2030,1,),"")&lt;&gt;""</f>
        <v>0</v>
      </c>
      <c r="E2288">
        <v>0</v>
      </c>
      <c r="F2288" t="b">
        <v>0</v>
      </c>
      <c r="G2288" t="b">
        <v>0</v>
      </c>
      <c r="H2288" t="b">
        <v>0</v>
      </c>
      <c r="I2288" t="b">
        <v>0</v>
      </c>
    </row>
    <row r="2289" spans="1:9" x14ac:dyDescent="0.2">
      <c r="A2289" t="s">
        <v>3164</v>
      </c>
      <c r="B2289" t="s">
        <v>3978</v>
      </c>
      <c r="D2289" t="b">
        <f>IFERROR(VLOOKUP(B2289,PatData!$A$2:$A$2030,1,),"")&lt;&gt;""</f>
        <v>0</v>
      </c>
      <c r="E2289">
        <v>0</v>
      </c>
      <c r="F2289" t="b">
        <v>0</v>
      </c>
      <c r="G2289" t="b">
        <v>0</v>
      </c>
      <c r="H2289" t="b">
        <v>0</v>
      </c>
      <c r="I2289" t="b">
        <v>0</v>
      </c>
    </row>
    <row r="2290" spans="1:9" x14ac:dyDescent="0.2">
      <c r="A2290" t="s">
        <v>3165</v>
      </c>
      <c r="B2290" t="s">
        <v>3979</v>
      </c>
      <c r="D2290" t="b">
        <f>IFERROR(VLOOKUP(B2290,PatData!$A$2:$A$2030,1,),"")&lt;&gt;""</f>
        <v>0</v>
      </c>
      <c r="E2290">
        <v>0</v>
      </c>
      <c r="F2290" t="b">
        <v>0</v>
      </c>
      <c r="G2290" t="b">
        <v>0</v>
      </c>
      <c r="H2290" t="b">
        <v>0</v>
      </c>
      <c r="I2290" t="b">
        <v>0</v>
      </c>
    </row>
    <row r="2291" spans="1:9" x14ac:dyDescent="0.2">
      <c r="A2291" t="s">
        <v>4401</v>
      </c>
      <c r="B2291" t="s">
        <v>3980</v>
      </c>
      <c r="D2291" t="b">
        <f>IFERROR(VLOOKUP(B2291,PatData!$A$2:$A$2030,1,),"")&lt;&gt;""</f>
        <v>0</v>
      </c>
      <c r="E2291">
        <v>0</v>
      </c>
      <c r="F2291" t="b">
        <v>0</v>
      </c>
      <c r="G2291" t="b">
        <v>0</v>
      </c>
      <c r="H2291" t="b">
        <v>0</v>
      </c>
      <c r="I2291" t="b">
        <v>0</v>
      </c>
    </row>
    <row r="2292" spans="1:9" x14ac:dyDescent="0.2">
      <c r="A2292" t="s">
        <v>4402</v>
      </c>
      <c r="B2292" t="s">
        <v>3981</v>
      </c>
      <c r="D2292" t="b">
        <f>IFERROR(VLOOKUP(B2292,PatData!$A$2:$A$2030,1,),"")&lt;&gt;""</f>
        <v>0</v>
      </c>
      <c r="E2292">
        <v>0</v>
      </c>
      <c r="F2292" t="b">
        <v>0</v>
      </c>
      <c r="G2292" t="b">
        <v>0</v>
      </c>
      <c r="H2292" t="b">
        <v>0</v>
      </c>
      <c r="I2292" t="b">
        <v>0</v>
      </c>
    </row>
    <row r="2293" spans="1:9" x14ac:dyDescent="0.2">
      <c r="A2293" t="s">
        <v>4403</v>
      </c>
      <c r="B2293" t="s">
        <v>3982</v>
      </c>
      <c r="D2293" t="b">
        <f>IFERROR(VLOOKUP(B2293,PatData!$A$2:$A$2030,1,),"")&lt;&gt;""</f>
        <v>0</v>
      </c>
      <c r="E2293">
        <v>0</v>
      </c>
      <c r="F2293" t="b">
        <v>0</v>
      </c>
      <c r="G2293" t="b">
        <v>0</v>
      </c>
      <c r="H2293" t="b">
        <v>0</v>
      </c>
      <c r="I2293" t="b">
        <v>0</v>
      </c>
    </row>
    <row r="2294" spans="1:9" x14ac:dyDescent="0.2">
      <c r="A2294" t="s">
        <v>3166</v>
      </c>
      <c r="B2294" t="s">
        <v>3983</v>
      </c>
      <c r="D2294" t="b">
        <f>IFERROR(VLOOKUP(B2294,PatData!$A$2:$A$2030,1,),"")&lt;&gt;""</f>
        <v>0</v>
      </c>
      <c r="E2294">
        <v>0</v>
      </c>
      <c r="F2294" t="b">
        <v>0</v>
      </c>
      <c r="G2294" t="b">
        <v>0</v>
      </c>
      <c r="H2294" t="b">
        <v>0</v>
      </c>
      <c r="I2294" t="b">
        <v>0</v>
      </c>
    </row>
    <row r="2295" spans="1:9" x14ac:dyDescent="0.2">
      <c r="A2295" t="s">
        <v>4404</v>
      </c>
      <c r="B2295" t="s">
        <v>3984</v>
      </c>
      <c r="D2295" t="b">
        <f>IFERROR(VLOOKUP(B2295,PatData!$A$2:$A$2030,1,),"")&lt;&gt;""</f>
        <v>0</v>
      </c>
      <c r="E2295">
        <v>0</v>
      </c>
      <c r="F2295" t="b">
        <v>0</v>
      </c>
      <c r="G2295" t="b">
        <v>0</v>
      </c>
      <c r="H2295" t="b">
        <v>0</v>
      </c>
      <c r="I2295" t="b">
        <v>0</v>
      </c>
    </row>
    <row r="2296" spans="1:9" x14ac:dyDescent="0.2">
      <c r="A2296" t="s">
        <v>4405</v>
      </c>
      <c r="B2296" t="s">
        <v>3985</v>
      </c>
      <c r="D2296" t="b">
        <f>IFERROR(VLOOKUP(B2296,PatData!$A$2:$A$2030,1,),"")&lt;&gt;""</f>
        <v>0</v>
      </c>
      <c r="E2296">
        <v>0</v>
      </c>
      <c r="F2296" t="b">
        <v>0</v>
      </c>
      <c r="G2296" t="b">
        <v>0</v>
      </c>
      <c r="H2296" t="b">
        <v>0</v>
      </c>
      <c r="I2296" t="b">
        <v>0</v>
      </c>
    </row>
    <row r="2297" spans="1:9" x14ac:dyDescent="0.2">
      <c r="A2297" t="s">
        <v>4406</v>
      </c>
      <c r="B2297" t="s">
        <v>3986</v>
      </c>
      <c r="D2297" t="b">
        <f>IFERROR(VLOOKUP(B2297,PatData!$A$2:$A$2030,1,),"")&lt;&gt;""</f>
        <v>0</v>
      </c>
      <c r="E2297">
        <v>0</v>
      </c>
      <c r="F2297" t="b">
        <v>0</v>
      </c>
      <c r="G2297" t="b">
        <v>0</v>
      </c>
      <c r="H2297" t="b">
        <v>0</v>
      </c>
      <c r="I2297" t="b">
        <v>0</v>
      </c>
    </row>
    <row r="2298" spans="1:9" x14ac:dyDescent="0.2">
      <c r="A2298" t="s">
        <v>4407</v>
      </c>
      <c r="B2298" t="s">
        <v>4408</v>
      </c>
      <c r="D2298" t="b">
        <f>IFERROR(VLOOKUP(B2298,PatData!$A$2:$A$2030,1,),"")&lt;&gt;""</f>
        <v>0</v>
      </c>
      <c r="E2298">
        <v>0</v>
      </c>
      <c r="F2298" t="b">
        <v>0</v>
      </c>
      <c r="G2298" t="b">
        <v>0</v>
      </c>
      <c r="H2298" t="b">
        <v>0</v>
      </c>
      <c r="I2298" t="b">
        <v>0</v>
      </c>
    </row>
    <row r="2299" spans="1:9" x14ac:dyDescent="0.2">
      <c r="A2299" t="s">
        <v>4222</v>
      </c>
      <c r="B2299" t="s">
        <v>3987</v>
      </c>
      <c r="D2299" t="b">
        <f>IFERROR(VLOOKUP(B2299,PatData!$A$2:$A$2030,1,),"")&lt;&gt;""</f>
        <v>0</v>
      </c>
      <c r="E2299" t="b">
        <v>0</v>
      </c>
      <c r="F2299" t="b">
        <v>0</v>
      </c>
      <c r="G2299" t="b">
        <v>0</v>
      </c>
      <c r="H2299" t="b">
        <v>0</v>
      </c>
      <c r="I2299" t="b">
        <v>0</v>
      </c>
    </row>
    <row r="2300" spans="1:9" x14ac:dyDescent="0.2">
      <c r="A2300" t="s">
        <v>4223</v>
      </c>
      <c r="B2300" t="s">
        <v>3988</v>
      </c>
      <c r="D2300" t="b">
        <f>IFERROR(VLOOKUP(B2300,PatData!$A$2:$A$2030,1,),"")&lt;&gt;""</f>
        <v>0</v>
      </c>
      <c r="E2300" t="b">
        <v>0</v>
      </c>
      <c r="F2300" t="b">
        <v>0</v>
      </c>
      <c r="G2300" t="b">
        <v>0</v>
      </c>
      <c r="H2300" t="b">
        <v>0</v>
      </c>
      <c r="I2300" t="b">
        <v>0</v>
      </c>
    </row>
    <row r="2301" spans="1:9" x14ac:dyDescent="0.2">
      <c r="A2301" t="s">
        <v>4224</v>
      </c>
      <c r="B2301" t="s">
        <v>3989</v>
      </c>
      <c r="D2301" t="b">
        <f>IFERROR(VLOOKUP(B2301,PatData!$A$2:$A$2030,1,),"")&lt;&gt;""</f>
        <v>0</v>
      </c>
      <c r="E2301" t="b">
        <v>0</v>
      </c>
      <c r="F2301" t="b">
        <v>0</v>
      </c>
      <c r="G2301" t="b">
        <v>0</v>
      </c>
      <c r="H2301" t="b">
        <v>0</v>
      </c>
      <c r="I2301" t="b">
        <v>0</v>
      </c>
    </row>
    <row r="2302" spans="1:9" x14ac:dyDescent="0.2">
      <c r="A2302" t="s">
        <v>4225</v>
      </c>
      <c r="B2302" t="s">
        <v>3990</v>
      </c>
      <c r="D2302" t="b">
        <f>IFERROR(VLOOKUP(B2302,PatData!$A$2:$A$2030,1,),"")&lt;&gt;""</f>
        <v>0</v>
      </c>
      <c r="E2302" t="b">
        <v>0</v>
      </c>
      <c r="F2302" t="b">
        <v>0</v>
      </c>
      <c r="G2302" t="b">
        <v>0</v>
      </c>
      <c r="H2302" t="b">
        <v>0</v>
      </c>
      <c r="I2302" t="b">
        <v>0</v>
      </c>
    </row>
    <row r="2303" spans="1:9" x14ac:dyDescent="0.2">
      <c r="A2303" t="s">
        <v>4226</v>
      </c>
      <c r="B2303" t="s">
        <v>3991</v>
      </c>
      <c r="D2303" t="b">
        <f>IFERROR(VLOOKUP(B2303,PatData!$A$2:$A$2030,1,),"")&lt;&gt;""</f>
        <v>0</v>
      </c>
      <c r="E2303" t="b">
        <v>0</v>
      </c>
      <c r="F2303" t="b">
        <v>0</v>
      </c>
      <c r="G2303" t="b">
        <v>0</v>
      </c>
      <c r="H2303" t="b">
        <v>0</v>
      </c>
      <c r="I2303" t="b">
        <v>0</v>
      </c>
    </row>
    <row r="2304" spans="1:9" x14ac:dyDescent="0.2">
      <c r="A2304" t="s">
        <v>4227</v>
      </c>
      <c r="B2304" t="s">
        <v>3992</v>
      </c>
      <c r="D2304" t="b">
        <f>IFERROR(VLOOKUP(B2304,PatData!$A$2:$A$2030,1,),"")&lt;&gt;""</f>
        <v>0</v>
      </c>
      <c r="E2304" t="b">
        <v>0</v>
      </c>
      <c r="F2304" t="b">
        <v>0</v>
      </c>
      <c r="G2304" t="b">
        <v>0</v>
      </c>
      <c r="H2304" t="b">
        <v>0</v>
      </c>
      <c r="I2304" t="b">
        <v>0</v>
      </c>
    </row>
    <row r="2305" spans="1:9" x14ac:dyDescent="0.2">
      <c r="A2305" t="s">
        <v>4409</v>
      </c>
      <c r="B2305" t="s">
        <v>3993</v>
      </c>
      <c r="D2305" t="b">
        <f>IFERROR(VLOOKUP(B2305,PatData!$A$2:$A$2030,1,),"")&lt;&gt;""</f>
        <v>0</v>
      </c>
      <c r="E2305" t="b">
        <v>0</v>
      </c>
      <c r="F2305" t="b">
        <v>0</v>
      </c>
      <c r="G2305" t="b">
        <v>0</v>
      </c>
      <c r="H2305" t="b">
        <v>0</v>
      </c>
      <c r="I2305" t="b">
        <v>0</v>
      </c>
    </row>
    <row r="2306" spans="1:9" x14ac:dyDescent="0.2">
      <c r="A2306" t="s">
        <v>4410</v>
      </c>
      <c r="B2306" t="s">
        <v>3994</v>
      </c>
      <c r="D2306" t="b">
        <f>IFERROR(VLOOKUP(B2306,PatData!$A$2:$A$2030,1,),"")&lt;&gt;""</f>
        <v>0</v>
      </c>
      <c r="E2306" t="b">
        <v>0</v>
      </c>
      <c r="F2306" t="b">
        <v>0</v>
      </c>
      <c r="G2306" t="b">
        <v>0</v>
      </c>
      <c r="H2306" t="b">
        <v>0</v>
      </c>
      <c r="I2306" t="b">
        <v>0</v>
      </c>
    </row>
    <row r="2307" spans="1:9" x14ac:dyDescent="0.2">
      <c r="A2307" t="s">
        <v>4411</v>
      </c>
      <c r="B2307" t="s">
        <v>3995</v>
      </c>
      <c r="D2307" t="b">
        <f>IFERROR(VLOOKUP(B2307,PatData!$A$2:$A$2030,1,),"")&lt;&gt;""</f>
        <v>0</v>
      </c>
      <c r="E2307" t="b">
        <v>0</v>
      </c>
      <c r="F2307" t="b">
        <v>0</v>
      </c>
      <c r="G2307" t="b">
        <v>0</v>
      </c>
      <c r="H2307" t="b">
        <v>0</v>
      </c>
      <c r="I2307" t="b">
        <v>0</v>
      </c>
    </row>
    <row r="2308" spans="1:9" x14ac:dyDescent="0.2">
      <c r="A2308" t="s">
        <v>4412</v>
      </c>
      <c r="B2308" t="s">
        <v>3996</v>
      </c>
      <c r="D2308" t="b">
        <f>IFERROR(VLOOKUP(B2308,PatData!$A$2:$A$2030,1,),"")&lt;&gt;""</f>
        <v>0</v>
      </c>
      <c r="E2308" t="b">
        <v>0</v>
      </c>
      <c r="F2308" t="b">
        <v>0</v>
      </c>
      <c r="G2308" t="b">
        <v>0</v>
      </c>
      <c r="H2308" t="b">
        <v>0</v>
      </c>
      <c r="I2308" t="b">
        <v>0</v>
      </c>
    </row>
    <row r="2309" spans="1:9" x14ac:dyDescent="0.2">
      <c r="A2309" t="s">
        <v>4413</v>
      </c>
      <c r="B2309" t="s">
        <v>3997</v>
      </c>
      <c r="D2309" t="b">
        <f>IFERROR(VLOOKUP(B2309,PatData!$A$2:$A$2030,1,),"")&lt;&gt;""</f>
        <v>0</v>
      </c>
      <c r="E2309" t="b">
        <v>0</v>
      </c>
      <c r="F2309" t="b">
        <v>0</v>
      </c>
      <c r="G2309" t="b">
        <v>0</v>
      </c>
      <c r="H2309" t="b">
        <v>0</v>
      </c>
      <c r="I2309" t="b">
        <v>0</v>
      </c>
    </row>
    <row r="2310" spans="1:9" x14ac:dyDescent="0.2">
      <c r="A2310" t="s">
        <v>4414</v>
      </c>
      <c r="B2310" t="s">
        <v>3998</v>
      </c>
      <c r="D2310" t="b">
        <f>IFERROR(VLOOKUP(B2310,PatData!$A$2:$A$2030,1,),"")&lt;&gt;""</f>
        <v>0</v>
      </c>
      <c r="E2310" t="b">
        <v>0</v>
      </c>
      <c r="F2310" t="b">
        <v>0</v>
      </c>
      <c r="G2310" t="b">
        <v>0</v>
      </c>
      <c r="H2310" t="b">
        <v>0</v>
      </c>
      <c r="I2310" t="b">
        <v>0</v>
      </c>
    </row>
    <row r="2311" spans="1:9" x14ac:dyDescent="0.2">
      <c r="A2311" t="s">
        <v>4415</v>
      </c>
      <c r="B2311" t="s">
        <v>3999</v>
      </c>
      <c r="D2311" t="b">
        <f>IFERROR(VLOOKUP(B2311,PatData!$A$2:$A$2030,1,),"")&lt;&gt;""</f>
        <v>0</v>
      </c>
      <c r="E2311" t="b">
        <v>0</v>
      </c>
      <c r="F2311" t="b">
        <v>0</v>
      </c>
      <c r="G2311" t="b">
        <v>0</v>
      </c>
      <c r="H2311" t="b">
        <v>0</v>
      </c>
      <c r="I2311" t="b">
        <v>0</v>
      </c>
    </row>
    <row r="2312" spans="1:9" x14ac:dyDescent="0.2">
      <c r="A2312" t="s">
        <v>4416</v>
      </c>
      <c r="B2312" t="s">
        <v>4000</v>
      </c>
      <c r="D2312" t="b">
        <f>IFERROR(VLOOKUP(B2312,PatData!$A$2:$A$2030,1,),"")&lt;&gt;""</f>
        <v>0</v>
      </c>
      <c r="E2312" t="b">
        <v>0</v>
      </c>
      <c r="F2312" t="b">
        <v>0</v>
      </c>
      <c r="G2312" t="b">
        <v>0</v>
      </c>
      <c r="H2312" t="b">
        <v>0</v>
      </c>
      <c r="I2312" t="b">
        <v>0</v>
      </c>
    </row>
    <row r="2313" spans="1:9" x14ac:dyDescent="0.2">
      <c r="A2313" t="s">
        <v>4460</v>
      </c>
      <c r="B2313" t="s">
        <v>4461</v>
      </c>
      <c r="D2313" t="b">
        <f>IFERROR(VLOOKUP(B2313,PatData!$A$2:$A$2030,1,),"")&lt;&gt;""</f>
        <v>0</v>
      </c>
      <c r="E2313">
        <v>2</v>
      </c>
      <c r="F2313" t="b">
        <v>0</v>
      </c>
      <c r="G2313" t="b">
        <v>0</v>
      </c>
      <c r="H2313" t="b">
        <v>0</v>
      </c>
      <c r="I2313" t="b">
        <v>0</v>
      </c>
    </row>
    <row r="2314" spans="1:9" x14ac:dyDescent="0.2">
      <c r="A2314" t="s">
        <v>4417</v>
      </c>
      <c r="B2314" t="s">
        <v>4001</v>
      </c>
      <c r="D2314" t="b">
        <f>IFERROR(VLOOKUP(B2314,PatData!$A$2:$A$2030,1,),"")&lt;&gt;""</f>
        <v>0</v>
      </c>
      <c r="E2314">
        <v>0</v>
      </c>
      <c r="F2314" t="b">
        <v>0</v>
      </c>
      <c r="G2314" t="b">
        <v>0</v>
      </c>
      <c r="H2314" t="b">
        <v>0</v>
      </c>
      <c r="I2314" t="b">
        <v>0</v>
      </c>
    </row>
    <row r="2315" spans="1:9" x14ac:dyDescent="0.2">
      <c r="A2315" t="s">
        <v>4418</v>
      </c>
      <c r="B2315" t="s">
        <v>4002</v>
      </c>
      <c r="D2315" t="b">
        <f>IFERROR(VLOOKUP(B2315,PatData!$A$2:$A$2030,1,),"")&lt;&gt;""</f>
        <v>0</v>
      </c>
      <c r="E2315">
        <v>0</v>
      </c>
      <c r="F2315" t="b">
        <v>0</v>
      </c>
      <c r="G2315" t="b">
        <v>0</v>
      </c>
      <c r="H2315" t="b">
        <v>0</v>
      </c>
      <c r="I2315" t="b">
        <v>0</v>
      </c>
    </row>
    <row r="2316" spans="1:9" x14ac:dyDescent="0.2">
      <c r="A2316" t="s">
        <v>4919</v>
      </c>
      <c r="B2316" t="s">
        <v>4003</v>
      </c>
      <c r="D2316" t="b">
        <f>IFERROR(VLOOKUP(B2316,PatData!$A$2:$A$2030,1,),"")&lt;&gt;""</f>
        <v>0</v>
      </c>
      <c r="E2316">
        <v>0</v>
      </c>
      <c r="F2316" t="b">
        <v>0</v>
      </c>
      <c r="G2316" t="b">
        <v>0</v>
      </c>
      <c r="H2316" t="b">
        <v>0</v>
      </c>
      <c r="I2316" t="b">
        <v>0</v>
      </c>
    </row>
    <row r="2317" spans="1:9" x14ac:dyDescent="0.2">
      <c r="A2317" t="s">
        <v>4920</v>
      </c>
      <c r="B2317" t="s">
        <v>4004</v>
      </c>
      <c r="D2317" t="b">
        <f>IFERROR(VLOOKUP(B2317,PatData!$A$2:$A$2030,1,),"")&lt;&gt;""</f>
        <v>0</v>
      </c>
      <c r="E2317">
        <v>0</v>
      </c>
      <c r="F2317" t="b">
        <v>0</v>
      </c>
      <c r="G2317" t="b">
        <v>0</v>
      </c>
      <c r="H2317" t="b">
        <v>0</v>
      </c>
      <c r="I2317" t="b">
        <v>0</v>
      </c>
    </row>
    <row r="2318" spans="1:9" x14ac:dyDescent="0.2">
      <c r="A2318" t="s">
        <v>4419</v>
      </c>
      <c r="B2318" t="s">
        <v>4005</v>
      </c>
      <c r="D2318" t="b">
        <f>IFERROR(VLOOKUP(B2318,PatData!$A$2:$A$2030,1,),"")&lt;&gt;""</f>
        <v>0</v>
      </c>
      <c r="E2318">
        <v>1</v>
      </c>
      <c r="F2318" t="b">
        <v>0</v>
      </c>
      <c r="G2318" t="b">
        <v>0</v>
      </c>
      <c r="H2318" t="b">
        <v>0</v>
      </c>
      <c r="I2318" t="b">
        <v>0</v>
      </c>
    </row>
    <row r="2319" spans="1:9" x14ac:dyDescent="0.2">
      <c r="A2319" t="s">
        <v>4420</v>
      </c>
      <c r="B2319" t="s">
        <v>4006</v>
      </c>
      <c r="D2319" t="b">
        <f>IFERROR(VLOOKUP(B2319,PatData!$A$2:$A$2030,1,),"")&lt;&gt;""</f>
        <v>0</v>
      </c>
      <c r="E2319">
        <v>1</v>
      </c>
      <c r="F2319" t="b">
        <v>0</v>
      </c>
      <c r="G2319" t="b">
        <v>0</v>
      </c>
      <c r="H2319" t="b">
        <v>0</v>
      </c>
      <c r="I2319" t="b">
        <v>0</v>
      </c>
    </row>
    <row r="2320" spans="1:9" x14ac:dyDescent="0.2">
      <c r="A2320" t="s">
        <v>4421</v>
      </c>
      <c r="B2320" t="s">
        <v>4007</v>
      </c>
      <c r="D2320" t="b">
        <f>IFERROR(VLOOKUP(B2320,PatData!$A$2:$A$2030,1,),"")&lt;&gt;""</f>
        <v>0</v>
      </c>
      <c r="E2320">
        <v>1</v>
      </c>
      <c r="F2320" t="b">
        <v>0</v>
      </c>
      <c r="G2320" t="b">
        <v>0</v>
      </c>
      <c r="H2320" t="b">
        <v>0</v>
      </c>
      <c r="I2320" t="b">
        <v>0</v>
      </c>
    </row>
    <row r="2321" spans="1:9" x14ac:dyDescent="0.2">
      <c r="A2321" t="s">
        <v>4422</v>
      </c>
      <c r="B2321" t="s">
        <v>4008</v>
      </c>
      <c r="D2321" t="b">
        <f>IFERROR(VLOOKUP(B2321,PatData!$A$2:$A$2030,1,),"")&lt;&gt;""</f>
        <v>0</v>
      </c>
      <c r="E2321">
        <v>1</v>
      </c>
      <c r="F2321" t="b">
        <v>0</v>
      </c>
      <c r="G2321" t="b">
        <v>0</v>
      </c>
      <c r="H2321" t="b">
        <v>0</v>
      </c>
      <c r="I2321" t="b">
        <v>0</v>
      </c>
    </row>
    <row r="2322" spans="1:9" x14ac:dyDescent="0.2">
      <c r="A2322" t="s">
        <v>4423</v>
      </c>
      <c r="B2322" t="s">
        <v>4009</v>
      </c>
      <c r="D2322" t="b">
        <f>IFERROR(VLOOKUP(B2322,PatData!$A$2:$A$2030,1,),"")&lt;&gt;""</f>
        <v>0</v>
      </c>
      <c r="E2322">
        <v>1</v>
      </c>
      <c r="F2322" t="b">
        <v>0</v>
      </c>
      <c r="G2322" t="b">
        <v>0</v>
      </c>
      <c r="H2322" t="b">
        <v>0</v>
      </c>
      <c r="I2322" t="b">
        <v>0</v>
      </c>
    </row>
    <row r="2323" spans="1:9" x14ac:dyDescent="0.2">
      <c r="A2323" t="s">
        <v>4218</v>
      </c>
      <c r="B2323" t="s">
        <v>4010</v>
      </c>
      <c r="D2323" t="b">
        <f>IFERROR(VLOOKUP(B2323,PatData!$A$2:$A$2030,1,),"")&lt;&gt;""</f>
        <v>0</v>
      </c>
      <c r="E2323">
        <v>1</v>
      </c>
      <c r="F2323" t="b">
        <v>0</v>
      </c>
      <c r="G2323" t="b">
        <v>0</v>
      </c>
      <c r="H2323" t="b">
        <v>0</v>
      </c>
      <c r="I2323" t="b">
        <v>0</v>
      </c>
    </row>
    <row r="2324" spans="1:9" x14ac:dyDescent="0.2">
      <c r="A2324" t="s">
        <v>4219</v>
      </c>
      <c r="B2324" t="s">
        <v>4011</v>
      </c>
      <c r="D2324" t="b">
        <f>IFERROR(VLOOKUP(B2324,PatData!$A$2:$A$2030,1,),"")&lt;&gt;""</f>
        <v>0</v>
      </c>
      <c r="E2324">
        <v>1</v>
      </c>
      <c r="F2324" t="b">
        <v>0</v>
      </c>
      <c r="G2324" t="b">
        <v>0</v>
      </c>
      <c r="H2324" t="b">
        <v>0</v>
      </c>
      <c r="I2324" t="b">
        <v>0</v>
      </c>
    </row>
    <row r="2325" spans="1:9" x14ac:dyDescent="0.2">
      <c r="A2325" t="s">
        <v>4220</v>
      </c>
      <c r="B2325" t="s">
        <v>4012</v>
      </c>
      <c r="D2325" t="b">
        <f>IFERROR(VLOOKUP(B2325,PatData!$A$2:$A$2030,1,),"")&lt;&gt;""</f>
        <v>0</v>
      </c>
      <c r="E2325">
        <v>1</v>
      </c>
      <c r="F2325" t="b">
        <v>0</v>
      </c>
      <c r="G2325" t="b">
        <v>0</v>
      </c>
      <c r="H2325" t="b">
        <v>0</v>
      </c>
      <c r="I2325" t="b">
        <v>0</v>
      </c>
    </row>
    <row r="2326" spans="1:9" x14ac:dyDescent="0.2">
      <c r="A2326" t="s">
        <v>4221</v>
      </c>
      <c r="B2326" t="s">
        <v>4013</v>
      </c>
      <c r="D2326" t="b">
        <f>IFERROR(VLOOKUP(B2326,PatData!$A$2:$A$2030,1,),"")&lt;&gt;""</f>
        <v>0</v>
      </c>
      <c r="E2326">
        <v>1</v>
      </c>
      <c r="F2326" t="b">
        <v>0</v>
      </c>
      <c r="G2326" t="b">
        <v>0</v>
      </c>
      <c r="H2326" t="b">
        <v>0</v>
      </c>
      <c r="I2326" t="b">
        <v>0</v>
      </c>
    </row>
    <row r="2327" spans="1:9" x14ac:dyDescent="0.2">
      <c r="A2327" t="s">
        <v>4424</v>
      </c>
      <c r="B2327" t="s">
        <v>4014</v>
      </c>
      <c r="D2327" t="b">
        <f>IFERROR(VLOOKUP(B2327,PatData!$A$2:$A$2030,1,),"")&lt;&gt;""</f>
        <v>0</v>
      </c>
      <c r="E2327">
        <v>1</v>
      </c>
      <c r="F2327" t="b">
        <v>0</v>
      </c>
      <c r="G2327" t="b">
        <v>0</v>
      </c>
      <c r="H2327" t="b">
        <v>0</v>
      </c>
      <c r="I2327" t="b">
        <v>0</v>
      </c>
    </row>
    <row r="2328" spans="1:9" x14ac:dyDescent="0.2">
      <c r="A2328" t="s">
        <v>4231</v>
      </c>
      <c r="B2328" t="s">
        <v>4015</v>
      </c>
      <c r="D2328" t="b">
        <f>IFERROR(VLOOKUP(B2328,PatData!$A$2:$A$2030,1,),"")&lt;&gt;""</f>
        <v>0</v>
      </c>
      <c r="E2328">
        <v>1</v>
      </c>
      <c r="F2328" t="b">
        <v>0</v>
      </c>
      <c r="G2328" t="b">
        <v>0</v>
      </c>
      <c r="H2328" t="b">
        <v>0</v>
      </c>
      <c r="I2328" t="b">
        <v>0</v>
      </c>
    </row>
    <row r="2329" spans="1:9" x14ac:dyDescent="0.2">
      <c r="A2329" t="s">
        <v>4214</v>
      </c>
      <c r="B2329" t="s">
        <v>4016</v>
      </c>
      <c r="D2329" t="b">
        <f>IFERROR(VLOOKUP(B2329,PatData!$A$2:$A$2030,1,),"")&lt;&gt;""</f>
        <v>0</v>
      </c>
      <c r="E2329">
        <v>1</v>
      </c>
      <c r="F2329" t="b">
        <v>0</v>
      </c>
      <c r="G2329" t="b">
        <v>0</v>
      </c>
      <c r="H2329" t="b">
        <v>0</v>
      </c>
      <c r="I2329" t="b">
        <v>0</v>
      </c>
    </row>
    <row r="2330" spans="1:9" x14ac:dyDescent="0.2">
      <c r="A2330" t="s">
        <v>4425</v>
      </c>
      <c r="B2330" t="s">
        <v>4017</v>
      </c>
      <c r="D2330" t="b">
        <f>IFERROR(VLOOKUP(B2330,PatData!$A$2:$A$2030,1,),"")&lt;&gt;""</f>
        <v>0</v>
      </c>
      <c r="E2330">
        <v>1</v>
      </c>
      <c r="F2330" t="b">
        <v>0</v>
      </c>
      <c r="G2330" t="b">
        <v>0</v>
      </c>
      <c r="H2330" t="b">
        <v>0</v>
      </c>
      <c r="I2330" t="b">
        <v>0</v>
      </c>
    </row>
    <row r="2331" spans="1:9" x14ac:dyDescent="0.2">
      <c r="A2331" t="s">
        <v>4215</v>
      </c>
      <c r="B2331" t="s">
        <v>4018</v>
      </c>
      <c r="D2331" t="b">
        <f>IFERROR(VLOOKUP(B2331,PatData!$A$2:$A$2030,1,),"")&lt;&gt;""</f>
        <v>0</v>
      </c>
      <c r="E2331">
        <v>1</v>
      </c>
      <c r="F2331" t="b">
        <v>0</v>
      </c>
      <c r="G2331" t="b">
        <v>0</v>
      </c>
      <c r="H2331" t="b">
        <v>0</v>
      </c>
      <c r="I2331" t="b">
        <v>0</v>
      </c>
    </row>
    <row r="2332" spans="1:9" x14ac:dyDescent="0.2">
      <c r="A2332" t="s">
        <v>3159</v>
      </c>
      <c r="B2332" t="s">
        <v>4019</v>
      </c>
      <c r="D2332" t="b">
        <f>IFERROR(VLOOKUP(B2332,PatData!$A$2:$A$2030,1,),"")&lt;&gt;""</f>
        <v>0</v>
      </c>
      <c r="E2332">
        <v>1</v>
      </c>
      <c r="F2332" t="b">
        <v>0</v>
      </c>
      <c r="G2332" t="b">
        <v>0</v>
      </c>
      <c r="H2332" t="b">
        <v>0</v>
      </c>
      <c r="I2332" t="b">
        <v>0</v>
      </c>
    </row>
    <row r="2333" spans="1:9" x14ac:dyDescent="0.2">
      <c r="A2333" t="s">
        <v>3143</v>
      </c>
      <c r="B2333" t="s">
        <v>4020</v>
      </c>
      <c r="D2333" t="b">
        <f>IFERROR(VLOOKUP(B2333,PatData!$A$2:$A$2030,1,),"")&lt;&gt;""</f>
        <v>0</v>
      </c>
      <c r="E2333">
        <v>1</v>
      </c>
      <c r="F2333" t="b">
        <v>0</v>
      </c>
      <c r="G2333" t="b">
        <v>0</v>
      </c>
      <c r="H2333" t="b">
        <v>0</v>
      </c>
      <c r="I2333" t="b">
        <v>0</v>
      </c>
    </row>
    <row r="2334" spans="1:9" x14ac:dyDescent="0.2">
      <c r="A2334" t="s">
        <v>4216</v>
      </c>
      <c r="B2334" t="s">
        <v>4021</v>
      </c>
      <c r="D2334" t="b">
        <f>IFERROR(VLOOKUP(B2334,PatData!$A$2:$A$2030,1,),"")&lt;&gt;""</f>
        <v>0</v>
      </c>
      <c r="E2334">
        <v>1</v>
      </c>
      <c r="F2334" t="b">
        <v>0</v>
      </c>
      <c r="G2334" t="b">
        <v>0</v>
      </c>
      <c r="H2334" t="b">
        <v>0</v>
      </c>
      <c r="I2334" t="b">
        <v>0</v>
      </c>
    </row>
    <row r="2335" spans="1:9" x14ac:dyDescent="0.2">
      <c r="A2335" t="s">
        <v>4426</v>
      </c>
      <c r="B2335" t="s">
        <v>4022</v>
      </c>
      <c r="D2335" t="b">
        <f>IFERROR(VLOOKUP(B2335,PatData!$A$2:$A$2030,1,),"")&lt;&gt;""</f>
        <v>0</v>
      </c>
      <c r="E2335">
        <v>1</v>
      </c>
      <c r="F2335" t="b">
        <v>0</v>
      </c>
      <c r="G2335" t="b">
        <v>0</v>
      </c>
      <c r="H2335" t="b">
        <v>0</v>
      </c>
      <c r="I2335" t="b">
        <v>0</v>
      </c>
    </row>
    <row r="2336" spans="1:9" x14ac:dyDescent="0.2">
      <c r="A2336" t="s">
        <v>4427</v>
      </c>
      <c r="B2336" t="s">
        <v>4023</v>
      </c>
      <c r="D2336" t="b">
        <f>IFERROR(VLOOKUP(B2336,PatData!$A$2:$A$2030,1,),"")&lt;&gt;""</f>
        <v>0</v>
      </c>
      <c r="E2336">
        <v>5000</v>
      </c>
      <c r="F2336" t="b">
        <v>0</v>
      </c>
      <c r="G2336" t="b">
        <v>0</v>
      </c>
      <c r="H2336" t="b">
        <v>0</v>
      </c>
      <c r="I2336" t="b">
        <v>0</v>
      </c>
    </row>
    <row r="2337" spans="1:9" x14ac:dyDescent="0.2">
      <c r="A2337" t="s">
        <v>3160</v>
      </c>
      <c r="B2337" t="s">
        <v>4024</v>
      </c>
      <c r="D2337" t="b">
        <f>IFERROR(VLOOKUP(B2337,PatData!$A$2:$A$2030,1,),"")&lt;&gt;""</f>
        <v>0</v>
      </c>
      <c r="E2337">
        <v>1</v>
      </c>
      <c r="F2337" t="b">
        <v>0</v>
      </c>
      <c r="G2337" t="b">
        <v>0</v>
      </c>
      <c r="H2337" t="b">
        <v>0</v>
      </c>
      <c r="I2337" t="b">
        <v>0</v>
      </c>
    </row>
    <row r="2338" spans="1:9" x14ac:dyDescent="0.2">
      <c r="A2338" t="s">
        <v>4428</v>
      </c>
      <c r="B2338" t="s">
        <v>4025</v>
      </c>
      <c r="D2338" t="b">
        <f>IFERROR(VLOOKUP(B2338,PatData!$A$2:$A$2030,1,),"")&lt;&gt;""</f>
        <v>0</v>
      </c>
      <c r="E2338">
        <v>2</v>
      </c>
      <c r="F2338" t="b">
        <v>0</v>
      </c>
      <c r="G2338" t="b">
        <v>0</v>
      </c>
      <c r="H2338" t="b">
        <v>0</v>
      </c>
      <c r="I2338" t="b">
        <v>0</v>
      </c>
    </row>
    <row r="2339" spans="1:9" x14ac:dyDescent="0.2">
      <c r="A2339" t="s">
        <v>4429</v>
      </c>
      <c r="B2339" t="s">
        <v>4026</v>
      </c>
      <c r="D2339" t="b">
        <f>IFERROR(VLOOKUP(B2339,PatData!$A$2:$A$2030,1,),"")&lt;&gt;""</f>
        <v>0</v>
      </c>
      <c r="E2339">
        <v>2</v>
      </c>
      <c r="F2339" t="b">
        <v>0</v>
      </c>
      <c r="G2339" t="b">
        <v>0</v>
      </c>
      <c r="H2339" t="b">
        <v>0</v>
      </c>
      <c r="I2339" t="b">
        <v>0</v>
      </c>
    </row>
    <row r="2340" spans="1:9" x14ac:dyDescent="0.2">
      <c r="A2340" t="s">
        <v>4228</v>
      </c>
      <c r="B2340" t="s">
        <v>4027</v>
      </c>
      <c r="D2340" t="b">
        <f>IFERROR(VLOOKUP(B2340,PatData!$A$2:$A$2030,1,),"")&lt;&gt;""</f>
        <v>0</v>
      </c>
      <c r="E2340">
        <v>0</v>
      </c>
      <c r="F2340" t="b">
        <v>0</v>
      </c>
      <c r="G2340" t="b">
        <v>0</v>
      </c>
      <c r="H2340" t="b">
        <v>0</v>
      </c>
      <c r="I2340" t="b">
        <v>0</v>
      </c>
    </row>
    <row r="2341" spans="1:9" x14ac:dyDescent="0.2">
      <c r="A2341" t="s">
        <v>3151</v>
      </c>
      <c r="B2341" t="s">
        <v>4028</v>
      </c>
      <c r="D2341" t="b">
        <f>IFERROR(VLOOKUP(B2341,PatData!$A$2:$A$2030,1,),"")&lt;&gt;""</f>
        <v>0</v>
      </c>
      <c r="E2341">
        <v>5000</v>
      </c>
      <c r="F2341" t="b">
        <v>0</v>
      </c>
      <c r="G2341" t="b">
        <v>0</v>
      </c>
      <c r="H2341" t="b">
        <v>0</v>
      </c>
      <c r="I2341" t="b">
        <v>0</v>
      </c>
    </row>
    <row r="2342" spans="1:9" x14ac:dyDescent="0.2">
      <c r="A2342" t="s">
        <v>4430</v>
      </c>
      <c r="B2342" t="s">
        <v>4029</v>
      </c>
      <c r="D2342" t="b">
        <f>IFERROR(VLOOKUP(B2342,PatData!$A$2:$A$2030,1,),"")&lt;&gt;""</f>
        <v>0</v>
      </c>
      <c r="E2342">
        <v>1</v>
      </c>
      <c r="F2342" t="b">
        <v>0</v>
      </c>
      <c r="G2342" t="b">
        <v>0</v>
      </c>
      <c r="H2342" t="b">
        <v>0</v>
      </c>
      <c r="I2342" t="b">
        <v>0</v>
      </c>
    </row>
    <row r="2343" spans="1:9" x14ac:dyDescent="0.2">
      <c r="A2343" t="s">
        <v>4431</v>
      </c>
      <c r="B2343" t="s">
        <v>4030</v>
      </c>
      <c r="D2343" t="b">
        <f>IFERROR(VLOOKUP(B2343,PatData!$A$2:$A$2030,1,),"")&lt;&gt;""</f>
        <v>0</v>
      </c>
      <c r="E2343">
        <v>5000</v>
      </c>
      <c r="F2343" t="b">
        <v>0</v>
      </c>
      <c r="G2343" t="b">
        <v>0</v>
      </c>
      <c r="H2343" t="b">
        <v>0</v>
      </c>
      <c r="I2343" t="b">
        <v>0</v>
      </c>
    </row>
    <row r="2344" spans="1:9" x14ac:dyDescent="0.2">
      <c r="A2344" t="s">
        <v>4432</v>
      </c>
      <c r="B2344" t="s">
        <v>4031</v>
      </c>
      <c r="D2344" t="b">
        <f>IFERROR(VLOOKUP(B2344,PatData!$A$2:$A$2030,1,),"")&lt;&gt;""</f>
        <v>0</v>
      </c>
      <c r="E2344">
        <v>5000</v>
      </c>
      <c r="F2344" t="b">
        <v>0</v>
      </c>
      <c r="G2344" t="b">
        <v>0</v>
      </c>
      <c r="H2344" t="b">
        <v>0</v>
      </c>
      <c r="I2344" t="b">
        <v>0</v>
      </c>
    </row>
    <row r="2345" spans="1:9" x14ac:dyDescent="0.2">
      <c r="A2345" t="s">
        <v>4433</v>
      </c>
      <c r="B2345" t="s">
        <v>4692</v>
      </c>
      <c r="D2345" t="b">
        <f>IFERROR(VLOOKUP(B2345,PatData!$A$2:$A$2030,1,),"")&lt;&gt;""</f>
        <v>0</v>
      </c>
      <c r="E2345">
        <v>5000</v>
      </c>
      <c r="F2345" t="b">
        <v>0</v>
      </c>
      <c r="G2345" t="b">
        <v>0</v>
      </c>
      <c r="H2345" t="b">
        <v>0</v>
      </c>
      <c r="I2345" t="b">
        <v>0</v>
      </c>
    </row>
    <row r="2346" spans="1:9" x14ac:dyDescent="0.2">
      <c r="A2346" t="s">
        <v>4434</v>
      </c>
      <c r="B2346" t="s">
        <v>4033</v>
      </c>
      <c r="D2346" t="b">
        <f>IFERROR(VLOOKUP(B2346,PatData!$A$2:$A$2030,1,),"")&lt;&gt;""</f>
        <v>0</v>
      </c>
      <c r="E2346">
        <v>5000</v>
      </c>
      <c r="F2346" t="b">
        <v>0</v>
      </c>
      <c r="G2346" t="b">
        <v>0</v>
      </c>
      <c r="H2346" t="b">
        <v>0</v>
      </c>
      <c r="I2346" t="b">
        <v>0</v>
      </c>
    </row>
    <row r="2347" spans="1:9" x14ac:dyDescent="0.2">
      <c r="A2347" t="s">
        <v>3144</v>
      </c>
      <c r="B2347" t="s">
        <v>4034</v>
      </c>
      <c r="D2347" t="b">
        <f>IFERROR(VLOOKUP(B2347,PatData!$A$2:$A$2030,1,),"")&lt;&gt;""</f>
        <v>0</v>
      </c>
      <c r="E2347" t="b">
        <v>0</v>
      </c>
      <c r="F2347" t="b">
        <v>0</v>
      </c>
      <c r="G2347" t="b">
        <v>0</v>
      </c>
      <c r="H2347" t="b">
        <v>0</v>
      </c>
      <c r="I2347" t="b">
        <v>0</v>
      </c>
    </row>
    <row r="2348" spans="1:9" x14ac:dyDescent="0.2">
      <c r="A2348" t="s">
        <v>4435</v>
      </c>
      <c r="B2348" t="s">
        <v>4035</v>
      </c>
      <c r="D2348" t="b">
        <f>IFERROR(VLOOKUP(B2348,PatData!$A$2:$A$2030,1,),"")&lt;&gt;""</f>
        <v>0</v>
      </c>
      <c r="E2348">
        <v>5000</v>
      </c>
      <c r="F2348" t="b">
        <v>0</v>
      </c>
      <c r="G2348" t="b">
        <v>0</v>
      </c>
      <c r="H2348" t="b">
        <v>0</v>
      </c>
      <c r="I2348" t="b">
        <v>0</v>
      </c>
    </row>
    <row r="2349" spans="1:9" x14ac:dyDescent="0.2">
      <c r="A2349" t="s">
        <v>4436</v>
      </c>
      <c r="B2349" t="s">
        <v>4693</v>
      </c>
      <c r="D2349" t="b">
        <f>IFERROR(VLOOKUP(B2349,PatData!$A$2:$A$2030,1,),"")&lt;&gt;""</f>
        <v>0</v>
      </c>
      <c r="E2349" s="355">
        <v>5000</v>
      </c>
      <c r="F2349" t="b">
        <v>0</v>
      </c>
      <c r="G2349" t="b">
        <v>0</v>
      </c>
      <c r="H2349" t="b">
        <v>0</v>
      </c>
      <c r="I2349" t="b">
        <v>0</v>
      </c>
    </row>
    <row r="2350" spans="1:9" x14ac:dyDescent="0.2">
      <c r="A2350" t="s">
        <v>4437</v>
      </c>
      <c r="B2350" t="s">
        <v>4037</v>
      </c>
      <c r="D2350" t="b">
        <f>IFERROR(VLOOKUP(B2350,PatData!$A$2:$A$2030,1,),"")&lt;&gt;""</f>
        <v>0</v>
      </c>
      <c r="E2350" s="355">
        <v>5000</v>
      </c>
      <c r="F2350" t="b">
        <v>0</v>
      </c>
      <c r="G2350" t="b">
        <v>0</v>
      </c>
      <c r="H2350" t="b">
        <v>0</v>
      </c>
      <c r="I2350" t="b">
        <v>0</v>
      </c>
    </row>
    <row r="2351" spans="1:9" x14ac:dyDescent="0.2">
      <c r="A2351" t="s">
        <v>4467</v>
      </c>
      <c r="B2351" t="s">
        <v>4468</v>
      </c>
      <c r="D2351" t="b">
        <f>IFERROR(VLOOKUP(B2351,PatData!$A$2:$A$2030,1,),"")&lt;&gt;""</f>
        <v>0</v>
      </c>
      <c r="E2351" s="355" t="s">
        <v>7615</v>
      </c>
      <c r="F2351" t="b">
        <v>1</v>
      </c>
      <c r="G2351" t="b">
        <v>0</v>
      </c>
      <c r="H2351" t="b">
        <v>0</v>
      </c>
      <c r="I2351" t="b">
        <v>0</v>
      </c>
    </row>
    <row r="2352" spans="1:9" ht="140.25" x14ac:dyDescent="0.2">
      <c r="A2352" t="s">
        <v>7088</v>
      </c>
      <c r="B2352" t="s">
        <v>7089</v>
      </c>
      <c r="D2352" t="b">
        <f>IFERROR(VLOOKUP(B2352,PatData!$A$2:$A$2030,1,),"")&lt;&gt;""</f>
        <v>0</v>
      </c>
      <c r="E2352" s="9" t="s">
        <v>7130</v>
      </c>
      <c r="F2352" t="b">
        <v>0</v>
      </c>
      <c r="G2352" t="b">
        <v>0</v>
      </c>
      <c r="H2352" t="b">
        <v>0</v>
      </c>
      <c r="I2352" t="b">
        <v>0</v>
      </c>
    </row>
    <row r="2353" spans="1:9" x14ac:dyDescent="0.2">
      <c r="A2353" t="s">
        <v>4469</v>
      </c>
      <c r="B2353" t="s">
        <v>4470</v>
      </c>
      <c r="D2353" t="b">
        <f>IFERROR(VLOOKUP(B2353,PatData!$A$2:$A$2030,1,),"")&lt;&gt;""</f>
        <v>0</v>
      </c>
      <c r="E2353" s="355" t="s">
        <v>7616</v>
      </c>
      <c r="F2353" t="b">
        <v>1</v>
      </c>
      <c r="G2353" t="b">
        <v>0</v>
      </c>
      <c r="H2353" t="b">
        <v>0</v>
      </c>
      <c r="I2353" t="b">
        <v>0</v>
      </c>
    </row>
    <row r="2354" spans="1:9" x14ac:dyDescent="0.2">
      <c r="A2354" t="s">
        <v>4438</v>
      </c>
      <c r="B2354" t="s">
        <v>1709</v>
      </c>
      <c r="D2354" t="b">
        <f>IFERROR(VLOOKUP(B2354,PatData!$A$2:$A$2030,1,),"")&lt;&gt;""</f>
        <v>0</v>
      </c>
      <c r="E2354" s="355" t="s">
        <v>4716</v>
      </c>
      <c r="F2354" t="b">
        <v>1</v>
      </c>
      <c r="G2354" t="b">
        <v>0</v>
      </c>
      <c r="H2354" t="b">
        <v>0</v>
      </c>
      <c r="I2354" t="b">
        <v>0</v>
      </c>
    </row>
    <row r="2355" spans="1:9" x14ac:dyDescent="0.2">
      <c r="A2355" t="s">
        <v>4439</v>
      </c>
      <c r="B2355" t="s">
        <v>1710</v>
      </c>
      <c r="D2355" t="b">
        <f>IFERROR(VLOOKUP(B2355,PatData!$A$2:$A$2030,1,),"")&lt;&gt;""</f>
        <v>0</v>
      </c>
      <c r="E2355" s="355" t="s">
        <v>4717</v>
      </c>
      <c r="F2355" t="b">
        <v>1</v>
      </c>
      <c r="G2355" t="b">
        <v>0</v>
      </c>
      <c r="H2355" t="b">
        <v>0</v>
      </c>
      <c r="I2355" t="b">
        <v>0</v>
      </c>
    </row>
    <row r="2356" spans="1:9" x14ac:dyDescent="0.2">
      <c r="A2356" t="s">
        <v>4440</v>
      </c>
      <c r="B2356" t="s">
        <v>1711</v>
      </c>
      <c r="D2356" t="b">
        <f>IFERROR(VLOOKUP(B2356,PatData!$A$2:$A$2030,1,),"")&lt;&gt;""</f>
        <v>0</v>
      </c>
      <c r="E2356" s="355" t="s">
        <v>4718</v>
      </c>
      <c r="F2356" t="b">
        <v>1</v>
      </c>
      <c r="G2356" t="b">
        <v>0</v>
      </c>
      <c r="H2356" t="b">
        <v>0</v>
      </c>
      <c r="I2356" t="b">
        <v>0</v>
      </c>
    </row>
    <row r="2357" spans="1:9" x14ac:dyDescent="0.2">
      <c r="A2357" t="s">
        <v>4441</v>
      </c>
      <c r="B2357" t="s">
        <v>1712</v>
      </c>
      <c r="D2357" t="b">
        <f>IFERROR(VLOOKUP(B2357,PatData!$A$2:$A$2030,1,),"")&lt;&gt;""</f>
        <v>0</v>
      </c>
      <c r="E2357" s="355" t="s">
        <v>4719</v>
      </c>
      <c r="F2357" t="b">
        <v>1</v>
      </c>
      <c r="G2357" t="b">
        <v>0</v>
      </c>
      <c r="H2357" t="b">
        <v>0</v>
      </c>
      <c r="I2357" t="b">
        <v>0</v>
      </c>
    </row>
    <row r="2358" spans="1:9" x14ac:dyDescent="0.2">
      <c r="A2358" t="s">
        <v>4442</v>
      </c>
      <c r="B2358" t="s">
        <v>1713</v>
      </c>
      <c r="D2358" t="b">
        <f>IFERROR(VLOOKUP(B2358,PatData!$A$2:$A$2030,1,),"")&lt;&gt;""</f>
        <v>0</v>
      </c>
      <c r="E2358" s="355" t="s">
        <v>4720</v>
      </c>
      <c r="F2358" t="b">
        <v>1</v>
      </c>
      <c r="G2358" t="b">
        <v>0</v>
      </c>
      <c r="H2358" t="b">
        <v>0</v>
      </c>
      <c r="I2358" t="b">
        <v>0</v>
      </c>
    </row>
    <row r="2359" spans="1:9" x14ac:dyDescent="0.2">
      <c r="A2359" t="s">
        <v>4443</v>
      </c>
      <c r="B2359" t="s">
        <v>1714</v>
      </c>
      <c r="D2359" t="b">
        <f>IFERROR(VLOOKUP(B2359,PatData!$A$2:$A$2030,1,),"")&lt;&gt;""</f>
        <v>0</v>
      </c>
      <c r="E2359" s="355" t="s">
        <v>4721</v>
      </c>
      <c r="F2359" t="b">
        <v>1</v>
      </c>
      <c r="G2359" t="b">
        <v>0</v>
      </c>
      <c r="H2359" t="b">
        <v>0</v>
      </c>
      <c r="I2359" t="b">
        <v>0</v>
      </c>
    </row>
    <row r="2360" spans="1:9" x14ac:dyDescent="0.2">
      <c r="A2360" t="s">
        <v>4444</v>
      </c>
      <c r="B2360" t="s">
        <v>1715</v>
      </c>
      <c r="D2360" t="b">
        <f>IFERROR(VLOOKUP(B2360,PatData!$A$2:$A$2030,1,),"")&lt;&gt;""</f>
        <v>0</v>
      </c>
      <c r="E2360" s="355" t="s">
        <v>4722</v>
      </c>
      <c r="F2360" t="b">
        <v>1</v>
      </c>
      <c r="G2360" t="b">
        <v>0</v>
      </c>
      <c r="H2360" t="b">
        <v>0</v>
      </c>
      <c r="I2360" t="b">
        <v>0</v>
      </c>
    </row>
    <row r="2361" spans="1:9" x14ac:dyDescent="0.2">
      <c r="A2361" t="s">
        <v>4445</v>
      </c>
      <c r="B2361" t="s">
        <v>1716</v>
      </c>
      <c r="D2361" t="b">
        <f>IFERROR(VLOOKUP(B2361,PatData!$A$2:$A$2030,1,),"")&lt;&gt;""</f>
        <v>0</v>
      </c>
      <c r="E2361" s="355" t="s">
        <v>4723</v>
      </c>
      <c r="F2361" t="b">
        <v>1</v>
      </c>
      <c r="G2361" t="b">
        <v>0</v>
      </c>
      <c r="H2361" t="b">
        <v>0</v>
      </c>
      <c r="I2361" t="b">
        <v>0</v>
      </c>
    </row>
    <row r="2362" spans="1:9" x14ac:dyDescent="0.2">
      <c r="A2362" t="s">
        <v>4446</v>
      </c>
      <c r="B2362" t="s">
        <v>1717</v>
      </c>
      <c r="D2362" t="b">
        <f>IFERROR(VLOOKUP(B2362,PatData!$A$2:$A$2030,1,),"")&lt;&gt;""</f>
        <v>0</v>
      </c>
      <c r="E2362" s="355" t="s">
        <v>4724</v>
      </c>
      <c r="F2362" t="b">
        <v>1</v>
      </c>
      <c r="G2362" t="b">
        <v>0</v>
      </c>
      <c r="H2362" t="b">
        <v>0</v>
      </c>
      <c r="I2362" t="b">
        <v>0</v>
      </c>
    </row>
    <row r="2363" spans="1:9" x14ac:dyDescent="0.2">
      <c r="A2363" t="s">
        <v>4462</v>
      </c>
      <c r="B2363" t="s">
        <v>4463</v>
      </c>
      <c r="D2363" t="b">
        <f>IFERROR(VLOOKUP(B2363,PatData!$A$2:$A$2030,1,),"")&lt;&gt;""</f>
        <v>0</v>
      </c>
      <c r="E2363" s="355">
        <v>1</v>
      </c>
      <c r="F2363" t="b">
        <v>0</v>
      </c>
      <c r="G2363" t="b">
        <v>0</v>
      </c>
      <c r="H2363" t="b">
        <v>0</v>
      </c>
      <c r="I2363" t="b">
        <v>0</v>
      </c>
    </row>
    <row r="2364" spans="1:9" x14ac:dyDescent="0.2">
      <c r="A2364" t="s">
        <v>7617</v>
      </c>
      <c r="B2364" t="s">
        <v>5070</v>
      </c>
      <c r="D2364" t="b">
        <f>IFERROR(VLOOKUP(B2364,PatData!$A$2:$A$2030,1,),"")&lt;&gt;""</f>
        <v>0</v>
      </c>
      <c r="E2364" s="355">
        <v>0</v>
      </c>
      <c r="F2364" t="b">
        <v>0</v>
      </c>
      <c r="G2364" t="b">
        <v>0</v>
      </c>
      <c r="H2364" t="b">
        <v>0</v>
      </c>
      <c r="I2364" t="b">
        <v>0</v>
      </c>
    </row>
    <row r="2365" spans="1:9" x14ac:dyDescent="0.2">
      <c r="A2365" t="s">
        <v>4471</v>
      </c>
      <c r="B2365" t="s">
        <v>4472</v>
      </c>
      <c r="D2365" t="b">
        <f>IFERROR(VLOOKUP(B2365,PatData!$A$2:$A$2030,1,),"")&lt;&gt;""</f>
        <v>0</v>
      </c>
      <c r="E2365" s="355" t="s">
        <v>7616</v>
      </c>
      <c r="F2365" t="b">
        <v>1</v>
      </c>
      <c r="G2365" t="b">
        <v>0</v>
      </c>
      <c r="H2365" t="b">
        <v>0</v>
      </c>
      <c r="I2365" t="b">
        <v>0</v>
      </c>
    </row>
    <row r="2366" spans="1:9" x14ac:dyDescent="0.2">
      <c r="A2366" t="s">
        <v>4681</v>
      </c>
      <c r="B2366" t="s">
        <v>1708</v>
      </c>
      <c r="D2366" t="b">
        <f>IFERROR(VLOOKUP(B2366,PatData!$A$2:$A$2030,1,),"")&lt;&gt;""</f>
        <v>0</v>
      </c>
      <c r="E2366" s="355" t="s">
        <v>4682</v>
      </c>
      <c r="F2366" t="b">
        <v>1</v>
      </c>
      <c r="G2366" t="b">
        <v>0</v>
      </c>
      <c r="H2366" t="b">
        <v>0</v>
      </c>
      <c r="I2366" t="b">
        <v>0</v>
      </c>
    </row>
    <row r="2367" spans="1:9" x14ac:dyDescent="0.2">
      <c r="A2367" t="s">
        <v>925</v>
      </c>
      <c r="B2367" t="s">
        <v>911</v>
      </c>
      <c r="D2367" t="b">
        <f>IFERROR(VLOOKUP(B2367,PatData!$A$2:$A$2030,1,),"")&lt;&gt;""</f>
        <v>0</v>
      </c>
      <c r="E2367" s="355" t="s">
        <v>4682</v>
      </c>
      <c r="F2367" t="b">
        <v>1</v>
      </c>
      <c r="G2367" t="b">
        <v>0</v>
      </c>
      <c r="H2367" t="b">
        <v>0</v>
      </c>
      <c r="I2367" t="b">
        <v>0</v>
      </c>
    </row>
    <row r="2368" spans="1:9" x14ac:dyDescent="0.2">
      <c r="A2368" t="s">
        <v>7812</v>
      </c>
      <c r="B2368" t="s">
        <v>912</v>
      </c>
      <c r="D2368" t="b">
        <f>IFERROR(VLOOKUP(B2368,PatData!$A$2:$A$2030,1,),"")&lt;&gt;""</f>
        <v>0</v>
      </c>
      <c r="E2368" s="355" t="s">
        <v>4682</v>
      </c>
      <c r="F2368" t="b">
        <v>1</v>
      </c>
      <c r="G2368" t="b">
        <v>0</v>
      </c>
      <c r="H2368" t="b">
        <v>0</v>
      </c>
      <c r="I2368" t="b">
        <v>0</v>
      </c>
    </row>
    <row r="2369" spans="1:9" x14ac:dyDescent="0.2">
      <c r="A2369" t="s">
        <v>1508</v>
      </c>
      <c r="B2369" t="s">
        <v>913</v>
      </c>
      <c r="D2369" t="b">
        <f>IFERROR(VLOOKUP(B2369,PatData!$A$2:$A$2030,1,),"")&lt;&gt;""</f>
        <v>0</v>
      </c>
      <c r="E2369" s="355" t="s">
        <v>4682</v>
      </c>
      <c r="F2369" t="b">
        <v>1</v>
      </c>
      <c r="G2369" t="b">
        <v>0</v>
      </c>
      <c r="H2369" t="b">
        <v>0</v>
      </c>
      <c r="I2369" t="b">
        <v>0</v>
      </c>
    </row>
    <row r="2370" spans="1:9" x14ac:dyDescent="0.2">
      <c r="A2370" t="s">
        <v>5071</v>
      </c>
      <c r="B2370" t="s">
        <v>914</v>
      </c>
      <c r="D2370" t="b">
        <f>IFERROR(VLOOKUP(B2370,PatData!$A$2:$A$2030,1,),"")&lt;&gt;""</f>
        <v>0</v>
      </c>
      <c r="E2370" s="355" t="s">
        <v>4682</v>
      </c>
      <c r="F2370" t="b">
        <v>1</v>
      </c>
      <c r="G2370" t="b">
        <v>0</v>
      </c>
      <c r="H2370" t="b">
        <v>0</v>
      </c>
      <c r="I2370" t="b">
        <v>0</v>
      </c>
    </row>
    <row r="2371" spans="1:9" x14ac:dyDescent="0.2">
      <c r="A2371" t="s">
        <v>1509</v>
      </c>
      <c r="B2371" t="s">
        <v>915</v>
      </c>
      <c r="D2371" t="b">
        <f>IFERROR(VLOOKUP(B2371,PatData!$A$2:$A$2030,1,),"")&lt;&gt;""</f>
        <v>0</v>
      </c>
      <c r="E2371" s="355" t="s">
        <v>4682</v>
      </c>
      <c r="F2371" t="b">
        <v>1</v>
      </c>
      <c r="G2371" t="b">
        <v>0</v>
      </c>
      <c r="H2371" t="b">
        <v>0</v>
      </c>
      <c r="I2371" t="b">
        <v>0</v>
      </c>
    </row>
    <row r="2372" spans="1:9" x14ac:dyDescent="0.2">
      <c r="A2372" t="s">
        <v>4953</v>
      </c>
      <c r="B2372" t="s">
        <v>916</v>
      </c>
      <c r="D2372" t="b">
        <f>IFERROR(VLOOKUP(B2372,PatData!$A$2:$A$2030,1,),"")&lt;&gt;""</f>
        <v>0</v>
      </c>
      <c r="E2372" s="355" t="s">
        <v>4682</v>
      </c>
      <c r="F2372" t="b">
        <v>1</v>
      </c>
      <c r="G2372" t="b">
        <v>0</v>
      </c>
      <c r="H2372" t="b">
        <v>0</v>
      </c>
      <c r="I2372" t="b">
        <v>0</v>
      </c>
    </row>
    <row r="2373" spans="1:9" x14ac:dyDescent="0.2">
      <c r="A2373" t="s">
        <v>5072</v>
      </c>
      <c r="B2373" t="s">
        <v>917</v>
      </c>
      <c r="D2373" t="b">
        <f>IFERROR(VLOOKUP(B2373,PatData!$A$2:$A$2030,1,),"")&lt;&gt;""</f>
        <v>0</v>
      </c>
      <c r="E2373" s="355" t="s">
        <v>4682</v>
      </c>
      <c r="F2373" t="b">
        <v>1</v>
      </c>
      <c r="G2373" t="b">
        <v>0</v>
      </c>
      <c r="H2373" t="b">
        <v>0</v>
      </c>
      <c r="I2373" t="b">
        <v>0</v>
      </c>
    </row>
    <row r="2374" spans="1:9" x14ac:dyDescent="0.2">
      <c r="A2374" t="s">
        <v>7598</v>
      </c>
      <c r="B2374" t="s">
        <v>918</v>
      </c>
      <c r="D2374" t="b">
        <f>IFERROR(VLOOKUP(B2374,PatData!$A$2:$A$2030,1,),"")&lt;&gt;""</f>
        <v>0</v>
      </c>
      <c r="E2374" s="355" t="s">
        <v>4682</v>
      </c>
      <c r="F2374" t="b">
        <v>1</v>
      </c>
      <c r="G2374" t="b">
        <v>0</v>
      </c>
      <c r="H2374" t="b">
        <v>0</v>
      </c>
      <c r="I2374" t="b">
        <v>0</v>
      </c>
    </row>
    <row r="2375" spans="1:9" x14ac:dyDescent="0.2">
      <c r="A2375" t="s">
        <v>7599</v>
      </c>
      <c r="B2375" t="s">
        <v>919</v>
      </c>
      <c r="D2375" t="b">
        <f>IFERROR(VLOOKUP(B2375,PatData!$A$2:$A$2030,1,),"")&lt;&gt;""</f>
        <v>0</v>
      </c>
      <c r="E2375" s="355" t="s">
        <v>4682</v>
      </c>
      <c r="F2375" t="b">
        <v>1</v>
      </c>
      <c r="G2375" t="b">
        <v>0</v>
      </c>
      <c r="H2375" t="b">
        <v>0</v>
      </c>
      <c r="I2375" t="b">
        <v>0</v>
      </c>
    </row>
    <row r="2376" spans="1:9" x14ac:dyDescent="0.2">
      <c r="A2376" t="s">
        <v>7600</v>
      </c>
      <c r="B2376" t="s">
        <v>7618</v>
      </c>
      <c r="D2376" t="b">
        <f>IFERROR(VLOOKUP(B2376,PatData!$A$2:$A$2030,1,),"")&lt;&gt;""</f>
        <v>0</v>
      </c>
      <c r="E2376" s="355" t="s">
        <v>4682</v>
      </c>
      <c r="F2376" t="b">
        <v>1</v>
      </c>
      <c r="G2376" t="b">
        <v>0</v>
      </c>
      <c r="H2376" t="b">
        <v>0</v>
      </c>
      <c r="I2376" t="b">
        <v>0</v>
      </c>
    </row>
    <row r="2377" spans="1:9" x14ac:dyDescent="0.2">
      <c r="A2377" t="s">
        <v>7619</v>
      </c>
      <c r="B2377" t="s">
        <v>920</v>
      </c>
      <c r="D2377" t="b">
        <f>IFERROR(VLOOKUP(B2377,PatData!$A$2:$A$2030,1,),"")&lt;&gt;""</f>
        <v>0</v>
      </c>
      <c r="E2377" s="355" t="s">
        <v>4682</v>
      </c>
      <c r="F2377" t="b">
        <v>1</v>
      </c>
      <c r="G2377" t="b">
        <v>0</v>
      </c>
      <c r="H2377" t="b">
        <v>0</v>
      </c>
      <c r="I2377" t="b">
        <v>0</v>
      </c>
    </row>
    <row r="2378" spans="1:9" x14ac:dyDescent="0.2">
      <c r="A2378" t="s">
        <v>7603</v>
      </c>
      <c r="B2378" t="s">
        <v>921</v>
      </c>
      <c r="D2378" t="b">
        <f>IFERROR(VLOOKUP(B2378,PatData!$A$2:$A$2030,1,),"")&lt;&gt;""</f>
        <v>0</v>
      </c>
      <c r="E2378" s="355" t="s">
        <v>4682</v>
      </c>
      <c r="F2378" t="b">
        <v>1</v>
      </c>
      <c r="G2378" t="b">
        <v>0</v>
      </c>
      <c r="H2378" t="b">
        <v>0</v>
      </c>
      <c r="I2378" t="b">
        <v>0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N11" sqref="N11"/>
    </sheetView>
  </sheetViews>
  <sheetFormatPr defaultRowHeight="12.75" x14ac:dyDescent="0.2"/>
  <cols>
    <col min="1" max="1" width="21" style="161" customWidth="1"/>
    <col min="2" max="2" width="11.7109375" style="161" customWidth="1"/>
    <col min="3" max="4" width="9.140625" style="161"/>
    <col min="5" max="5" width="14.42578125" style="161" customWidth="1"/>
    <col min="6" max="6" width="12.42578125" style="161" customWidth="1"/>
    <col min="7" max="8" width="9.140625" style="161"/>
    <col min="10" max="10" width="26.5703125" customWidth="1"/>
    <col min="11" max="11" width="5.42578125" style="151" customWidth="1"/>
  </cols>
  <sheetData>
    <row r="1" spans="1:16" x14ac:dyDescent="0.2">
      <c r="A1" s="162" t="s">
        <v>4057</v>
      </c>
      <c r="B1" s="162" t="s">
        <v>4038</v>
      </c>
      <c r="C1" s="162" t="s">
        <v>4044</v>
      </c>
      <c r="E1" s="161" t="s">
        <v>255</v>
      </c>
      <c r="F1" s="161" t="s">
        <v>448</v>
      </c>
      <c r="J1" s="152" t="s">
        <v>4072</v>
      </c>
      <c r="K1" s="152"/>
      <c r="L1" s="152" t="s">
        <v>4073</v>
      </c>
      <c r="O1" s="152"/>
    </row>
    <row r="2" spans="1:16" ht="15" x14ac:dyDescent="0.25">
      <c r="A2" s="356" t="s">
        <v>175</v>
      </c>
      <c r="B2" s="161">
        <v>1</v>
      </c>
      <c r="C2" s="356" t="s">
        <v>4043</v>
      </c>
      <c r="K2" s="155" t="s">
        <v>4075</v>
      </c>
      <c r="L2" s="151" t="s">
        <v>118</v>
      </c>
      <c r="M2" s="151" t="s">
        <v>55</v>
      </c>
      <c r="N2" s="151" t="s">
        <v>119</v>
      </c>
      <c r="O2" s="152" t="s">
        <v>4045</v>
      </c>
      <c r="P2" s="151" t="s">
        <v>369</v>
      </c>
    </row>
    <row r="3" spans="1:16" ht="15" x14ac:dyDescent="0.25">
      <c r="A3" s="356" t="s">
        <v>144</v>
      </c>
      <c r="B3" s="161">
        <v>1</v>
      </c>
      <c r="C3" s="356" t="s">
        <v>29</v>
      </c>
      <c r="E3" s="161" t="s">
        <v>451</v>
      </c>
      <c r="F3" s="161">
        <v>1.44</v>
      </c>
      <c r="J3" t="s">
        <v>282</v>
      </c>
      <c r="K3" s="151">
        <v>2</v>
      </c>
      <c r="L3">
        <f>24/1000</f>
        <v>2.4E-2</v>
      </c>
      <c r="M3">
        <v>24</v>
      </c>
      <c r="N3" s="152" t="s">
        <v>4071</v>
      </c>
      <c r="O3" s="152" t="s">
        <v>4071</v>
      </c>
      <c r="P3" s="152" t="s">
        <v>4071</v>
      </c>
    </row>
    <row r="4" spans="1:16" ht="15" x14ac:dyDescent="0.25">
      <c r="A4" s="356" t="s">
        <v>176</v>
      </c>
      <c r="B4" s="161">
        <v>1</v>
      </c>
      <c r="C4" s="356" t="s">
        <v>29</v>
      </c>
      <c r="E4" s="161" t="s">
        <v>281</v>
      </c>
      <c r="F4" s="161">
        <v>1</v>
      </c>
      <c r="J4" t="s">
        <v>139</v>
      </c>
      <c r="K4" s="151">
        <v>3</v>
      </c>
      <c r="L4" s="152" t="s">
        <v>4071</v>
      </c>
      <c r="M4" s="152" t="s">
        <v>4071</v>
      </c>
      <c r="N4" s="152" t="s">
        <v>4071</v>
      </c>
      <c r="O4">
        <v>1</v>
      </c>
      <c r="P4" s="152" t="s">
        <v>4071</v>
      </c>
    </row>
    <row r="5" spans="1:16" ht="15" x14ac:dyDescent="0.25">
      <c r="A5" s="356" t="s">
        <v>145</v>
      </c>
      <c r="B5" s="161">
        <v>1</v>
      </c>
      <c r="C5" s="356" t="s">
        <v>29</v>
      </c>
      <c r="E5" s="161" t="s">
        <v>363</v>
      </c>
      <c r="F5" s="161">
        <v>1440</v>
      </c>
      <c r="J5" t="s">
        <v>451</v>
      </c>
      <c r="K5" s="151">
        <v>4</v>
      </c>
      <c r="L5">
        <f>1000/60</f>
        <v>16.666666666666668</v>
      </c>
      <c r="M5">
        <f>1000*1000/60</f>
        <v>16666.666666666668</v>
      </c>
      <c r="N5" s="152" t="s">
        <v>4071</v>
      </c>
      <c r="O5" s="152" t="s">
        <v>4071</v>
      </c>
      <c r="P5" s="152" t="s">
        <v>4071</v>
      </c>
    </row>
    <row r="6" spans="1:16" ht="15" x14ac:dyDescent="0.25">
      <c r="A6" s="356" t="s">
        <v>170</v>
      </c>
      <c r="B6" s="358">
        <v>4.3478000000000003E-2</v>
      </c>
      <c r="C6" s="356" t="s">
        <v>369</v>
      </c>
      <c r="E6" s="161" t="s">
        <v>280</v>
      </c>
      <c r="F6" s="161">
        <v>24</v>
      </c>
      <c r="J6" t="s">
        <v>583</v>
      </c>
      <c r="K6" s="151">
        <v>5</v>
      </c>
      <c r="L6">
        <v>1000</v>
      </c>
      <c r="M6">
        <f>1000*1000</f>
        <v>1000000</v>
      </c>
      <c r="N6" s="152" t="s">
        <v>4071</v>
      </c>
      <c r="O6" s="152" t="s">
        <v>4071</v>
      </c>
      <c r="P6" s="152" t="s">
        <v>4071</v>
      </c>
    </row>
    <row r="7" spans="1:16" ht="15" x14ac:dyDescent="0.25">
      <c r="A7" s="356" t="s">
        <v>171</v>
      </c>
      <c r="B7" s="358">
        <v>2.5641000000000001E-2</v>
      </c>
      <c r="C7" s="356" t="s">
        <v>369</v>
      </c>
      <c r="E7" s="161" t="s">
        <v>321</v>
      </c>
      <c r="F7" s="161">
        <v>1.4400000000000001E-3</v>
      </c>
      <c r="J7" t="s">
        <v>281</v>
      </c>
      <c r="K7" s="151">
        <v>6</v>
      </c>
      <c r="L7">
        <v>24</v>
      </c>
      <c r="M7">
        <f>1000*24</f>
        <v>24000</v>
      </c>
      <c r="N7" s="152" t="s">
        <v>4071</v>
      </c>
      <c r="O7" s="152" t="s">
        <v>4071</v>
      </c>
      <c r="P7" s="152" t="s">
        <v>4071</v>
      </c>
    </row>
    <row r="8" spans="1:16" ht="15" x14ac:dyDescent="0.25">
      <c r="A8" s="356" t="s">
        <v>172</v>
      </c>
      <c r="B8" s="358">
        <v>2.4899999999999999E-2</v>
      </c>
      <c r="C8" s="356" t="s">
        <v>369</v>
      </c>
      <c r="E8" s="161" t="s">
        <v>583</v>
      </c>
      <c r="F8" s="161">
        <v>2.4E-2</v>
      </c>
      <c r="J8" t="s">
        <v>363</v>
      </c>
      <c r="K8" s="151">
        <v>7</v>
      </c>
      <c r="L8">
        <f>1/60</f>
        <v>1.6666666666666666E-2</v>
      </c>
      <c r="M8">
        <f>1000/60</f>
        <v>16.666666666666668</v>
      </c>
      <c r="N8" s="152" t="s">
        <v>4071</v>
      </c>
      <c r="O8" s="152" t="s">
        <v>4071</v>
      </c>
      <c r="P8" s="152" t="s">
        <v>4071</v>
      </c>
    </row>
    <row r="9" spans="1:16" ht="15" x14ac:dyDescent="0.25">
      <c r="A9" s="356" t="s">
        <v>177</v>
      </c>
      <c r="B9" s="358">
        <v>3.2288999999999998E-2</v>
      </c>
      <c r="C9" s="356" t="s">
        <v>369</v>
      </c>
      <c r="E9" s="161" t="s">
        <v>282</v>
      </c>
      <c r="F9" s="161">
        <v>1</v>
      </c>
      <c r="J9" t="s">
        <v>280</v>
      </c>
      <c r="K9" s="151">
        <v>8</v>
      </c>
      <c r="L9">
        <v>1</v>
      </c>
      <c r="M9">
        <f>1000</f>
        <v>1000</v>
      </c>
      <c r="N9" s="152" t="s">
        <v>4071</v>
      </c>
      <c r="O9" s="152" t="s">
        <v>4071</v>
      </c>
      <c r="P9" s="152" t="s">
        <v>4071</v>
      </c>
    </row>
    <row r="10" spans="1:16" ht="15" x14ac:dyDescent="0.25">
      <c r="A10" s="356" t="s">
        <v>173</v>
      </c>
      <c r="B10" s="358">
        <v>4.1140999999999997E-2</v>
      </c>
      <c r="C10" s="356" t="s">
        <v>369</v>
      </c>
      <c r="E10" s="161" t="s">
        <v>54</v>
      </c>
      <c r="F10" s="161">
        <v>24</v>
      </c>
      <c r="J10" s="152" t="s">
        <v>6947</v>
      </c>
      <c r="K10" s="151">
        <v>9</v>
      </c>
      <c r="L10" s="152" t="s">
        <v>4071</v>
      </c>
      <c r="M10" s="152" t="s">
        <v>4071</v>
      </c>
      <c r="N10" s="152">
        <v>24</v>
      </c>
      <c r="O10" s="152" t="s">
        <v>4071</v>
      </c>
      <c r="P10" s="152" t="s">
        <v>4071</v>
      </c>
    </row>
    <row r="11" spans="1:16" ht="15" x14ac:dyDescent="0.25">
      <c r="A11" s="356" t="s">
        <v>723</v>
      </c>
      <c r="B11" s="358">
        <v>1.7899999999999999E-2</v>
      </c>
      <c r="C11" s="356" t="s">
        <v>369</v>
      </c>
      <c r="J11" s="152" t="s">
        <v>129</v>
      </c>
      <c r="K11" s="151">
        <v>10</v>
      </c>
      <c r="L11" s="152" t="s">
        <v>4071</v>
      </c>
      <c r="M11" s="152" t="s">
        <v>4071</v>
      </c>
      <c r="N11" s="152">
        <v>1</v>
      </c>
      <c r="O11" s="152" t="s">
        <v>4071</v>
      </c>
      <c r="P11" s="152" t="s">
        <v>4071</v>
      </c>
    </row>
    <row r="12" spans="1:16" ht="15" x14ac:dyDescent="0.25">
      <c r="A12" s="356" t="s">
        <v>724</v>
      </c>
      <c r="B12" s="358">
        <v>40</v>
      </c>
      <c r="C12" s="356" t="s">
        <v>4045</v>
      </c>
      <c r="J12" t="s">
        <v>302</v>
      </c>
      <c r="K12" s="151">
        <v>11</v>
      </c>
      <c r="L12" s="152" t="s">
        <v>4071</v>
      </c>
      <c r="M12" s="152" t="s">
        <v>4071</v>
      </c>
      <c r="N12" s="152" t="s">
        <v>4071</v>
      </c>
      <c r="O12" s="152" t="s">
        <v>4071</v>
      </c>
      <c r="P12">
        <f>24</f>
        <v>24</v>
      </c>
    </row>
    <row r="13" spans="1:16" ht="15" x14ac:dyDescent="0.25">
      <c r="A13" s="356" t="s">
        <v>449</v>
      </c>
      <c r="B13" s="358">
        <v>2.8205999999999998E-2</v>
      </c>
      <c r="C13" s="356" t="s">
        <v>369</v>
      </c>
      <c r="J13" t="s">
        <v>321</v>
      </c>
      <c r="K13" s="151">
        <v>12</v>
      </c>
      <c r="L13" s="152">
        <f>1000*1000/60</f>
        <v>16666.666666666668</v>
      </c>
      <c r="M13" s="152">
        <f>1000*1000*1000/60</f>
        <v>16666666.666666666</v>
      </c>
      <c r="N13" s="152" t="s">
        <v>4071</v>
      </c>
      <c r="O13" s="152" t="s">
        <v>4071</v>
      </c>
      <c r="P13" s="152" t="s">
        <v>4071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7" type="noConversion"/>
  <conditionalFormatting sqref="L3:P13">
    <cfRule type="cellIs" dxfId="15" priority="1" operator="equal">
      <formula>"NA"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5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6" sqref="A6"/>
    </sheetView>
  </sheetViews>
  <sheetFormatPr defaultColWidth="9.140625" defaultRowHeight="12.75" x14ac:dyDescent="0.2"/>
  <cols>
    <col min="1" max="1" width="27.28515625" style="722" customWidth="1"/>
    <col min="2" max="10" width="9.140625" style="722"/>
    <col min="11" max="11" width="9.140625" style="722" customWidth="1"/>
    <col min="12" max="13" width="9.140625" style="722"/>
    <col min="14" max="14" width="54.5703125" style="722" customWidth="1"/>
    <col min="15" max="18" width="9.140625" style="722"/>
    <col min="19" max="19" width="29.85546875" style="722" customWidth="1"/>
    <col min="20" max="16384" width="9.140625" style="722"/>
  </cols>
  <sheetData>
    <row r="1" spans="1:21" x14ac:dyDescent="0.2">
      <c r="B1" s="723" t="s">
        <v>4046</v>
      </c>
    </row>
    <row r="2" spans="1:21" ht="15" x14ac:dyDescent="0.25">
      <c r="B2" s="736">
        <v>2</v>
      </c>
      <c r="C2" s="736">
        <v>3</v>
      </c>
      <c r="D2" s="736">
        <v>4</v>
      </c>
      <c r="E2" s="736">
        <v>5</v>
      </c>
      <c r="F2" s="736">
        <v>6</v>
      </c>
      <c r="G2" s="736">
        <v>7</v>
      </c>
      <c r="H2" s="736">
        <v>8</v>
      </c>
      <c r="I2" s="736">
        <v>9</v>
      </c>
      <c r="J2" s="736">
        <v>10</v>
      </c>
      <c r="K2" s="736">
        <v>11</v>
      </c>
      <c r="L2" s="736">
        <v>12</v>
      </c>
      <c r="M2" s="736">
        <v>13</v>
      </c>
      <c r="N2" s="725">
        <v>14</v>
      </c>
    </row>
    <row r="3" spans="1:21" ht="15" x14ac:dyDescent="0.25">
      <c r="B3" s="736" t="s">
        <v>175</v>
      </c>
      <c r="C3" s="736" t="s">
        <v>144</v>
      </c>
      <c r="D3" s="736" t="s">
        <v>176</v>
      </c>
      <c r="E3" s="736" t="s">
        <v>145</v>
      </c>
      <c r="F3" s="736" t="s">
        <v>170</v>
      </c>
      <c r="G3" s="736" t="s">
        <v>171</v>
      </c>
      <c r="H3" s="736" t="s">
        <v>172</v>
      </c>
      <c r="I3" s="736" t="s">
        <v>177</v>
      </c>
      <c r="J3" s="736" t="s">
        <v>173</v>
      </c>
      <c r="K3" s="736" t="s">
        <v>723</v>
      </c>
      <c r="L3" s="736" t="s">
        <v>724</v>
      </c>
      <c r="M3" s="736" t="s">
        <v>449</v>
      </c>
      <c r="N3" s="737" t="s">
        <v>4903</v>
      </c>
    </row>
    <row r="4" spans="1:21" ht="15" x14ac:dyDescent="0.25">
      <c r="A4" s="726" t="s">
        <v>4058</v>
      </c>
      <c r="B4" s="738" t="str">
        <f t="shared" ref="B4:M4" si="0">VLOOKUP(B3,Tbl_Glob_Conversie,3,FALSE)</f>
        <v>kcal</v>
      </c>
      <c r="C4" s="738" t="str">
        <f t="shared" si="0"/>
        <v>gram</v>
      </c>
      <c r="D4" s="738" t="str">
        <f t="shared" si="0"/>
        <v>gram</v>
      </c>
      <c r="E4" s="738" t="str">
        <f t="shared" si="0"/>
        <v>gram</v>
      </c>
      <c r="F4" s="738" t="str">
        <f t="shared" si="0"/>
        <v>mmol</v>
      </c>
      <c r="G4" s="738" t="str">
        <f t="shared" si="0"/>
        <v>mmol</v>
      </c>
      <c r="H4" s="738" t="str">
        <f t="shared" si="0"/>
        <v>mmol</v>
      </c>
      <c r="I4" s="738" t="str">
        <f t="shared" si="0"/>
        <v>mmol</v>
      </c>
      <c r="J4" s="738" t="str">
        <f t="shared" si="0"/>
        <v>mmol</v>
      </c>
      <c r="K4" s="738" t="str">
        <f t="shared" si="0"/>
        <v>mmol</v>
      </c>
      <c r="L4" s="738" t="str">
        <f t="shared" si="0"/>
        <v>IE</v>
      </c>
      <c r="M4" s="738" t="str">
        <f t="shared" si="0"/>
        <v>mmol</v>
      </c>
    </row>
    <row r="5" spans="1:21" x14ac:dyDescent="0.2">
      <c r="B5" s="719"/>
      <c r="C5" s="719"/>
      <c r="D5" s="719"/>
      <c r="E5" s="719"/>
      <c r="F5" s="719"/>
      <c r="G5" s="719"/>
      <c r="H5" s="719"/>
      <c r="I5" s="719"/>
      <c r="J5" s="719"/>
      <c r="K5" s="719"/>
      <c r="L5" s="719"/>
      <c r="M5" s="719"/>
      <c r="N5" s="719"/>
    </row>
    <row r="6" spans="1:21" x14ac:dyDescent="0.2">
      <c r="A6" s="722" t="s">
        <v>90</v>
      </c>
      <c r="B6" s="719">
        <v>0</v>
      </c>
      <c r="C6" s="719">
        <v>0.2</v>
      </c>
      <c r="D6" s="718">
        <v>0</v>
      </c>
      <c r="E6" s="719">
        <v>0</v>
      </c>
      <c r="F6" s="719">
        <v>0</v>
      </c>
      <c r="G6" s="719">
        <v>0</v>
      </c>
      <c r="H6" s="719">
        <v>0</v>
      </c>
      <c r="I6" s="719">
        <v>0</v>
      </c>
      <c r="J6" s="719">
        <v>0</v>
      </c>
      <c r="K6" s="719">
        <v>0</v>
      </c>
      <c r="L6" s="719">
        <v>0</v>
      </c>
      <c r="M6" s="719">
        <v>0</v>
      </c>
      <c r="N6" s="719" t="s">
        <v>4914</v>
      </c>
    </row>
    <row r="7" spans="1:21" x14ac:dyDescent="0.2">
      <c r="A7" s="722" t="s">
        <v>7426</v>
      </c>
      <c r="B7" s="719">
        <v>0</v>
      </c>
      <c r="C7" s="719">
        <v>0</v>
      </c>
      <c r="D7" s="718">
        <v>0</v>
      </c>
      <c r="E7" s="719">
        <v>0</v>
      </c>
      <c r="F7" s="719">
        <v>0</v>
      </c>
      <c r="G7" s="719">
        <v>0</v>
      </c>
      <c r="H7" s="719">
        <v>0.22500000000000001</v>
      </c>
      <c r="I7" s="719">
        <v>0</v>
      </c>
      <c r="J7" s="719">
        <v>0</v>
      </c>
      <c r="K7" s="719">
        <v>0</v>
      </c>
      <c r="L7" s="719">
        <v>0</v>
      </c>
      <c r="M7" s="719">
        <v>0.45</v>
      </c>
      <c r="N7" s="719"/>
    </row>
    <row r="8" spans="1:21" x14ac:dyDescent="0.2">
      <c r="A8" s="722" t="s">
        <v>258</v>
      </c>
      <c r="B8" s="719">
        <v>0</v>
      </c>
      <c r="C8" s="719">
        <v>0</v>
      </c>
      <c r="D8" s="719">
        <v>0</v>
      </c>
      <c r="E8" s="719">
        <v>0</v>
      </c>
      <c r="F8" s="719">
        <v>0</v>
      </c>
      <c r="G8" s="719">
        <v>0</v>
      </c>
      <c r="H8" s="719">
        <v>0.22600000000000001</v>
      </c>
      <c r="I8" s="719">
        <v>0</v>
      </c>
      <c r="J8" s="719">
        <v>0</v>
      </c>
      <c r="K8" s="719">
        <v>0</v>
      </c>
      <c r="L8" s="719">
        <v>0</v>
      </c>
      <c r="M8" s="719">
        <v>0</v>
      </c>
      <c r="N8" s="719"/>
    </row>
    <row r="9" spans="1:21" x14ac:dyDescent="0.2">
      <c r="A9" s="722" t="s">
        <v>453</v>
      </c>
      <c r="B9" s="719">
        <v>0.4</v>
      </c>
      <c r="C9" s="719">
        <v>0</v>
      </c>
      <c r="D9" s="719">
        <v>0.1</v>
      </c>
      <c r="E9" s="719">
        <v>0</v>
      </c>
      <c r="F9" s="719">
        <v>0</v>
      </c>
      <c r="G9" s="719">
        <v>0</v>
      </c>
      <c r="H9" s="719">
        <v>0</v>
      </c>
      <c r="I9" s="719">
        <v>0</v>
      </c>
      <c r="J9" s="719">
        <v>0</v>
      </c>
      <c r="K9" s="719">
        <v>0</v>
      </c>
      <c r="L9" s="719">
        <v>0</v>
      </c>
      <c r="M9" s="719">
        <v>0</v>
      </c>
      <c r="N9" s="719" t="s">
        <v>4905</v>
      </c>
    </row>
    <row r="10" spans="1:21" x14ac:dyDescent="0.2">
      <c r="A10" s="722" t="s">
        <v>4826</v>
      </c>
      <c r="B10" s="719">
        <v>0.5</v>
      </c>
      <c r="C10" s="719">
        <v>0</v>
      </c>
      <c r="D10" s="719">
        <v>0.125</v>
      </c>
      <c r="E10" s="719">
        <v>0</v>
      </c>
      <c r="F10" s="719">
        <v>0</v>
      </c>
      <c r="G10" s="719">
        <v>0</v>
      </c>
      <c r="H10" s="719">
        <v>0</v>
      </c>
      <c r="I10" s="719">
        <v>0</v>
      </c>
      <c r="J10" s="719">
        <v>0</v>
      </c>
      <c r="K10" s="719">
        <v>0</v>
      </c>
      <c r="L10" s="719">
        <v>0</v>
      </c>
      <c r="M10" s="719">
        <v>0</v>
      </c>
      <c r="N10" s="719" t="s">
        <v>6977</v>
      </c>
      <c r="S10" s="724"/>
      <c r="T10" s="724"/>
      <c r="U10" s="724"/>
    </row>
    <row r="11" spans="1:21" x14ac:dyDescent="0.2">
      <c r="A11" s="722" t="s">
        <v>454</v>
      </c>
      <c r="B11" s="719">
        <v>0.6</v>
      </c>
      <c r="C11" s="719">
        <v>0</v>
      </c>
      <c r="D11" s="718">
        <v>0.15</v>
      </c>
      <c r="E11" s="719">
        <v>0</v>
      </c>
      <c r="F11" s="719">
        <v>0</v>
      </c>
      <c r="G11" s="719">
        <v>0</v>
      </c>
      <c r="H11" s="719">
        <v>0</v>
      </c>
      <c r="I11" s="719">
        <v>0</v>
      </c>
      <c r="J11" s="719">
        <v>0</v>
      </c>
      <c r="K11" s="719">
        <v>0</v>
      </c>
      <c r="L11" s="719">
        <v>0</v>
      </c>
      <c r="M11" s="719">
        <v>0</v>
      </c>
      <c r="N11" s="719" t="s">
        <v>4906</v>
      </c>
      <c r="S11" s="724"/>
      <c r="U11" s="724"/>
    </row>
    <row r="12" spans="1:21" x14ac:dyDescent="0.2">
      <c r="A12" s="722" t="s">
        <v>4053</v>
      </c>
      <c r="B12" s="719">
        <v>0.7</v>
      </c>
      <c r="C12" s="719">
        <v>0</v>
      </c>
      <c r="D12" s="718">
        <v>0.17499999999999999</v>
      </c>
      <c r="E12" s="719">
        <v>0</v>
      </c>
      <c r="F12" s="719">
        <v>0</v>
      </c>
      <c r="G12" s="719">
        <v>0</v>
      </c>
      <c r="H12" s="719">
        <v>0</v>
      </c>
      <c r="I12" s="719">
        <v>0</v>
      </c>
      <c r="J12" s="719">
        <v>0</v>
      </c>
      <c r="K12" s="719">
        <v>0</v>
      </c>
      <c r="L12" s="719">
        <v>0</v>
      </c>
      <c r="M12" s="719">
        <v>0</v>
      </c>
      <c r="N12" s="719"/>
      <c r="S12" s="724"/>
      <c r="U12" s="724"/>
    </row>
    <row r="13" spans="1:21" x14ac:dyDescent="0.2">
      <c r="A13" s="724" t="s">
        <v>456</v>
      </c>
      <c r="B13" s="719">
        <v>0.8</v>
      </c>
      <c r="C13" s="719">
        <v>0</v>
      </c>
      <c r="D13" s="718">
        <v>0.2</v>
      </c>
      <c r="E13" s="719">
        <v>0</v>
      </c>
      <c r="F13" s="719">
        <v>0</v>
      </c>
      <c r="G13" s="719">
        <v>0</v>
      </c>
      <c r="H13" s="719">
        <v>0</v>
      </c>
      <c r="I13" s="719">
        <v>0</v>
      </c>
      <c r="J13" s="719">
        <v>0</v>
      </c>
      <c r="K13" s="719">
        <v>0</v>
      </c>
      <c r="L13" s="719">
        <v>0</v>
      </c>
      <c r="M13" s="719">
        <v>0</v>
      </c>
      <c r="N13" s="719" t="s">
        <v>7900</v>
      </c>
      <c r="S13" s="724"/>
      <c r="T13" s="724"/>
      <c r="U13" s="724"/>
    </row>
    <row r="14" spans="1:21" x14ac:dyDescent="0.2">
      <c r="A14" s="723" t="s">
        <v>457</v>
      </c>
      <c r="B14" s="719">
        <v>1</v>
      </c>
      <c r="C14" s="719">
        <v>0</v>
      </c>
      <c r="D14" s="718">
        <v>0.25</v>
      </c>
      <c r="E14" s="719">
        <v>0</v>
      </c>
      <c r="F14" s="719">
        <v>0</v>
      </c>
      <c r="G14" s="719">
        <v>0</v>
      </c>
      <c r="H14" s="719">
        <v>0</v>
      </c>
      <c r="I14" s="719">
        <v>0</v>
      </c>
      <c r="J14" s="719">
        <v>0</v>
      </c>
      <c r="K14" s="719">
        <v>0</v>
      </c>
      <c r="L14" s="719">
        <v>0</v>
      </c>
      <c r="M14" s="719">
        <v>0</v>
      </c>
      <c r="N14" s="719" t="s">
        <v>4907</v>
      </c>
      <c r="S14" s="724"/>
      <c r="U14" s="724"/>
    </row>
    <row r="15" spans="1:21" x14ac:dyDescent="0.2">
      <c r="A15" s="722" t="s">
        <v>458</v>
      </c>
      <c r="B15" s="719">
        <v>1.2</v>
      </c>
      <c r="C15" s="719">
        <v>0</v>
      </c>
      <c r="D15" s="718">
        <v>0.3</v>
      </c>
      <c r="E15" s="719">
        <v>0</v>
      </c>
      <c r="F15" s="719">
        <v>0</v>
      </c>
      <c r="G15" s="719">
        <v>0</v>
      </c>
      <c r="H15" s="719">
        <v>0</v>
      </c>
      <c r="I15" s="719">
        <v>0</v>
      </c>
      <c r="J15" s="719">
        <v>0</v>
      </c>
      <c r="K15" s="719">
        <v>0</v>
      </c>
      <c r="L15" s="719">
        <v>0</v>
      </c>
      <c r="M15" s="719">
        <v>0</v>
      </c>
      <c r="N15" s="719" t="s">
        <v>4908</v>
      </c>
      <c r="S15" s="724"/>
      <c r="U15" s="724"/>
    </row>
    <row r="16" spans="1:21" x14ac:dyDescent="0.2">
      <c r="A16" s="724" t="s">
        <v>459</v>
      </c>
      <c r="B16" s="719">
        <v>1.4</v>
      </c>
      <c r="C16" s="719">
        <v>0</v>
      </c>
      <c r="D16" s="718">
        <v>0.35</v>
      </c>
      <c r="E16" s="719">
        <v>0</v>
      </c>
      <c r="F16" s="719">
        <v>0</v>
      </c>
      <c r="G16" s="719">
        <v>0</v>
      </c>
      <c r="H16" s="719">
        <v>0</v>
      </c>
      <c r="I16" s="719">
        <v>0</v>
      </c>
      <c r="J16" s="719">
        <v>0</v>
      </c>
      <c r="K16" s="719">
        <v>0</v>
      </c>
      <c r="L16" s="719">
        <v>0</v>
      </c>
      <c r="M16" s="719">
        <v>0</v>
      </c>
      <c r="N16" s="719" t="s">
        <v>4909</v>
      </c>
      <c r="S16" s="724"/>
      <c r="U16" s="724"/>
    </row>
    <row r="17" spans="1:21" x14ac:dyDescent="0.2">
      <c r="A17" s="722" t="s">
        <v>460</v>
      </c>
      <c r="B17" s="719">
        <v>1.6</v>
      </c>
      <c r="C17" s="719">
        <v>0</v>
      </c>
      <c r="D17" s="718">
        <v>0.4</v>
      </c>
      <c r="E17" s="719">
        <v>0</v>
      </c>
      <c r="F17" s="719">
        <v>0</v>
      </c>
      <c r="G17" s="719">
        <v>0</v>
      </c>
      <c r="H17" s="719">
        <v>0</v>
      </c>
      <c r="I17" s="719">
        <v>0</v>
      </c>
      <c r="J17" s="719">
        <v>0</v>
      </c>
      <c r="K17" s="719">
        <v>0</v>
      </c>
      <c r="L17" s="719">
        <v>0</v>
      </c>
      <c r="M17" s="719">
        <v>0</v>
      </c>
      <c r="N17" s="719" t="s">
        <v>4910</v>
      </c>
      <c r="S17" s="724"/>
      <c r="U17" s="724"/>
    </row>
    <row r="18" spans="1:21" x14ac:dyDescent="0.2">
      <c r="A18" s="722" t="s">
        <v>461</v>
      </c>
      <c r="B18" s="719">
        <v>1.8</v>
      </c>
      <c r="C18" s="719">
        <v>0</v>
      </c>
      <c r="D18" s="719">
        <v>0.45</v>
      </c>
      <c r="E18" s="719">
        <v>0</v>
      </c>
      <c r="F18" s="719">
        <v>0</v>
      </c>
      <c r="G18" s="719">
        <v>0</v>
      </c>
      <c r="H18" s="719">
        <v>0</v>
      </c>
      <c r="I18" s="719">
        <v>0</v>
      </c>
      <c r="J18" s="719">
        <v>0</v>
      </c>
      <c r="K18" s="719">
        <v>0</v>
      </c>
      <c r="L18" s="719">
        <v>0</v>
      </c>
      <c r="M18" s="719">
        <v>0</v>
      </c>
      <c r="N18" s="719" t="s">
        <v>4911</v>
      </c>
      <c r="S18" s="724"/>
      <c r="U18" s="724"/>
    </row>
    <row r="19" spans="1:21" x14ac:dyDescent="0.2">
      <c r="A19" s="722" t="s">
        <v>450</v>
      </c>
      <c r="B19" s="719">
        <v>0.2</v>
      </c>
      <c r="C19" s="719">
        <v>0</v>
      </c>
      <c r="D19" s="719">
        <v>0.05</v>
      </c>
      <c r="E19" s="719">
        <v>0</v>
      </c>
      <c r="F19" s="719">
        <v>0</v>
      </c>
      <c r="G19" s="719">
        <v>0</v>
      </c>
      <c r="H19" s="719">
        <v>0</v>
      </c>
      <c r="I19" s="719">
        <v>0</v>
      </c>
      <c r="J19" s="719">
        <v>0</v>
      </c>
      <c r="K19" s="719">
        <v>0</v>
      </c>
      <c r="L19" s="719">
        <v>0</v>
      </c>
      <c r="M19" s="719">
        <v>0</v>
      </c>
      <c r="N19" s="719" t="s">
        <v>4904</v>
      </c>
      <c r="S19" s="724"/>
      <c r="U19" s="724"/>
    </row>
    <row r="20" spans="1:21" x14ac:dyDescent="0.2">
      <c r="A20" s="739" t="s">
        <v>4054</v>
      </c>
      <c r="B20" s="719">
        <v>0.2</v>
      </c>
      <c r="C20" s="719">
        <v>0</v>
      </c>
      <c r="D20" s="719">
        <v>0.05</v>
      </c>
      <c r="E20" s="719">
        <v>0</v>
      </c>
      <c r="F20" s="719">
        <v>7.7499999999999999E-2</v>
      </c>
      <c r="G20" s="719">
        <v>0</v>
      </c>
      <c r="H20" s="719">
        <v>0</v>
      </c>
      <c r="I20" s="719">
        <v>0</v>
      </c>
      <c r="J20" s="719">
        <v>0</v>
      </c>
      <c r="K20" s="719">
        <v>0</v>
      </c>
      <c r="L20" s="719">
        <v>0</v>
      </c>
      <c r="M20" s="719">
        <v>7.7499999999999999E-2</v>
      </c>
      <c r="N20" s="719"/>
      <c r="S20" s="724"/>
      <c r="U20" s="724"/>
    </row>
    <row r="21" spans="1:21" x14ac:dyDescent="0.2">
      <c r="A21" s="722" t="s">
        <v>4055</v>
      </c>
      <c r="B21" s="719">
        <v>0.2</v>
      </c>
      <c r="C21" s="719">
        <v>0</v>
      </c>
      <c r="D21" s="719">
        <v>0.05</v>
      </c>
      <c r="E21" s="719">
        <v>0</v>
      </c>
      <c r="F21" s="719">
        <v>0.155</v>
      </c>
      <c r="G21" s="719">
        <v>0</v>
      </c>
      <c r="H21" s="719">
        <v>0</v>
      </c>
      <c r="I21" s="719">
        <v>0</v>
      </c>
      <c r="J21" s="719">
        <v>0</v>
      </c>
      <c r="K21" s="719">
        <v>0</v>
      </c>
      <c r="L21" s="719">
        <v>0</v>
      </c>
      <c r="M21" s="719">
        <v>0.155</v>
      </c>
      <c r="N21" s="719"/>
      <c r="S21" s="724"/>
      <c r="U21" s="724"/>
    </row>
    <row r="22" spans="1:21" x14ac:dyDescent="0.2">
      <c r="A22" s="722" t="s">
        <v>462</v>
      </c>
      <c r="B22" s="719">
        <v>2</v>
      </c>
      <c r="C22" s="719">
        <v>0</v>
      </c>
      <c r="D22" s="719">
        <v>0.5</v>
      </c>
      <c r="E22" s="719">
        <v>0</v>
      </c>
      <c r="F22" s="719">
        <v>0</v>
      </c>
      <c r="G22" s="719">
        <v>0</v>
      </c>
      <c r="H22" s="719">
        <v>0</v>
      </c>
      <c r="I22" s="719">
        <v>0</v>
      </c>
      <c r="J22" s="719">
        <v>0</v>
      </c>
      <c r="K22" s="719">
        <v>0</v>
      </c>
      <c r="L22" s="719">
        <v>0</v>
      </c>
      <c r="M22" s="719">
        <v>0</v>
      </c>
      <c r="N22" s="719" t="s">
        <v>4912</v>
      </c>
      <c r="S22" s="724"/>
      <c r="T22" s="724"/>
      <c r="U22" s="724"/>
    </row>
    <row r="23" spans="1:21" x14ac:dyDescent="0.2">
      <c r="A23" s="724" t="s">
        <v>147</v>
      </c>
      <c r="B23" s="719">
        <v>1.8</v>
      </c>
      <c r="C23" s="719">
        <v>0</v>
      </c>
      <c r="D23" s="719">
        <v>0</v>
      </c>
      <c r="E23" s="719">
        <v>0.2</v>
      </c>
      <c r="F23" s="718">
        <v>0</v>
      </c>
      <c r="G23" s="719">
        <v>0</v>
      </c>
      <c r="H23" s="719">
        <v>0</v>
      </c>
      <c r="I23" s="719">
        <v>0</v>
      </c>
      <c r="J23" s="719">
        <v>0</v>
      </c>
      <c r="K23" s="719">
        <v>0</v>
      </c>
      <c r="L23" s="719">
        <v>0</v>
      </c>
      <c r="M23" s="719">
        <v>0</v>
      </c>
      <c r="N23" s="719"/>
      <c r="S23" s="724"/>
      <c r="T23" s="724"/>
    </row>
    <row r="24" spans="1:21" x14ac:dyDescent="0.2">
      <c r="A24" s="724" t="s">
        <v>433</v>
      </c>
      <c r="B24" s="719">
        <v>1.8</v>
      </c>
      <c r="C24" s="719">
        <v>0</v>
      </c>
      <c r="D24" s="719">
        <v>0</v>
      </c>
      <c r="E24" s="719">
        <v>0.2</v>
      </c>
      <c r="F24" s="718">
        <v>0</v>
      </c>
      <c r="G24" s="719">
        <v>0</v>
      </c>
      <c r="H24" s="719">
        <v>0</v>
      </c>
      <c r="I24" s="719">
        <v>0</v>
      </c>
      <c r="J24" s="719">
        <v>0</v>
      </c>
      <c r="K24" s="719">
        <v>0</v>
      </c>
      <c r="L24" s="719">
        <v>6.67</v>
      </c>
      <c r="M24" s="719">
        <v>0</v>
      </c>
      <c r="N24" s="719"/>
      <c r="S24" s="724"/>
      <c r="T24" s="724"/>
    </row>
    <row r="25" spans="1:21" x14ac:dyDescent="0.2">
      <c r="A25" s="724" t="s">
        <v>434</v>
      </c>
      <c r="B25" s="719">
        <v>0</v>
      </c>
      <c r="C25" s="719">
        <v>0</v>
      </c>
      <c r="D25" s="719">
        <v>0</v>
      </c>
      <c r="E25" s="719">
        <v>0</v>
      </c>
      <c r="F25" s="718">
        <v>0</v>
      </c>
      <c r="G25" s="719">
        <v>1</v>
      </c>
      <c r="H25" s="719">
        <v>0</v>
      </c>
      <c r="I25" s="719">
        <v>0</v>
      </c>
      <c r="J25" s="719">
        <v>0</v>
      </c>
      <c r="K25" s="719">
        <v>0</v>
      </c>
      <c r="L25" s="719">
        <v>0</v>
      </c>
      <c r="M25" s="719">
        <v>0</v>
      </c>
      <c r="N25" s="719"/>
      <c r="T25" s="724"/>
    </row>
    <row r="26" spans="1:21" x14ac:dyDescent="0.2">
      <c r="A26" s="722" t="s">
        <v>168</v>
      </c>
      <c r="B26" s="719">
        <v>0</v>
      </c>
      <c r="C26" s="719">
        <v>0</v>
      </c>
      <c r="D26" s="719">
        <v>0</v>
      </c>
      <c r="E26" s="719">
        <v>0</v>
      </c>
      <c r="F26" s="718">
        <v>0</v>
      </c>
      <c r="G26" s="189">
        <v>1</v>
      </c>
      <c r="H26" s="719">
        <v>0</v>
      </c>
      <c r="I26" s="719">
        <v>0</v>
      </c>
      <c r="J26" s="719">
        <v>0</v>
      </c>
      <c r="K26" s="719">
        <v>0</v>
      </c>
      <c r="L26" s="719">
        <v>0</v>
      </c>
      <c r="M26" s="719">
        <v>1</v>
      </c>
      <c r="N26" s="719"/>
      <c r="T26" s="724"/>
    </row>
    <row r="27" spans="1:21" x14ac:dyDescent="0.2">
      <c r="A27" s="722" t="s">
        <v>239</v>
      </c>
      <c r="B27" s="719">
        <v>0</v>
      </c>
      <c r="C27" s="719">
        <v>0</v>
      </c>
      <c r="D27" s="719">
        <v>0</v>
      </c>
      <c r="E27" s="719">
        <v>0</v>
      </c>
      <c r="F27" s="718">
        <v>0.5</v>
      </c>
      <c r="G27" s="719">
        <v>1.25</v>
      </c>
      <c r="H27" s="719">
        <v>0</v>
      </c>
      <c r="I27" s="719">
        <v>1.5</v>
      </c>
      <c r="J27" s="719">
        <v>0</v>
      </c>
      <c r="K27" s="719">
        <v>0</v>
      </c>
      <c r="L27" s="719">
        <v>0</v>
      </c>
      <c r="M27" s="719">
        <v>0</v>
      </c>
      <c r="N27" s="719"/>
      <c r="T27" s="724"/>
    </row>
    <row r="28" spans="1:21" x14ac:dyDescent="0.2">
      <c r="A28" s="722" t="s">
        <v>7427</v>
      </c>
      <c r="B28" s="719">
        <v>0</v>
      </c>
      <c r="C28" s="719">
        <v>0</v>
      </c>
      <c r="D28" s="719">
        <v>0</v>
      </c>
      <c r="E28" s="719">
        <v>0</v>
      </c>
      <c r="F28" s="718">
        <v>0</v>
      </c>
      <c r="G28" s="719">
        <v>0</v>
      </c>
      <c r="H28" s="189">
        <v>0</v>
      </c>
      <c r="I28" s="719">
        <v>0</v>
      </c>
      <c r="J28" s="719">
        <v>0.5</v>
      </c>
      <c r="K28" s="719">
        <v>0</v>
      </c>
      <c r="L28" s="719">
        <v>0</v>
      </c>
      <c r="M28" s="189">
        <v>1</v>
      </c>
      <c r="N28" s="719"/>
      <c r="T28" s="724"/>
    </row>
    <row r="29" spans="1:21" x14ac:dyDescent="0.2">
      <c r="A29" s="722" t="s">
        <v>7434</v>
      </c>
      <c r="B29" s="719">
        <v>0</v>
      </c>
      <c r="C29" s="719">
        <v>0</v>
      </c>
      <c r="D29" s="719">
        <v>0</v>
      </c>
      <c r="E29" s="719">
        <v>0</v>
      </c>
      <c r="F29" s="718">
        <v>0</v>
      </c>
      <c r="G29" s="719">
        <v>0</v>
      </c>
      <c r="H29" s="719">
        <v>0</v>
      </c>
      <c r="I29" s="719">
        <v>0</v>
      </c>
      <c r="J29" s="719">
        <v>0.64</v>
      </c>
      <c r="K29" s="719">
        <v>0</v>
      </c>
      <c r="L29" s="719">
        <v>0</v>
      </c>
      <c r="M29" s="719">
        <v>0</v>
      </c>
      <c r="N29" s="719"/>
      <c r="T29" s="724"/>
    </row>
    <row r="30" spans="1:21" x14ac:dyDescent="0.2">
      <c r="A30" s="722" t="s">
        <v>463</v>
      </c>
      <c r="B30" s="719">
        <v>0</v>
      </c>
      <c r="C30" s="719">
        <v>0</v>
      </c>
      <c r="D30" s="719">
        <v>0</v>
      </c>
      <c r="E30" s="719">
        <v>0</v>
      </c>
      <c r="F30" s="718">
        <v>0.5</v>
      </c>
      <c r="G30" s="719">
        <v>0</v>
      </c>
      <c r="H30" s="719">
        <v>0</v>
      </c>
      <c r="I30" s="719">
        <v>0</v>
      </c>
      <c r="J30" s="189">
        <v>0</v>
      </c>
      <c r="K30" s="719">
        <v>0</v>
      </c>
      <c r="L30" s="719">
        <v>0</v>
      </c>
      <c r="M30" s="189">
        <v>0</v>
      </c>
      <c r="N30" s="719"/>
      <c r="T30" s="724"/>
    </row>
    <row r="31" spans="1:21" x14ac:dyDescent="0.2">
      <c r="A31" s="722" t="s">
        <v>46</v>
      </c>
      <c r="B31" s="719">
        <v>0</v>
      </c>
      <c r="C31" s="719">
        <v>0</v>
      </c>
      <c r="D31" s="719">
        <v>0</v>
      </c>
      <c r="E31" s="719">
        <v>0</v>
      </c>
      <c r="F31" s="718">
        <v>1</v>
      </c>
      <c r="G31" s="719">
        <v>0</v>
      </c>
      <c r="H31" s="719">
        <v>0</v>
      </c>
      <c r="I31" s="719">
        <v>0</v>
      </c>
      <c r="J31" s="189">
        <v>0</v>
      </c>
      <c r="K31" s="719">
        <v>0</v>
      </c>
      <c r="L31" s="719">
        <v>0</v>
      </c>
      <c r="M31" s="189">
        <v>0</v>
      </c>
      <c r="N31" s="719"/>
      <c r="T31" s="724"/>
    </row>
    <row r="32" spans="1:21" x14ac:dyDescent="0.2">
      <c r="A32" s="722" t="s">
        <v>4237</v>
      </c>
      <c r="B32" s="719">
        <v>0</v>
      </c>
      <c r="C32" s="719">
        <v>0</v>
      </c>
      <c r="D32" s="719">
        <v>0</v>
      </c>
      <c r="E32" s="719">
        <v>0</v>
      </c>
      <c r="F32" s="719">
        <v>7.7499999999999999E-2</v>
      </c>
      <c r="G32" s="719">
        <v>0</v>
      </c>
      <c r="H32" s="719">
        <v>0</v>
      </c>
      <c r="I32" s="719">
        <v>0</v>
      </c>
      <c r="J32" s="189">
        <v>0</v>
      </c>
      <c r="K32" s="719">
        <v>0</v>
      </c>
      <c r="L32" s="719">
        <v>0</v>
      </c>
      <c r="M32" s="189">
        <v>7.7499999999999999E-2</v>
      </c>
      <c r="N32" s="719"/>
      <c r="T32" s="724"/>
    </row>
    <row r="33" spans="1:14" x14ac:dyDescent="0.2">
      <c r="A33" s="724" t="s">
        <v>233</v>
      </c>
      <c r="B33" s="719">
        <v>0</v>
      </c>
      <c r="C33" s="719">
        <v>0</v>
      </c>
      <c r="D33" s="719">
        <v>0</v>
      </c>
      <c r="E33" s="719">
        <v>0</v>
      </c>
      <c r="F33" s="719">
        <v>0.155</v>
      </c>
      <c r="G33" s="719">
        <v>0</v>
      </c>
      <c r="H33" s="719">
        <v>0</v>
      </c>
      <c r="I33" s="719">
        <v>0</v>
      </c>
      <c r="J33" s="719">
        <v>0</v>
      </c>
      <c r="K33" s="719">
        <v>0</v>
      </c>
      <c r="L33" s="719">
        <v>0</v>
      </c>
      <c r="M33" s="719">
        <v>0.155</v>
      </c>
      <c r="N33" s="719" t="s">
        <v>4913</v>
      </c>
    </row>
    <row r="34" spans="1:14" x14ac:dyDescent="0.2">
      <c r="A34" s="722" t="s">
        <v>7890</v>
      </c>
      <c r="B34" s="719">
        <v>0</v>
      </c>
      <c r="C34" s="719">
        <v>0</v>
      </c>
      <c r="D34" s="719">
        <v>0</v>
      </c>
      <c r="E34" s="719">
        <v>0</v>
      </c>
      <c r="F34" s="719">
        <v>0.5</v>
      </c>
      <c r="G34" s="719">
        <v>0</v>
      </c>
      <c r="H34" s="719">
        <v>0</v>
      </c>
      <c r="I34" s="719">
        <v>0</v>
      </c>
      <c r="J34" s="719">
        <v>0</v>
      </c>
      <c r="K34" s="719">
        <v>0</v>
      </c>
      <c r="L34" s="719">
        <v>0</v>
      </c>
      <c r="M34" s="719">
        <v>0.5</v>
      </c>
      <c r="N34" s="719"/>
    </row>
    <row r="35" spans="1:14" x14ac:dyDescent="0.2">
      <c r="A35" s="722" t="s">
        <v>464</v>
      </c>
      <c r="B35" s="719">
        <v>0.28999999999999998</v>
      </c>
      <c r="C35" s="719">
        <v>7.1400000000000005E-2</v>
      </c>
      <c r="D35" s="719">
        <v>0</v>
      </c>
      <c r="E35" s="719">
        <v>0</v>
      </c>
      <c r="F35" s="719">
        <v>5.4300000000000001E-2</v>
      </c>
      <c r="G35" s="719">
        <v>7.1400000000000005E-2</v>
      </c>
      <c r="H35" s="719">
        <v>2.5700000000000001E-2</v>
      </c>
      <c r="I35" s="719">
        <v>3.4299999999999997E-2</v>
      </c>
      <c r="J35" s="719">
        <v>4.2900000000000004E-3</v>
      </c>
      <c r="K35" s="719">
        <v>0</v>
      </c>
      <c r="L35" s="719">
        <v>0</v>
      </c>
      <c r="M35" s="719">
        <v>0.10299999999999999</v>
      </c>
      <c r="N35" s="719"/>
    </row>
    <row r="36" spans="1:14" x14ac:dyDescent="0.2">
      <c r="A36" s="722" t="s">
        <v>66</v>
      </c>
      <c r="B36" s="719">
        <v>0.96</v>
      </c>
      <c r="C36" s="719">
        <v>7.0000000000000007E-2</v>
      </c>
      <c r="D36" s="719">
        <v>0.24</v>
      </c>
      <c r="E36" s="719">
        <v>0</v>
      </c>
      <c r="F36" s="719">
        <v>4.0500000000000001E-2</v>
      </c>
      <c r="G36" s="719">
        <v>2.5700000000000001E-2</v>
      </c>
      <c r="H36" s="719">
        <v>4.1000000000000003E-3</v>
      </c>
      <c r="I36" s="719">
        <v>1.47E-2</v>
      </c>
      <c r="J36" s="719">
        <v>5.0000000000000001E-3</v>
      </c>
      <c r="K36" s="719">
        <v>0</v>
      </c>
      <c r="L36" s="719">
        <v>0</v>
      </c>
      <c r="M36" s="719">
        <v>0</v>
      </c>
      <c r="N36" s="719"/>
    </row>
    <row r="37" spans="1:14" x14ac:dyDescent="0.2">
      <c r="A37" s="722" t="s">
        <v>234</v>
      </c>
      <c r="B37" s="719">
        <v>0</v>
      </c>
      <c r="C37" s="719">
        <v>0</v>
      </c>
      <c r="D37" s="719">
        <v>0</v>
      </c>
      <c r="E37" s="719">
        <v>0</v>
      </c>
      <c r="F37" s="719">
        <v>0</v>
      </c>
      <c r="G37" s="719">
        <v>0</v>
      </c>
      <c r="H37" s="719">
        <v>0</v>
      </c>
      <c r="I37" s="719">
        <v>0</v>
      </c>
      <c r="J37" s="719">
        <v>0</v>
      </c>
      <c r="K37" s="719">
        <v>0</v>
      </c>
      <c r="L37" s="719">
        <v>0</v>
      </c>
      <c r="M37" s="719">
        <v>0</v>
      </c>
      <c r="N37" s="719"/>
    </row>
    <row r="38" spans="1:14" x14ac:dyDescent="0.2">
      <c r="A38" s="722" t="s">
        <v>403</v>
      </c>
      <c r="B38" s="719">
        <v>0</v>
      </c>
      <c r="C38" s="719">
        <v>0.1</v>
      </c>
      <c r="D38" s="719">
        <v>0</v>
      </c>
      <c r="E38" s="719">
        <v>0</v>
      </c>
      <c r="F38" s="719">
        <v>0</v>
      </c>
      <c r="G38" s="719">
        <v>0</v>
      </c>
      <c r="H38" s="719">
        <v>0</v>
      </c>
      <c r="I38" s="719">
        <v>0</v>
      </c>
      <c r="J38" s="719">
        <v>0</v>
      </c>
      <c r="K38" s="719">
        <v>0</v>
      </c>
      <c r="L38" s="719">
        <v>0</v>
      </c>
      <c r="M38" s="719">
        <v>0</v>
      </c>
      <c r="N38" s="719"/>
    </row>
    <row r="39" spans="1:14" x14ac:dyDescent="0.2">
      <c r="A39" s="722" t="s">
        <v>348</v>
      </c>
      <c r="B39" s="719">
        <v>0</v>
      </c>
      <c r="C39" s="719">
        <v>0</v>
      </c>
      <c r="D39" s="719">
        <v>0</v>
      </c>
      <c r="E39" s="719">
        <v>0</v>
      </c>
      <c r="F39" s="719">
        <v>0.13100000000000001</v>
      </c>
      <c r="G39" s="719">
        <v>5.4000000000000003E-3</v>
      </c>
      <c r="H39" s="719">
        <v>1.8E-3</v>
      </c>
      <c r="I39" s="719">
        <v>0</v>
      </c>
      <c r="J39" s="719">
        <v>0</v>
      </c>
      <c r="K39" s="719">
        <v>0</v>
      </c>
      <c r="L39" s="719">
        <v>0</v>
      </c>
      <c r="M39" s="719">
        <v>0.109</v>
      </c>
      <c r="N39" s="719"/>
    </row>
    <row r="40" spans="1:14" x14ac:dyDescent="0.2">
      <c r="A40" s="723" t="s">
        <v>256</v>
      </c>
      <c r="B40" s="719">
        <v>0.3</v>
      </c>
      <c r="C40" s="719">
        <v>7.4300000000000005E-2</v>
      </c>
      <c r="D40" s="719">
        <v>0</v>
      </c>
      <c r="E40" s="719">
        <v>0</v>
      </c>
      <c r="F40" s="719">
        <v>7.1399999999999996E-3</v>
      </c>
      <c r="G40" s="719">
        <v>1.7100000000000001E-2</v>
      </c>
      <c r="H40" s="719">
        <v>2.5700000000000001E-2</v>
      </c>
      <c r="I40" s="719">
        <v>2.1399999999999999E-2</v>
      </c>
      <c r="J40" s="719">
        <v>5.7099999999999998E-3</v>
      </c>
      <c r="K40" s="719">
        <v>0</v>
      </c>
      <c r="L40" s="719">
        <v>0</v>
      </c>
      <c r="M40" s="719">
        <v>6.2899999999999998E-2</v>
      </c>
      <c r="N40" s="719"/>
    </row>
    <row r="41" spans="1:14" x14ac:dyDescent="0.2">
      <c r="A41" s="722" t="s">
        <v>257</v>
      </c>
      <c r="B41" s="719">
        <v>0.32</v>
      </c>
      <c r="C41" s="189">
        <v>0.08</v>
      </c>
      <c r="D41" s="719">
        <v>0</v>
      </c>
      <c r="E41" s="719">
        <v>0</v>
      </c>
      <c r="F41" s="719">
        <v>8.0000000000000002E-3</v>
      </c>
      <c r="G41" s="719">
        <v>0.02</v>
      </c>
      <c r="H41" s="719">
        <v>2.8000000000000001E-2</v>
      </c>
      <c r="I41" s="719">
        <v>2.4E-2</v>
      </c>
      <c r="J41" s="719">
        <v>8.0000000000000002E-3</v>
      </c>
      <c r="K41" s="719">
        <v>0</v>
      </c>
      <c r="L41" s="189">
        <v>0</v>
      </c>
      <c r="M41" s="719">
        <v>7.1999999999999995E-2</v>
      </c>
      <c r="N41" s="719"/>
    </row>
    <row r="42" spans="1:14" x14ac:dyDescent="0.2">
      <c r="A42" s="722" t="s">
        <v>34</v>
      </c>
      <c r="B42" s="719">
        <v>0.35</v>
      </c>
      <c r="C42" s="719">
        <v>8.7999999999999995E-2</v>
      </c>
      <c r="D42" s="719">
        <v>0</v>
      </c>
      <c r="E42" s="719">
        <v>0</v>
      </c>
      <c r="F42" s="719">
        <v>0.01</v>
      </c>
      <c r="G42" s="719">
        <v>2.5000000000000001E-2</v>
      </c>
      <c r="H42" s="719">
        <v>1.7999999999999999E-2</v>
      </c>
      <c r="I42" s="719">
        <v>0.03</v>
      </c>
      <c r="J42" s="719">
        <v>0.01</v>
      </c>
      <c r="K42" s="719">
        <v>0</v>
      </c>
      <c r="L42" s="719">
        <v>0</v>
      </c>
      <c r="M42" s="719">
        <v>5.6000000000000001E-2</v>
      </c>
      <c r="N42" s="719"/>
    </row>
    <row r="43" spans="1:14" x14ac:dyDescent="0.2">
      <c r="A43" s="723" t="s">
        <v>35</v>
      </c>
      <c r="B43" s="719">
        <v>0.33</v>
      </c>
      <c r="C43" s="719">
        <v>8.3000000000000004E-2</v>
      </c>
      <c r="D43" s="719">
        <v>0</v>
      </c>
      <c r="E43" s="719">
        <v>0</v>
      </c>
      <c r="F43" s="719">
        <v>1.2500000000000001E-2</v>
      </c>
      <c r="G43" s="719">
        <v>3.1E-2</v>
      </c>
      <c r="H43" s="719">
        <v>2.5999999999999999E-2</v>
      </c>
      <c r="I43" s="719">
        <v>3.7999999999999999E-2</v>
      </c>
      <c r="J43" s="719">
        <v>1.2500000000000001E-2</v>
      </c>
      <c r="K43" s="719">
        <v>0</v>
      </c>
      <c r="L43" s="719">
        <v>0</v>
      </c>
      <c r="M43" s="719">
        <v>7.4999999999999997E-2</v>
      </c>
      <c r="N43" s="719"/>
    </row>
    <row r="44" spans="1:14" x14ac:dyDescent="0.2">
      <c r="A44" s="722" t="s">
        <v>7638</v>
      </c>
      <c r="B44" s="719">
        <v>1.8</v>
      </c>
      <c r="C44" s="719">
        <v>0</v>
      </c>
      <c r="D44" s="719">
        <v>0</v>
      </c>
      <c r="E44" s="719">
        <v>0.2</v>
      </c>
      <c r="F44" s="719">
        <v>0</v>
      </c>
      <c r="G44" s="719">
        <v>0</v>
      </c>
      <c r="H44" s="719">
        <v>0</v>
      </c>
      <c r="I44" s="719">
        <v>0</v>
      </c>
      <c r="J44" s="719">
        <v>0</v>
      </c>
      <c r="K44" s="719">
        <v>0</v>
      </c>
      <c r="L44" s="719">
        <v>0</v>
      </c>
      <c r="M44" s="719">
        <v>0</v>
      </c>
      <c r="N44" s="719"/>
    </row>
    <row r="45" spans="1:14" x14ac:dyDescent="0.2">
      <c r="A45" s="722" t="s">
        <v>853</v>
      </c>
      <c r="B45" s="719">
        <v>1.8</v>
      </c>
      <c r="C45" s="719">
        <v>0</v>
      </c>
      <c r="D45" s="719">
        <v>0</v>
      </c>
      <c r="E45" s="719">
        <v>0.2</v>
      </c>
      <c r="F45" s="719">
        <v>0</v>
      </c>
      <c r="G45" s="719">
        <v>0</v>
      </c>
      <c r="H45" s="719">
        <v>0</v>
      </c>
      <c r="I45" s="719">
        <v>0</v>
      </c>
      <c r="J45" s="719">
        <v>0</v>
      </c>
      <c r="K45" s="719">
        <v>0</v>
      </c>
      <c r="L45" s="719">
        <v>6.67</v>
      </c>
      <c r="M45" s="719">
        <v>0</v>
      </c>
      <c r="N45" s="719"/>
    </row>
    <row r="46" spans="1:14" x14ac:dyDescent="0.2">
      <c r="A46" s="722" t="s">
        <v>149</v>
      </c>
      <c r="B46" s="719">
        <v>0</v>
      </c>
      <c r="C46" s="719">
        <v>0</v>
      </c>
      <c r="D46" s="719">
        <v>0</v>
      </c>
      <c r="E46" s="719">
        <v>0</v>
      </c>
      <c r="F46" s="719">
        <v>0</v>
      </c>
      <c r="G46" s="719">
        <v>0</v>
      </c>
      <c r="H46" s="719">
        <v>0</v>
      </c>
      <c r="I46" s="719">
        <v>0</v>
      </c>
      <c r="J46" s="719">
        <v>0</v>
      </c>
      <c r="K46" s="719">
        <v>0</v>
      </c>
      <c r="L46" s="719">
        <v>0</v>
      </c>
      <c r="M46" s="719">
        <v>0</v>
      </c>
      <c r="N46" s="719"/>
    </row>
    <row r="47" spans="1:14" x14ac:dyDescent="0.2">
      <c r="A47" s="722" t="s">
        <v>148</v>
      </c>
      <c r="B47" s="719">
        <v>0</v>
      </c>
      <c r="C47" s="719">
        <v>0</v>
      </c>
      <c r="D47" s="719">
        <v>0</v>
      </c>
      <c r="E47" s="360">
        <v>0</v>
      </c>
      <c r="F47" s="719">
        <v>0</v>
      </c>
      <c r="G47" s="719">
        <v>0</v>
      </c>
      <c r="H47" s="719">
        <v>0</v>
      </c>
      <c r="I47" s="719">
        <v>0</v>
      </c>
      <c r="J47" s="719">
        <v>0</v>
      </c>
      <c r="K47" s="719">
        <v>0</v>
      </c>
      <c r="L47" s="719">
        <v>40</v>
      </c>
      <c r="M47" s="719">
        <v>0</v>
      </c>
      <c r="N47" s="719"/>
    </row>
    <row r="50" spans="2:13" x14ac:dyDescent="0.2">
      <c r="B50" s="282"/>
      <c r="C50" s="282"/>
      <c r="D50" s="282"/>
      <c r="E50" s="282"/>
      <c r="F50" s="282"/>
      <c r="G50" s="282"/>
      <c r="H50" s="282"/>
      <c r="I50" s="282"/>
      <c r="J50" s="282"/>
      <c r="K50" s="282"/>
      <c r="L50" s="282"/>
      <c r="M50" s="282"/>
    </row>
    <row r="51" spans="2:13" x14ac:dyDescent="0.2">
      <c r="B51" s="282"/>
      <c r="D51" s="282"/>
      <c r="E51" s="282"/>
      <c r="F51" s="282"/>
      <c r="G51" s="282"/>
      <c r="H51" s="282"/>
      <c r="I51" s="282"/>
      <c r="J51" s="282"/>
      <c r="K51" s="282"/>
      <c r="L51" s="282"/>
      <c r="M51" s="282"/>
    </row>
    <row r="52" spans="2:13" x14ac:dyDescent="0.2">
      <c r="B52" s="282"/>
      <c r="C52" s="282"/>
      <c r="E52" s="282"/>
      <c r="F52" s="282"/>
      <c r="G52" s="282"/>
      <c r="H52" s="282"/>
      <c r="I52" s="282"/>
      <c r="J52" s="282"/>
      <c r="L52" s="282"/>
      <c r="M52" s="282"/>
    </row>
    <row r="53" spans="2:13" x14ac:dyDescent="0.2">
      <c r="B53" s="282"/>
      <c r="C53" s="282"/>
      <c r="D53" s="282"/>
      <c r="F53" s="282"/>
      <c r="G53" s="282"/>
      <c r="H53" s="282"/>
      <c r="I53" s="282"/>
      <c r="J53" s="282"/>
      <c r="L53" s="282"/>
      <c r="M53" s="282"/>
    </row>
    <row r="54" spans="2:13" x14ac:dyDescent="0.2">
      <c r="B54" s="282"/>
      <c r="C54" s="282"/>
      <c r="D54" s="282"/>
      <c r="E54" s="282"/>
      <c r="F54" s="282"/>
      <c r="G54" s="282"/>
      <c r="H54" s="282"/>
      <c r="I54" s="282"/>
      <c r="J54" s="282"/>
      <c r="K54" s="282"/>
      <c r="M54" s="282"/>
    </row>
    <row r="55" spans="2:13" x14ac:dyDescent="0.2">
      <c r="B55" s="282"/>
      <c r="C55" s="282"/>
      <c r="D55" s="282"/>
      <c r="E55" s="282"/>
      <c r="F55" s="282"/>
      <c r="H55" s="282"/>
      <c r="I55" s="282"/>
      <c r="J55" s="282"/>
      <c r="K55" s="282"/>
      <c r="L55" s="282"/>
      <c r="M55" s="282"/>
    </row>
  </sheetData>
  <sheetProtection selectLockedCells="1"/>
  <protectedRanges>
    <protectedRange password="CC20" sqref="B5:N47" name="GlobParEnt"/>
  </protectedRange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workbookViewId="0">
      <selection activeCell="B7" sqref="B7"/>
    </sheetView>
  </sheetViews>
  <sheetFormatPr defaultColWidth="9.140625" defaultRowHeight="12.75" x14ac:dyDescent="0.2"/>
  <cols>
    <col min="1" max="1" width="32.28515625" style="386" bestFit="1" customWidth="1"/>
    <col min="2" max="14" width="8.28515625" style="386" customWidth="1"/>
    <col min="15" max="15" width="35.140625" style="386" customWidth="1"/>
    <col min="16" max="30" width="7.7109375" style="386" customWidth="1"/>
    <col min="31" max="16384" width="9.140625" style="386"/>
  </cols>
  <sheetData>
    <row r="1" spans="1:35" x14ac:dyDescent="0.2">
      <c r="A1" s="385" t="s">
        <v>4725</v>
      </c>
      <c r="B1" s="485" t="s">
        <v>4062</v>
      </c>
      <c r="O1" s="385" t="s">
        <v>4048</v>
      </c>
      <c r="P1" s="485" t="s">
        <v>4727</v>
      </c>
      <c r="AG1" s="387"/>
      <c r="AH1" s="384"/>
      <c r="AI1" s="387"/>
    </row>
    <row r="2" spans="1:35" x14ac:dyDescent="0.2">
      <c r="B2" s="386" t="s">
        <v>4043</v>
      </c>
      <c r="C2" s="387" t="s">
        <v>29</v>
      </c>
      <c r="D2" s="387" t="s">
        <v>29</v>
      </c>
      <c r="E2" s="387" t="s">
        <v>29</v>
      </c>
      <c r="F2" s="387" t="s">
        <v>118</v>
      </c>
      <c r="G2" s="387" t="s">
        <v>118</v>
      </c>
      <c r="H2" s="387" t="s">
        <v>118</v>
      </c>
      <c r="I2" s="387" t="s">
        <v>118</v>
      </c>
      <c r="J2" s="387" t="s">
        <v>118</v>
      </c>
      <c r="K2" s="387" t="s">
        <v>118</v>
      </c>
      <c r="L2" s="387" t="s">
        <v>725</v>
      </c>
      <c r="M2" s="387" t="s">
        <v>118</v>
      </c>
      <c r="N2" s="387"/>
      <c r="O2" s="388"/>
      <c r="P2" s="387">
        <v>2</v>
      </c>
      <c r="Q2" s="387">
        <v>3</v>
      </c>
      <c r="R2" s="387">
        <v>4</v>
      </c>
      <c r="S2" s="387">
        <v>5</v>
      </c>
      <c r="T2" s="387">
        <v>6</v>
      </c>
      <c r="U2" s="387">
        <v>7</v>
      </c>
      <c r="V2" s="387">
        <v>8</v>
      </c>
      <c r="W2" s="387">
        <v>9</v>
      </c>
      <c r="X2" s="387">
        <v>10</v>
      </c>
      <c r="Y2" s="387">
        <v>11</v>
      </c>
      <c r="Z2" s="387">
        <v>12</v>
      </c>
      <c r="AA2" s="387">
        <v>13</v>
      </c>
      <c r="AG2" s="387"/>
      <c r="AH2" s="384"/>
      <c r="AI2" s="387"/>
    </row>
    <row r="3" spans="1:35" x14ac:dyDescent="0.2">
      <c r="A3" s="387"/>
      <c r="B3" s="387" t="s">
        <v>175</v>
      </c>
      <c r="C3" s="387" t="s">
        <v>169</v>
      </c>
      <c r="D3" s="387" t="s">
        <v>407</v>
      </c>
      <c r="E3" s="387" t="s">
        <v>408</v>
      </c>
      <c r="F3" s="387" t="s">
        <v>170</v>
      </c>
      <c r="G3" s="387" t="s">
        <v>171</v>
      </c>
      <c r="H3" s="387" t="s">
        <v>172</v>
      </c>
      <c r="I3" s="387" t="s">
        <v>406</v>
      </c>
      <c r="J3" s="387" t="s">
        <v>173</v>
      </c>
      <c r="K3" s="387" t="s">
        <v>723</v>
      </c>
      <c r="L3" s="387" t="s">
        <v>724</v>
      </c>
      <c r="M3" s="387" t="s">
        <v>449</v>
      </c>
      <c r="N3" s="387"/>
      <c r="O3" s="387"/>
      <c r="P3" s="387" t="s">
        <v>175</v>
      </c>
      <c r="Q3" s="387" t="s">
        <v>144</v>
      </c>
      <c r="R3" s="387" t="s">
        <v>176</v>
      </c>
      <c r="S3" s="387" t="s">
        <v>145</v>
      </c>
      <c r="T3" s="387" t="s">
        <v>170</v>
      </c>
      <c r="U3" s="387" t="s">
        <v>171</v>
      </c>
      <c r="V3" s="387" t="s">
        <v>172</v>
      </c>
      <c r="W3" s="387" t="s">
        <v>177</v>
      </c>
      <c r="X3" s="387" t="s">
        <v>173</v>
      </c>
      <c r="Y3" s="387" t="s">
        <v>723</v>
      </c>
      <c r="Z3" s="387" t="s">
        <v>724</v>
      </c>
      <c r="AA3" s="387" t="s">
        <v>449</v>
      </c>
      <c r="AG3" s="387"/>
      <c r="AH3" s="384"/>
      <c r="AI3" s="387"/>
    </row>
    <row r="4" spans="1:35" x14ac:dyDescent="0.2">
      <c r="A4" s="387"/>
      <c r="B4" s="387" t="s">
        <v>175</v>
      </c>
      <c r="C4" s="387" t="s">
        <v>144</v>
      </c>
      <c r="D4" s="387" t="s">
        <v>176</v>
      </c>
      <c r="E4" s="387" t="s">
        <v>145</v>
      </c>
      <c r="F4" s="387" t="s">
        <v>170</v>
      </c>
      <c r="G4" s="387" t="s">
        <v>171</v>
      </c>
      <c r="H4" s="387" t="s">
        <v>172</v>
      </c>
      <c r="I4" s="387" t="s">
        <v>177</v>
      </c>
      <c r="J4" s="387" t="s">
        <v>173</v>
      </c>
      <c r="K4" s="387" t="s">
        <v>723</v>
      </c>
      <c r="L4" s="387" t="s">
        <v>724</v>
      </c>
      <c r="M4" s="387" t="s">
        <v>449</v>
      </c>
      <c r="N4" s="387"/>
      <c r="O4" s="387"/>
      <c r="P4" s="386" t="str">
        <f t="shared" ref="P4:AA4" si="0">VLOOKUP(P3,Tbl_Glob_Conversie,3,FALSE)</f>
        <v>kcal</v>
      </c>
      <c r="Q4" s="386" t="str">
        <f t="shared" si="0"/>
        <v>gram</v>
      </c>
      <c r="R4" s="386" t="str">
        <f t="shared" si="0"/>
        <v>gram</v>
      </c>
      <c r="S4" s="386" t="str">
        <f t="shared" si="0"/>
        <v>gram</v>
      </c>
      <c r="T4" s="386" t="str">
        <f t="shared" si="0"/>
        <v>mmol</v>
      </c>
      <c r="U4" s="386" t="str">
        <f t="shared" si="0"/>
        <v>mmol</v>
      </c>
      <c r="V4" s="386" t="str">
        <f t="shared" si="0"/>
        <v>mmol</v>
      </c>
      <c r="W4" s="386" t="str">
        <f t="shared" si="0"/>
        <v>mmol</v>
      </c>
      <c r="X4" s="386" t="str">
        <f t="shared" si="0"/>
        <v>mmol</v>
      </c>
      <c r="Y4" s="386" t="str">
        <f t="shared" si="0"/>
        <v>mmol</v>
      </c>
      <c r="Z4" s="386" t="str">
        <f t="shared" si="0"/>
        <v>IE</v>
      </c>
      <c r="AA4" s="386" t="str">
        <f t="shared" si="0"/>
        <v>mmol</v>
      </c>
      <c r="AG4" s="387"/>
      <c r="AH4" s="384"/>
      <c r="AI4" s="387"/>
    </row>
    <row r="5" spans="1:35" x14ac:dyDescent="0.2">
      <c r="A5" s="387"/>
      <c r="B5" s="387">
        <v>2</v>
      </c>
      <c r="C5" s="387">
        <v>3</v>
      </c>
      <c r="D5" s="387">
        <v>4</v>
      </c>
      <c r="E5" s="387">
        <v>5</v>
      </c>
      <c r="F5" s="387">
        <v>6</v>
      </c>
      <c r="G5" s="387">
        <v>7</v>
      </c>
      <c r="H5" s="387">
        <v>8</v>
      </c>
      <c r="I5" s="387">
        <v>9</v>
      </c>
      <c r="J5" s="387">
        <v>10</v>
      </c>
      <c r="K5" s="387">
        <v>11</v>
      </c>
      <c r="L5" s="387">
        <v>12</v>
      </c>
      <c r="M5" s="387">
        <v>13</v>
      </c>
      <c r="N5" s="387"/>
      <c r="O5" s="387"/>
      <c r="AG5" s="387"/>
      <c r="AH5" s="384"/>
      <c r="AI5" s="387"/>
    </row>
    <row r="6" spans="1:35" x14ac:dyDescent="0.2">
      <c r="A6" s="263" t="s">
        <v>120</v>
      </c>
      <c r="B6" s="263">
        <v>68</v>
      </c>
      <c r="C6" s="263">
        <v>1</v>
      </c>
      <c r="D6" s="389">
        <v>7.0000000000000009</v>
      </c>
      <c r="E6" s="389">
        <v>4</v>
      </c>
      <c r="F6" s="263">
        <v>20</v>
      </c>
      <c r="G6" s="263">
        <v>50.000000000000007</v>
      </c>
      <c r="H6" s="263">
        <v>30</v>
      </c>
      <c r="I6" s="263">
        <v>15</v>
      </c>
      <c r="J6" s="263">
        <v>3.0000000000000004</v>
      </c>
      <c r="K6" s="389">
        <v>0.1</v>
      </c>
      <c r="L6" s="263">
        <v>0</v>
      </c>
      <c r="M6" s="263">
        <v>43</v>
      </c>
      <c r="N6" s="387"/>
      <c r="O6" s="387" t="str">
        <f>A6</f>
        <v>MM</v>
      </c>
      <c r="P6" s="386">
        <f t="shared" ref="P6:P38" si="1">VLOOKUP(P$3,Tbl_Glob_Conversie,2,FALSE)*B6/100</f>
        <v>0.68</v>
      </c>
      <c r="Q6" s="386">
        <f t="shared" ref="Q6:Q38" si="2">VLOOKUP(Q$3,Tbl_Glob_Conversie,2,FALSE)*C6/100</f>
        <v>0.01</v>
      </c>
      <c r="R6" s="386">
        <f t="shared" ref="R6:R38" si="3">VLOOKUP(R$3,Tbl_Glob_Conversie,2,FALSE)*D6/100</f>
        <v>7.0000000000000007E-2</v>
      </c>
      <c r="S6" s="386">
        <f t="shared" ref="S6:S38" si="4">VLOOKUP(S$3,Tbl_Glob_Conversie,2,FALSE)*E6/100</f>
        <v>0.04</v>
      </c>
      <c r="T6" s="386">
        <f t="shared" ref="T6:T38" si="5">VLOOKUP(T$3,Tbl_Glob_Conversie,2,FALSE)*F6/100</f>
        <v>8.6956000000000012E-3</v>
      </c>
      <c r="U6" s="386">
        <f t="shared" ref="U6:U38" si="6">VLOOKUP(U$3,Tbl_Glob_Conversie,2,FALSE)*G6/100</f>
        <v>1.2820500000000002E-2</v>
      </c>
      <c r="V6" s="386">
        <f t="shared" ref="V6:V38" si="7">VLOOKUP(V$3,Tbl_Glob_Conversie,2,FALSE)*H6/100</f>
        <v>7.4700000000000001E-3</v>
      </c>
      <c r="W6" s="386">
        <f t="shared" ref="W6:W38" si="8">VLOOKUP(W$3,Tbl_Glob_Conversie,2,FALSE)*I6/100</f>
        <v>4.8433499999999997E-3</v>
      </c>
      <c r="X6" s="386">
        <f t="shared" ref="X6:X38" si="9">VLOOKUP(X$3,Tbl_Glob_Conversie,2,FALSE)*J6/100</f>
        <v>1.23423E-3</v>
      </c>
      <c r="Y6" s="386">
        <f t="shared" ref="Y6:Y38" si="10">VLOOKUP(Y$3,Tbl_Glob_Conversie,2,FALSE)*K6/100</f>
        <v>1.7899999999999998E-5</v>
      </c>
      <c r="Z6" s="386">
        <f t="shared" ref="Z6:Z38" si="11">VLOOKUP(Z$3,Tbl_Glob_Conversie,2,FALSE)*L6/100</f>
        <v>0</v>
      </c>
      <c r="AA6" s="386">
        <f t="shared" ref="AA6:AA38" si="12">VLOOKUP(AA$3,Tbl_Glob_Conversie,2,FALSE)*M6/100</f>
        <v>1.212858E-2</v>
      </c>
      <c r="AG6" s="387"/>
      <c r="AH6" s="384"/>
      <c r="AI6" s="387"/>
    </row>
    <row r="7" spans="1:35" x14ac:dyDescent="0.2">
      <c r="A7" s="263" t="s">
        <v>728</v>
      </c>
      <c r="B7" s="263">
        <v>80</v>
      </c>
      <c r="C7" s="263">
        <v>2.6</v>
      </c>
      <c r="D7" s="389">
        <v>8.4</v>
      </c>
      <c r="E7" s="389">
        <v>3.9</v>
      </c>
      <c r="F7" s="263">
        <v>70</v>
      </c>
      <c r="G7" s="263">
        <v>80</v>
      </c>
      <c r="H7" s="263">
        <v>100</v>
      </c>
      <c r="I7" s="263">
        <v>56</v>
      </c>
      <c r="J7" s="263">
        <v>8</v>
      </c>
      <c r="K7" s="389">
        <v>1.6</v>
      </c>
      <c r="L7" s="263">
        <v>3</v>
      </c>
      <c r="M7" s="263">
        <v>85</v>
      </c>
      <c r="N7" s="387"/>
      <c r="O7" s="387" t="str">
        <f t="shared" ref="O7:O39" si="13">A7</f>
        <v>Nutrilon Nenatal Start</v>
      </c>
      <c r="P7" s="386">
        <f t="shared" si="1"/>
        <v>0.8</v>
      </c>
      <c r="Q7" s="386">
        <f t="shared" si="2"/>
        <v>2.6000000000000002E-2</v>
      </c>
      <c r="R7" s="386">
        <f t="shared" si="3"/>
        <v>8.4000000000000005E-2</v>
      </c>
      <c r="S7" s="386">
        <f t="shared" si="4"/>
        <v>3.9E-2</v>
      </c>
      <c r="T7" s="386">
        <f t="shared" si="5"/>
        <v>3.0434599999999999E-2</v>
      </c>
      <c r="U7" s="386">
        <f t="shared" si="6"/>
        <v>2.0512800000000001E-2</v>
      </c>
      <c r="V7" s="386">
        <f t="shared" si="7"/>
        <v>2.4899999999999999E-2</v>
      </c>
      <c r="W7" s="386">
        <f t="shared" si="8"/>
        <v>1.8081839999999998E-2</v>
      </c>
      <c r="X7" s="386">
        <f t="shared" si="9"/>
        <v>3.2912799999999997E-3</v>
      </c>
      <c r="Y7" s="386">
        <f t="shared" si="10"/>
        <v>2.8639999999999997E-4</v>
      </c>
      <c r="Z7" s="386">
        <f t="shared" si="11"/>
        <v>1.2</v>
      </c>
      <c r="AA7" s="386">
        <f t="shared" si="12"/>
        <v>2.3975099999999999E-2</v>
      </c>
      <c r="AG7" s="387"/>
      <c r="AH7" s="384"/>
      <c r="AI7" s="387"/>
    </row>
    <row r="8" spans="1:35" x14ac:dyDescent="0.2">
      <c r="A8" s="263" t="s">
        <v>729</v>
      </c>
      <c r="B8" s="263">
        <v>75</v>
      </c>
      <c r="C8" s="263">
        <v>2</v>
      </c>
      <c r="D8" s="389">
        <v>7.5</v>
      </c>
      <c r="E8" s="389">
        <v>4</v>
      </c>
      <c r="F8" s="263">
        <v>28</v>
      </c>
      <c r="G8" s="263">
        <v>77</v>
      </c>
      <c r="H8" s="263">
        <v>87</v>
      </c>
      <c r="I8" s="263">
        <v>47</v>
      </c>
      <c r="J8" s="263">
        <v>7</v>
      </c>
      <c r="K8" s="389">
        <v>1.2</v>
      </c>
      <c r="L8" s="263">
        <v>1.7</v>
      </c>
      <c r="M8" s="263">
        <v>55</v>
      </c>
      <c r="N8" s="387"/>
      <c r="O8" s="387" t="str">
        <f t="shared" si="13"/>
        <v>Nutrilon Nenatal 1</v>
      </c>
      <c r="P8" s="386">
        <f t="shared" si="1"/>
        <v>0.75</v>
      </c>
      <c r="Q8" s="386">
        <f t="shared" si="2"/>
        <v>0.02</v>
      </c>
      <c r="R8" s="386">
        <f t="shared" si="3"/>
        <v>7.4999999999999997E-2</v>
      </c>
      <c r="S8" s="386">
        <f t="shared" si="4"/>
        <v>0.04</v>
      </c>
      <c r="T8" s="386">
        <f t="shared" si="5"/>
        <v>1.217384E-2</v>
      </c>
      <c r="U8" s="386">
        <f t="shared" si="6"/>
        <v>1.9743570000000002E-2</v>
      </c>
      <c r="V8" s="386">
        <f t="shared" si="7"/>
        <v>2.1662999999999998E-2</v>
      </c>
      <c r="W8" s="386">
        <f t="shared" si="8"/>
        <v>1.517583E-2</v>
      </c>
      <c r="X8" s="386">
        <f t="shared" si="9"/>
        <v>2.8798700000000001E-3</v>
      </c>
      <c r="Y8" s="386">
        <f t="shared" si="10"/>
        <v>2.1479999999999999E-4</v>
      </c>
      <c r="Z8" s="386">
        <f t="shared" si="11"/>
        <v>0.68</v>
      </c>
      <c r="AA8" s="386">
        <f t="shared" si="12"/>
        <v>1.5513299999999999E-2</v>
      </c>
    </row>
    <row r="9" spans="1:35" x14ac:dyDescent="0.2">
      <c r="A9" s="263" t="s">
        <v>730</v>
      </c>
      <c r="B9" s="390">
        <v>66</v>
      </c>
      <c r="C9" s="390">
        <v>1.5</v>
      </c>
      <c r="D9" s="391">
        <v>7.2</v>
      </c>
      <c r="E9" s="391">
        <v>3.4</v>
      </c>
      <c r="F9" s="390">
        <v>25</v>
      </c>
      <c r="G9" s="390">
        <v>73</v>
      </c>
      <c r="H9" s="390">
        <v>46</v>
      </c>
      <c r="I9" s="390">
        <v>26</v>
      </c>
      <c r="J9" s="390">
        <v>5.0999999999999996</v>
      </c>
      <c r="K9" s="392">
        <v>0.53</v>
      </c>
      <c r="L9" s="390">
        <v>1.2</v>
      </c>
      <c r="M9" s="263">
        <v>41</v>
      </c>
      <c r="N9" s="387"/>
      <c r="O9" s="387" t="str">
        <f t="shared" si="13"/>
        <v>Nutrilon Hypoallergeen 1</v>
      </c>
      <c r="P9" s="386">
        <f t="shared" si="1"/>
        <v>0.66</v>
      </c>
      <c r="Q9" s="386">
        <f t="shared" si="2"/>
        <v>1.4999999999999999E-2</v>
      </c>
      <c r="R9" s="386">
        <f t="shared" si="3"/>
        <v>7.2000000000000008E-2</v>
      </c>
      <c r="S9" s="386">
        <f t="shared" si="4"/>
        <v>3.4000000000000002E-2</v>
      </c>
      <c r="T9" s="386">
        <f t="shared" si="5"/>
        <v>1.0869500000000001E-2</v>
      </c>
      <c r="U9" s="386">
        <f t="shared" si="6"/>
        <v>1.8717930000000001E-2</v>
      </c>
      <c r="V9" s="386">
        <f t="shared" si="7"/>
        <v>1.1453999999999999E-2</v>
      </c>
      <c r="W9" s="386">
        <f t="shared" si="8"/>
        <v>8.3951400000000006E-3</v>
      </c>
      <c r="X9" s="386">
        <f t="shared" si="9"/>
        <v>2.0981909999999997E-3</v>
      </c>
      <c r="Y9" s="386">
        <f t="shared" si="10"/>
        <v>9.4870000000000005E-5</v>
      </c>
      <c r="Z9" s="386">
        <f t="shared" si="11"/>
        <v>0.48</v>
      </c>
      <c r="AA9" s="386">
        <f t="shared" si="12"/>
        <v>1.1564459999999999E-2</v>
      </c>
    </row>
    <row r="10" spans="1:35" x14ac:dyDescent="0.2">
      <c r="A10" s="263" t="s">
        <v>452</v>
      </c>
      <c r="B10" s="263">
        <v>66</v>
      </c>
      <c r="C10" s="263">
        <v>1.3</v>
      </c>
      <c r="D10" s="389">
        <v>7.3</v>
      </c>
      <c r="E10" s="389">
        <v>3.4</v>
      </c>
      <c r="F10" s="263">
        <v>17</v>
      </c>
      <c r="G10" s="263">
        <v>68</v>
      </c>
      <c r="H10" s="263">
        <v>57</v>
      </c>
      <c r="I10" s="263">
        <v>32</v>
      </c>
      <c r="J10" s="263">
        <v>5.0999999999999996</v>
      </c>
      <c r="K10" s="389">
        <v>3.9</v>
      </c>
      <c r="L10" s="263">
        <v>8.6999999999999993</v>
      </c>
      <c r="M10" s="263">
        <v>42</v>
      </c>
      <c r="N10" s="387"/>
      <c r="O10" s="387" t="str">
        <f t="shared" si="13"/>
        <v>Nutrilon Standaard 1</v>
      </c>
      <c r="P10" s="386">
        <f t="shared" si="1"/>
        <v>0.66</v>
      </c>
      <c r="Q10" s="386">
        <f t="shared" si="2"/>
        <v>1.3000000000000001E-2</v>
      </c>
      <c r="R10" s="386">
        <f t="shared" si="3"/>
        <v>7.2999999999999995E-2</v>
      </c>
      <c r="S10" s="386">
        <f t="shared" si="4"/>
        <v>3.4000000000000002E-2</v>
      </c>
      <c r="T10" s="386">
        <f t="shared" si="5"/>
        <v>7.3912600000000002E-3</v>
      </c>
      <c r="U10" s="386">
        <f t="shared" si="6"/>
        <v>1.7435880000000001E-2</v>
      </c>
      <c r="V10" s="386">
        <f t="shared" si="7"/>
        <v>1.4193000000000001E-2</v>
      </c>
      <c r="W10" s="386">
        <f t="shared" si="8"/>
        <v>1.033248E-2</v>
      </c>
      <c r="X10" s="386">
        <f t="shared" si="9"/>
        <v>2.0981909999999997E-3</v>
      </c>
      <c r="Y10" s="386">
        <f t="shared" si="10"/>
        <v>6.981E-4</v>
      </c>
      <c r="Z10" s="386">
        <f t="shared" si="11"/>
        <v>3.48</v>
      </c>
      <c r="AA10" s="386">
        <f t="shared" si="12"/>
        <v>1.1846520000000001E-2</v>
      </c>
    </row>
    <row r="11" spans="1:35" x14ac:dyDescent="0.2">
      <c r="A11" s="263" t="s">
        <v>793</v>
      </c>
      <c r="B11" s="263">
        <v>68</v>
      </c>
      <c r="C11" s="263">
        <v>1.4</v>
      </c>
      <c r="D11" s="389">
        <v>8.6</v>
      </c>
      <c r="E11" s="389">
        <v>3</v>
      </c>
      <c r="F11" s="263">
        <v>23</v>
      </c>
      <c r="G11" s="263">
        <v>74</v>
      </c>
      <c r="H11" s="263">
        <v>65</v>
      </c>
      <c r="I11" s="263">
        <v>36</v>
      </c>
      <c r="J11" s="263">
        <v>4.8</v>
      </c>
      <c r="K11" s="389">
        <v>7</v>
      </c>
      <c r="L11" s="263">
        <v>1.4</v>
      </c>
      <c r="M11" s="263">
        <v>47</v>
      </c>
      <c r="N11" s="387"/>
      <c r="O11" s="387" t="str">
        <f t="shared" si="13"/>
        <v>Nutrilon Standaard 2</v>
      </c>
      <c r="P11" s="386">
        <f t="shared" si="1"/>
        <v>0.68</v>
      </c>
      <c r="Q11" s="386">
        <f t="shared" si="2"/>
        <v>1.3999999999999999E-2</v>
      </c>
      <c r="R11" s="386">
        <f t="shared" si="3"/>
        <v>8.5999999999999993E-2</v>
      </c>
      <c r="S11" s="386">
        <f t="shared" si="4"/>
        <v>0.03</v>
      </c>
      <c r="T11" s="386">
        <f t="shared" si="5"/>
        <v>9.9999400000000006E-3</v>
      </c>
      <c r="U11" s="386">
        <f t="shared" si="6"/>
        <v>1.8974339999999999E-2</v>
      </c>
      <c r="V11" s="386">
        <f t="shared" si="7"/>
        <v>1.6184999999999998E-2</v>
      </c>
      <c r="W11" s="386">
        <f t="shared" si="8"/>
        <v>1.162404E-2</v>
      </c>
      <c r="X11" s="386">
        <f t="shared" si="9"/>
        <v>1.974768E-3</v>
      </c>
      <c r="Y11" s="386">
        <f t="shared" si="10"/>
        <v>1.253E-3</v>
      </c>
      <c r="Z11" s="386">
        <f t="shared" si="11"/>
        <v>0.56000000000000005</v>
      </c>
      <c r="AA11" s="386">
        <f t="shared" si="12"/>
        <v>1.3256820000000001E-2</v>
      </c>
    </row>
    <row r="12" spans="1:35" x14ac:dyDescent="0.2">
      <c r="A12" s="263" t="s">
        <v>17</v>
      </c>
      <c r="B12" s="263">
        <v>100</v>
      </c>
      <c r="C12" s="263">
        <v>2.6</v>
      </c>
      <c r="D12" s="389">
        <v>10.3</v>
      </c>
      <c r="E12" s="389">
        <v>5.4</v>
      </c>
      <c r="F12" s="263">
        <v>37</v>
      </c>
      <c r="G12" s="263">
        <v>95</v>
      </c>
      <c r="H12" s="263">
        <v>100</v>
      </c>
      <c r="I12" s="263">
        <v>50</v>
      </c>
      <c r="J12" s="263">
        <v>9</v>
      </c>
      <c r="K12" s="389">
        <v>1.2</v>
      </c>
      <c r="L12" s="263">
        <v>1.9</v>
      </c>
      <c r="M12" s="263">
        <v>62</v>
      </c>
      <c r="N12" s="387"/>
      <c r="O12" s="387" t="str">
        <f t="shared" si="13"/>
        <v>Infatrini</v>
      </c>
      <c r="P12" s="386">
        <f t="shared" si="1"/>
        <v>1</v>
      </c>
      <c r="Q12" s="386">
        <f t="shared" si="2"/>
        <v>2.6000000000000002E-2</v>
      </c>
      <c r="R12" s="386">
        <f t="shared" si="3"/>
        <v>0.10300000000000001</v>
      </c>
      <c r="S12" s="386">
        <f t="shared" si="4"/>
        <v>5.4000000000000006E-2</v>
      </c>
      <c r="T12" s="386">
        <f t="shared" si="5"/>
        <v>1.6086860000000001E-2</v>
      </c>
      <c r="U12" s="386">
        <f t="shared" si="6"/>
        <v>2.4358950000000001E-2</v>
      </c>
      <c r="V12" s="386">
        <f t="shared" si="7"/>
        <v>2.4899999999999999E-2</v>
      </c>
      <c r="W12" s="386">
        <f t="shared" si="8"/>
        <v>1.6144499999999999E-2</v>
      </c>
      <c r="X12" s="386">
        <f t="shared" si="9"/>
        <v>3.7026899999999998E-3</v>
      </c>
      <c r="Y12" s="386">
        <f t="shared" si="10"/>
        <v>2.1479999999999999E-4</v>
      </c>
      <c r="Z12" s="386">
        <f t="shared" si="11"/>
        <v>0.76</v>
      </c>
      <c r="AA12" s="386">
        <f t="shared" si="12"/>
        <v>1.7487719999999998E-2</v>
      </c>
    </row>
    <row r="13" spans="1:35" x14ac:dyDescent="0.2">
      <c r="A13" s="263" t="s">
        <v>809</v>
      </c>
      <c r="B13" s="263">
        <v>100</v>
      </c>
      <c r="C13" s="263">
        <v>2.6</v>
      </c>
      <c r="D13" s="389">
        <v>10.3</v>
      </c>
      <c r="E13" s="389">
        <v>5.4</v>
      </c>
      <c r="F13" s="263">
        <v>32</v>
      </c>
      <c r="G13" s="263">
        <v>108</v>
      </c>
      <c r="H13" s="263">
        <v>80</v>
      </c>
      <c r="I13" s="263">
        <v>40</v>
      </c>
      <c r="J13" s="263">
        <v>8</v>
      </c>
      <c r="K13" s="389">
        <v>1</v>
      </c>
      <c r="L13" s="263">
        <v>1.7</v>
      </c>
      <c r="M13" s="263">
        <v>64</v>
      </c>
      <c r="N13" s="387"/>
      <c r="O13" s="387" t="str">
        <f t="shared" si="13"/>
        <v>Infatrini Peptisorb</v>
      </c>
      <c r="P13" s="386">
        <f t="shared" si="1"/>
        <v>1</v>
      </c>
      <c r="Q13" s="386">
        <f t="shared" si="2"/>
        <v>2.6000000000000002E-2</v>
      </c>
      <c r="R13" s="386">
        <f t="shared" si="3"/>
        <v>0.10300000000000001</v>
      </c>
      <c r="S13" s="386">
        <f t="shared" si="4"/>
        <v>5.4000000000000006E-2</v>
      </c>
      <c r="T13" s="386">
        <f t="shared" si="5"/>
        <v>1.391296E-2</v>
      </c>
      <c r="U13" s="386">
        <f t="shared" si="6"/>
        <v>2.769228E-2</v>
      </c>
      <c r="V13" s="386">
        <f t="shared" si="7"/>
        <v>1.992E-2</v>
      </c>
      <c r="W13" s="386">
        <f t="shared" si="8"/>
        <v>1.2915600000000001E-2</v>
      </c>
      <c r="X13" s="386">
        <f t="shared" si="9"/>
        <v>3.2912799999999997E-3</v>
      </c>
      <c r="Y13" s="386">
        <f t="shared" si="10"/>
        <v>1.7899999999999999E-4</v>
      </c>
      <c r="Z13" s="386">
        <f t="shared" si="11"/>
        <v>0.68</v>
      </c>
      <c r="AA13" s="386">
        <f t="shared" si="12"/>
        <v>1.805184E-2</v>
      </c>
    </row>
    <row r="14" spans="1:35" x14ac:dyDescent="0.2">
      <c r="A14" s="263" t="s">
        <v>805</v>
      </c>
      <c r="B14" s="263">
        <v>67</v>
      </c>
      <c r="C14" s="263">
        <v>1.6</v>
      </c>
      <c r="D14" s="389">
        <v>7</v>
      </c>
      <c r="E14" s="389">
        <v>3.5</v>
      </c>
      <c r="F14" s="263">
        <v>20</v>
      </c>
      <c r="G14" s="263">
        <v>81</v>
      </c>
      <c r="H14" s="263">
        <v>47</v>
      </c>
      <c r="I14" s="263">
        <v>26</v>
      </c>
      <c r="J14" s="263">
        <v>5.3</v>
      </c>
      <c r="K14" s="392">
        <v>0.53</v>
      </c>
      <c r="L14" s="263">
        <v>1.3</v>
      </c>
      <c r="M14" s="263">
        <v>40</v>
      </c>
      <c r="N14" s="387"/>
      <c r="O14" s="387" t="str">
        <f t="shared" si="13"/>
        <v>Nutrilon Pepti 1</v>
      </c>
      <c r="P14" s="386">
        <f t="shared" si="1"/>
        <v>0.67</v>
      </c>
      <c r="Q14" s="386">
        <f t="shared" si="2"/>
        <v>1.6E-2</v>
      </c>
      <c r="R14" s="386">
        <f t="shared" si="3"/>
        <v>7.0000000000000007E-2</v>
      </c>
      <c r="S14" s="386">
        <f t="shared" si="4"/>
        <v>3.5000000000000003E-2</v>
      </c>
      <c r="T14" s="386">
        <f t="shared" si="5"/>
        <v>8.6956000000000012E-3</v>
      </c>
      <c r="U14" s="386">
        <f t="shared" si="6"/>
        <v>2.076921E-2</v>
      </c>
      <c r="V14" s="386">
        <f t="shared" si="7"/>
        <v>1.1702999999999998E-2</v>
      </c>
      <c r="W14" s="386">
        <f t="shared" si="8"/>
        <v>8.3951400000000006E-3</v>
      </c>
      <c r="X14" s="386">
        <f t="shared" si="9"/>
        <v>2.1804729999999996E-3</v>
      </c>
      <c r="Y14" s="386">
        <f t="shared" si="10"/>
        <v>9.4870000000000005E-5</v>
      </c>
      <c r="Z14" s="386">
        <f t="shared" si="11"/>
        <v>0.52</v>
      </c>
      <c r="AA14" s="386">
        <f t="shared" si="12"/>
        <v>1.12824E-2</v>
      </c>
    </row>
    <row r="15" spans="1:35" x14ac:dyDescent="0.2">
      <c r="A15" s="263" t="s">
        <v>373</v>
      </c>
      <c r="B15" s="263">
        <v>101</v>
      </c>
      <c r="C15" s="263">
        <v>2.7</v>
      </c>
      <c r="D15" s="389">
        <v>12.3</v>
      </c>
      <c r="E15" s="389">
        <v>4.4000000000000004</v>
      </c>
      <c r="F15" s="263">
        <v>60</v>
      </c>
      <c r="G15" s="263">
        <v>110</v>
      </c>
      <c r="H15" s="263">
        <v>60</v>
      </c>
      <c r="I15" s="263">
        <v>50</v>
      </c>
      <c r="J15" s="263">
        <v>11</v>
      </c>
      <c r="K15" s="393">
        <v>1</v>
      </c>
      <c r="L15" s="263">
        <v>1</v>
      </c>
      <c r="M15" s="263">
        <v>95</v>
      </c>
      <c r="N15" s="387"/>
      <c r="O15" s="387" t="str">
        <f t="shared" si="13"/>
        <v>Nutrini Multi Fibre</v>
      </c>
      <c r="P15" s="386">
        <f t="shared" si="1"/>
        <v>1.01</v>
      </c>
      <c r="Q15" s="386">
        <f t="shared" si="2"/>
        <v>2.7000000000000003E-2</v>
      </c>
      <c r="R15" s="386">
        <f t="shared" si="3"/>
        <v>0.12300000000000001</v>
      </c>
      <c r="S15" s="386">
        <f t="shared" si="4"/>
        <v>4.4000000000000004E-2</v>
      </c>
      <c r="T15" s="386">
        <f t="shared" si="5"/>
        <v>2.60868E-2</v>
      </c>
      <c r="U15" s="386">
        <f t="shared" si="6"/>
        <v>2.82051E-2</v>
      </c>
      <c r="V15" s="386">
        <f t="shared" si="7"/>
        <v>1.494E-2</v>
      </c>
      <c r="W15" s="386">
        <f t="shared" si="8"/>
        <v>1.6144499999999999E-2</v>
      </c>
      <c r="X15" s="386">
        <f t="shared" si="9"/>
        <v>4.5255099999999999E-3</v>
      </c>
      <c r="Y15" s="386">
        <f t="shared" si="10"/>
        <v>1.7899999999999999E-4</v>
      </c>
      <c r="Z15" s="386">
        <f t="shared" si="11"/>
        <v>0.4</v>
      </c>
      <c r="AA15" s="386">
        <f t="shared" si="12"/>
        <v>2.6795699999999999E-2</v>
      </c>
    </row>
    <row r="16" spans="1:35" x14ac:dyDescent="0.2">
      <c r="A16" s="263" t="s">
        <v>374</v>
      </c>
      <c r="B16" s="263">
        <v>151</v>
      </c>
      <c r="C16" s="263">
        <v>4</v>
      </c>
      <c r="D16" s="389">
        <v>18.5</v>
      </c>
      <c r="E16" s="389">
        <v>6.7</v>
      </c>
      <c r="F16" s="263">
        <v>90</v>
      </c>
      <c r="G16" s="263">
        <v>165</v>
      </c>
      <c r="H16" s="263">
        <v>90</v>
      </c>
      <c r="I16" s="263">
        <v>75</v>
      </c>
      <c r="J16" s="263">
        <v>17</v>
      </c>
      <c r="K16" s="389">
        <v>1.5</v>
      </c>
      <c r="L16" s="263">
        <v>1.5</v>
      </c>
      <c r="M16" s="263">
        <v>143</v>
      </c>
      <c r="N16" s="387"/>
      <c r="O16" s="387" t="str">
        <f t="shared" si="13"/>
        <v>Nutrini Energy Multi Fibre</v>
      </c>
      <c r="P16" s="386">
        <f t="shared" si="1"/>
        <v>1.51</v>
      </c>
      <c r="Q16" s="386">
        <f t="shared" si="2"/>
        <v>0.04</v>
      </c>
      <c r="R16" s="386">
        <f t="shared" si="3"/>
        <v>0.185</v>
      </c>
      <c r="S16" s="386">
        <f t="shared" si="4"/>
        <v>6.7000000000000004E-2</v>
      </c>
      <c r="T16" s="386">
        <f t="shared" si="5"/>
        <v>3.9130200000000004E-2</v>
      </c>
      <c r="U16" s="386">
        <f t="shared" si="6"/>
        <v>4.2307650000000002E-2</v>
      </c>
      <c r="V16" s="386">
        <f t="shared" si="7"/>
        <v>2.2409999999999996E-2</v>
      </c>
      <c r="W16" s="386">
        <f t="shared" si="8"/>
        <v>2.4216749999999999E-2</v>
      </c>
      <c r="X16" s="386">
        <f t="shared" si="9"/>
        <v>6.9939699999999995E-3</v>
      </c>
      <c r="Y16" s="386">
        <f t="shared" si="10"/>
        <v>2.6849999999999997E-4</v>
      </c>
      <c r="Z16" s="386">
        <f t="shared" si="11"/>
        <v>0.6</v>
      </c>
      <c r="AA16" s="386">
        <f t="shared" si="12"/>
        <v>4.0334579999999995E-2</v>
      </c>
    </row>
    <row r="17" spans="1:27" x14ac:dyDescent="0.2">
      <c r="A17" s="263" t="s">
        <v>810</v>
      </c>
      <c r="B17" s="263">
        <v>100</v>
      </c>
      <c r="C17" s="263">
        <v>2.8</v>
      </c>
      <c r="D17" s="389">
        <v>13.7</v>
      </c>
      <c r="E17" s="389">
        <v>3.9</v>
      </c>
      <c r="F17" s="263">
        <v>60</v>
      </c>
      <c r="G17" s="263">
        <v>110</v>
      </c>
      <c r="H17" s="263">
        <v>60</v>
      </c>
      <c r="I17" s="263">
        <v>50</v>
      </c>
      <c r="J17" s="263">
        <v>11</v>
      </c>
      <c r="K17" s="393">
        <v>1</v>
      </c>
      <c r="L17" s="393">
        <v>1</v>
      </c>
      <c r="M17" s="263">
        <v>95</v>
      </c>
      <c r="N17" s="387"/>
      <c r="O17" s="387" t="str">
        <f t="shared" si="13"/>
        <v>Nutrini Peptisorb</v>
      </c>
      <c r="P17" s="386">
        <f t="shared" si="1"/>
        <v>1</v>
      </c>
      <c r="Q17" s="386">
        <f t="shared" si="2"/>
        <v>2.7999999999999997E-2</v>
      </c>
      <c r="R17" s="386">
        <f t="shared" si="3"/>
        <v>0.13699999999999998</v>
      </c>
      <c r="S17" s="386">
        <f t="shared" si="4"/>
        <v>3.9E-2</v>
      </c>
      <c r="T17" s="386">
        <f t="shared" si="5"/>
        <v>2.60868E-2</v>
      </c>
      <c r="U17" s="386">
        <f t="shared" si="6"/>
        <v>2.82051E-2</v>
      </c>
      <c r="V17" s="386">
        <f t="shared" si="7"/>
        <v>1.494E-2</v>
      </c>
      <c r="W17" s="386">
        <f t="shared" si="8"/>
        <v>1.6144499999999999E-2</v>
      </c>
      <c r="X17" s="386">
        <f t="shared" si="9"/>
        <v>4.5255099999999999E-3</v>
      </c>
      <c r="Y17" s="386">
        <f t="shared" si="10"/>
        <v>1.7899999999999999E-4</v>
      </c>
      <c r="Z17" s="386">
        <f t="shared" si="11"/>
        <v>0.4</v>
      </c>
      <c r="AA17" s="386">
        <f t="shared" si="12"/>
        <v>2.6795699999999999E-2</v>
      </c>
    </row>
    <row r="18" spans="1:27" x14ac:dyDescent="0.2">
      <c r="A18" s="263" t="s">
        <v>817</v>
      </c>
      <c r="B18" s="263">
        <v>68</v>
      </c>
      <c r="C18" s="263">
        <v>1.6</v>
      </c>
      <c r="D18" s="389">
        <v>8.1</v>
      </c>
      <c r="E18" s="389">
        <v>3.1</v>
      </c>
      <c r="F18" s="263">
        <v>25</v>
      </c>
      <c r="G18" s="263">
        <v>78</v>
      </c>
      <c r="H18" s="263">
        <v>63</v>
      </c>
      <c r="I18" s="263">
        <v>37</v>
      </c>
      <c r="J18" s="263">
        <v>5.5</v>
      </c>
      <c r="K18" s="389">
        <v>1</v>
      </c>
      <c r="L18" s="263">
        <v>1.4</v>
      </c>
      <c r="M18" s="263">
        <v>42</v>
      </c>
      <c r="N18" s="387"/>
      <c r="O18" s="387" t="str">
        <f t="shared" si="13"/>
        <v>Nutrilon Pepti 2</v>
      </c>
      <c r="P18" s="386">
        <f t="shared" si="1"/>
        <v>0.68</v>
      </c>
      <c r="Q18" s="386">
        <f t="shared" si="2"/>
        <v>1.6E-2</v>
      </c>
      <c r="R18" s="386">
        <f t="shared" si="3"/>
        <v>8.1000000000000003E-2</v>
      </c>
      <c r="S18" s="386">
        <f t="shared" si="4"/>
        <v>3.1E-2</v>
      </c>
      <c r="T18" s="386">
        <f t="shared" si="5"/>
        <v>1.0869500000000001E-2</v>
      </c>
      <c r="U18" s="386">
        <f t="shared" si="6"/>
        <v>1.9999980000000001E-2</v>
      </c>
      <c r="V18" s="386">
        <f t="shared" si="7"/>
        <v>1.5687E-2</v>
      </c>
      <c r="W18" s="386">
        <f t="shared" si="8"/>
        <v>1.194693E-2</v>
      </c>
      <c r="X18" s="386">
        <f t="shared" si="9"/>
        <v>2.262755E-3</v>
      </c>
      <c r="Y18" s="386">
        <f t="shared" si="10"/>
        <v>1.7899999999999999E-4</v>
      </c>
      <c r="Z18" s="386">
        <f t="shared" si="11"/>
        <v>0.56000000000000005</v>
      </c>
      <c r="AA18" s="386">
        <f t="shared" si="12"/>
        <v>1.1846520000000001E-2</v>
      </c>
    </row>
    <row r="19" spans="1:27" x14ac:dyDescent="0.2">
      <c r="A19" s="263" t="s">
        <v>376</v>
      </c>
      <c r="B19" s="263">
        <v>102</v>
      </c>
      <c r="C19" s="263">
        <v>3.3</v>
      </c>
      <c r="D19" s="389">
        <v>12.3</v>
      </c>
      <c r="E19" s="389">
        <v>4.2</v>
      </c>
      <c r="F19" s="263">
        <v>80</v>
      </c>
      <c r="G19" s="263">
        <v>138</v>
      </c>
      <c r="H19" s="263">
        <v>70</v>
      </c>
      <c r="I19" s="263">
        <v>60</v>
      </c>
      <c r="J19" s="263">
        <v>17</v>
      </c>
      <c r="K19" s="389">
        <v>1.3</v>
      </c>
      <c r="L19" s="263">
        <v>0.7</v>
      </c>
      <c r="M19" s="263">
        <v>125</v>
      </c>
      <c r="N19" s="387"/>
      <c r="O19" s="387" t="str">
        <f t="shared" si="13"/>
        <v>NutriniMax Multi Fibre</v>
      </c>
      <c r="P19" s="386">
        <f t="shared" si="1"/>
        <v>1.02</v>
      </c>
      <c r="Q19" s="386">
        <f t="shared" si="2"/>
        <v>3.3000000000000002E-2</v>
      </c>
      <c r="R19" s="386">
        <f t="shared" si="3"/>
        <v>0.12300000000000001</v>
      </c>
      <c r="S19" s="386">
        <f t="shared" si="4"/>
        <v>4.2000000000000003E-2</v>
      </c>
      <c r="T19" s="386">
        <f t="shared" si="5"/>
        <v>3.4782400000000005E-2</v>
      </c>
      <c r="U19" s="386">
        <f t="shared" si="6"/>
        <v>3.5384579999999999E-2</v>
      </c>
      <c r="V19" s="386">
        <f t="shared" si="7"/>
        <v>1.7429999999999998E-2</v>
      </c>
      <c r="W19" s="386">
        <f t="shared" si="8"/>
        <v>1.9373399999999999E-2</v>
      </c>
      <c r="X19" s="386">
        <f t="shared" si="9"/>
        <v>6.9939699999999995E-3</v>
      </c>
      <c r="Y19" s="386">
        <f t="shared" si="10"/>
        <v>2.3269999999999999E-4</v>
      </c>
      <c r="Z19" s="386">
        <f t="shared" si="11"/>
        <v>0.28000000000000003</v>
      </c>
      <c r="AA19" s="386">
        <f t="shared" si="12"/>
        <v>3.5257499999999997E-2</v>
      </c>
    </row>
    <row r="20" spans="1:27" x14ac:dyDescent="0.2">
      <c r="A20" s="263" t="s">
        <v>377</v>
      </c>
      <c r="B20" s="263">
        <v>152</v>
      </c>
      <c r="C20" s="263">
        <v>4.8</v>
      </c>
      <c r="D20" s="389">
        <v>18.5</v>
      </c>
      <c r="E20" s="389">
        <v>6.3</v>
      </c>
      <c r="F20" s="263">
        <v>107</v>
      </c>
      <c r="G20" s="263">
        <v>186</v>
      </c>
      <c r="H20" s="263">
        <v>95</v>
      </c>
      <c r="I20" s="263">
        <v>90</v>
      </c>
      <c r="J20" s="263">
        <v>26</v>
      </c>
      <c r="K20" s="389">
        <v>2</v>
      </c>
      <c r="L20" s="263">
        <v>1.1000000000000001</v>
      </c>
      <c r="M20" s="263">
        <v>147</v>
      </c>
      <c r="N20" s="387"/>
      <c r="O20" s="387" t="str">
        <f t="shared" si="13"/>
        <v>NutriniMax Energy Multi Fibre</v>
      </c>
      <c r="P20" s="386">
        <f t="shared" si="1"/>
        <v>1.52</v>
      </c>
      <c r="Q20" s="386">
        <f t="shared" si="2"/>
        <v>4.8000000000000001E-2</v>
      </c>
      <c r="R20" s="386">
        <f t="shared" si="3"/>
        <v>0.185</v>
      </c>
      <c r="S20" s="386">
        <f t="shared" si="4"/>
        <v>6.3E-2</v>
      </c>
      <c r="T20" s="386">
        <f t="shared" si="5"/>
        <v>4.6521460000000001E-2</v>
      </c>
      <c r="U20" s="386">
        <f t="shared" si="6"/>
        <v>4.769226E-2</v>
      </c>
      <c r="V20" s="386">
        <f t="shared" si="7"/>
        <v>2.3654999999999999E-2</v>
      </c>
      <c r="W20" s="386">
        <f t="shared" si="8"/>
        <v>2.9060099999999998E-2</v>
      </c>
      <c r="X20" s="386">
        <f t="shared" si="9"/>
        <v>1.069666E-2</v>
      </c>
      <c r="Y20" s="386">
        <f t="shared" si="10"/>
        <v>3.5799999999999997E-4</v>
      </c>
      <c r="Z20" s="386">
        <f t="shared" si="11"/>
        <v>0.44</v>
      </c>
      <c r="AA20" s="386">
        <f t="shared" si="12"/>
        <v>4.1462819999999991E-2</v>
      </c>
    </row>
    <row r="21" spans="1:27" x14ac:dyDescent="0.2">
      <c r="A21" s="263" t="s">
        <v>379</v>
      </c>
      <c r="B21" s="263">
        <v>103</v>
      </c>
      <c r="C21" s="263">
        <v>4</v>
      </c>
      <c r="D21" s="389">
        <v>12.3</v>
      </c>
      <c r="E21" s="389">
        <v>3.9</v>
      </c>
      <c r="F21" s="263">
        <v>100</v>
      </c>
      <c r="G21" s="263">
        <v>150</v>
      </c>
      <c r="H21" s="263">
        <v>80</v>
      </c>
      <c r="I21" s="263">
        <v>72</v>
      </c>
      <c r="J21" s="263">
        <v>23</v>
      </c>
      <c r="K21" s="391">
        <v>1.6</v>
      </c>
      <c r="L21" s="390">
        <v>1</v>
      </c>
      <c r="M21" s="263">
        <v>125</v>
      </c>
      <c r="N21" s="387"/>
      <c r="O21" s="387" t="str">
        <f t="shared" si="13"/>
        <v>Nutrison Multi Fibre</v>
      </c>
      <c r="P21" s="386">
        <f t="shared" si="1"/>
        <v>1.03</v>
      </c>
      <c r="Q21" s="386">
        <f t="shared" si="2"/>
        <v>0.04</v>
      </c>
      <c r="R21" s="386">
        <f t="shared" si="3"/>
        <v>0.12300000000000001</v>
      </c>
      <c r="S21" s="386">
        <f t="shared" si="4"/>
        <v>3.9E-2</v>
      </c>
      <c r="T21" s="386">
        <f t="shared" si="5"/>
        <v>4.3478000000000003E-2</v>
      </c>
      <c r="U21" s="386">
        <f t="shared" si="6"/>
        <v>3.8461500000000003E-2</v>
      </c>
      <c r="V21" s="386">
        <f t="shared" si="7"/>
        <v>1.992E-2</v>
      </c>
      <c r="W21" s="386">
        <f t="shared" si="8"/>
        <v>2.3248080000000001E-2</v>
      </c>
      <c r="X21" s="386">
        <f t="shared" si="9"/>
        <v>9.4624299999999991E-3</v>
      </c>
      <c r="Y21" s="386">
        <f t="shared" si="10"/>
        <v>2.8639999999999997E-4</v>
      </c>
      <c r="Z21" s="386">
        <f t="shared" si="11"/>
        <v>0.4</v>
      </c>
      <c r="AA21" s="386">
        <f t="shared" si="12"/>
        <v>3.5257499999999997E-2</v>
      </c>
    </row>
    <row r="22" spans="1:27" x14ac:dyDescent="0.2">
      <c r="A22" s="263" t="s">
        <v>380</v>
      </c>
      <c r="B22" s="263">
        <v>153</v>
      </c>
      <c r="C22" s="263">
        <v>6</v>
      </c>
      <c r="D22" s="389">
        <v>18.399999999999999</v>
      </c>
      <c r="E22" s="389">
        <v>5.8</v>
      </c>
      <c r="F22" s="263">
        <v>134</v>
      </c>
      <c r="G22" s="263">
        <v>201</v>
      </c>
      <c r="H22" s="263">
        <v>84</v>
      </c>
      <c r="I22" s="263">
        <v>84</v>
      </c>
      <c r="J22" s="263">
        <v>30</v>
      </c>
      <c r="K22" s="391">
        <v>2.4</v>
      </c>
      <c r="L22" s="390">
        <v>1.5</v>
      </c>
      <c r="M22" s="263">
        <v>100</v>
      </c>
      <c r="N22" s="387"/>
      <c r="O22" s="387" t="str">
        <f t="shared" si="13"/>
        <v>Nutrison Energy Multi Fibre</v>
      </c>
      <c r="P22" s="386">
        <f t="shared" si="1"/>
        <v>1.53</v>
      </c>
      <c r="Q22" s="386">
        <f t="shared" si="2"/>
        <v>0.06</v>
      </c>
      <c r="R22" s="386">
        <f t="shared" si="3"/>
        <v>0.184</v>
      </c>
      <c r="S22" s="386">
        <f t="shared" si="4"/>
        <v>5.7999999999999996E-2</v>
      </c>
      <c r="T22" s="386">
        <f t="shared" si="5"/>
        <v>5.826052000000001E-2</v>
      </c>
      <c r="U22" s="386">
        <f t="shared" si="6"/>
        <v>5.153841E-2</v>
      </c>
      <c r="V22" s="386">
        <f t="shared" si="7"/>
        <v>2.0915999999999997E-2</v>
      </c>
      <c r="W22" s="386">
        <f t="shared" si="8"/>
        <v>2.7122759999999996E-2</v>
      </c>
      <c r="X22" s="386">
        <f t="shared" si="9"/>
        <v>1.2342299999999999E-2</v>
      </c>
      <c r="Y22" s="386">
        <f t="shared" si="10"/>
        <v>4.2959999999999998E-4</v>
      </c>
      <c r="Z22" s="386">
        <f t="shared" si="11"/>
        <v>0.6</v>
      </c>
      <c r="AA22" s="386">
        <f t="shared" si="12"/>
        <v>2.8205999999999998E-2</v>
      </c>
    </row>
    <row r="23" spans="1:27" x14ac:dyDescent="0.2">
      <c r="A23" s="263" t="s">
        <v>811</v>
      </c>
      <c r="B23" s="263">
        <v>100</v>
      </c>
      <c r="C23" s="263">
        <v>4</v>
      </c>
      <c r="D23" s="389">
        <v>17.600000000000001</v>
      </c>
      <c r="E23" s="389">
        <v>1.7</v>
      </c>
      <c r="F23" s="263">
        <v>100</v>
      </c>
      <c r="G23" s="263">
        <v>150</v>
      </c>
      <c r="H23" s="263">
        <v>80</v>
      </c>
      <c r="I23" s="263">
        <v>72</v>
      </c>
      <c r="J23" s="263">
        <v>23</v>
      </c>
      <c r="K23" s="391">
        <v>1.6</v>
      </c>
      <c r="L23" s="390">
        <v>0.7</v>
      </c>
      <c r="M23" s="263">
        <v>125</v>
      </c>
      <c r="N23" s="387"/>
      <c r="O23" s="387" t="str">
        <f t="shared" si="13"/>
        <v>Nutrison Adv Peptisorb</v>
      </c>
      <c r="P23" s="386">
        <f t="shared" si="1"/>
        <v>1</v>
      </c>
      <c r="Q23" s="386">
        <f t="shared" si="2"/>
        <v>0.04</v>
      </c>
      <c r="R23" s="386">
        <f t="shared" si="3"/>
        <v>0.17600000000000002</v>
      </c>
      <c r="S23" s="386">
        <f t="shared" si="4"/>
        <v>1.7000000000000001E-2</v>
      </c>
      <c r="T23" s="386">
        <f t="shared" si="5"/>
        <v>4.3478000000000003E-2</v>
      </c>
      <c r="U23" s="386">
        <f t="shared" si="6"/>
        <v>3.8461500000000003E-2</v>
      </c>
      <c r="V23" s="386">
        <f t="shared" si="7"/>
        <v>1.992E-2</v>
      </c>
      <c r="W23" s="386">
        <f t="shared" si="8"/>
        <v>2.3248080000000001E-2</v>
      </c>
      <c r="X23" s="386">
        <f t="shared" si="9"/>
        <v>9.4624299999999991E-3</v>
      </c>
      <c r="Y23" s="386">
        <f t="shared" si="10"/>
        <v>2.8639999999999997E-4</v>
      </c>
      <c r="Z23" s="386">
        <f t="shared" si="11"/>
        <v>0.28000000000000003</v>
      </c>
      <c r="AA23" s="386">
        <f t="shared" si="12"/>
        <v>3.5257499999999997E-2</v>
      </c>
    </row>
    <row r="24" spans="1:27" x14ac:dyDescent="0.2">
      <c r="A24" s="263" t="s">
        <v>731</v>
      </c>
      <c r="B24" s="263">
        <v>67</v>
      </c>
      <c r="C24" s="263">
        <v>1.8</v>
      </c>
      <c r="D24" s="389">
        <v>7.2</v>
      </c>
      <c r="E24" s="389">
        <v>3.4</v>
      </c>
      <c r="F24" s="263">
        <v>26.1</v>
      </c>
      <c r="G24" s="263">
        <v>72.5</v>
      </c>
      <c r="H24" s="263">
        <v>65.599999999999994</v>
      </c>
      <c r="I24" s="263">
        <v>47.1</v>
      </c>
      <c r="J24" s="263">
        <v>7</v>
      </c>
      <c r="K24" s="391">
        <v>1</v>
      </c>
      <c r="L24" s="390">
        <v>1.2</v>
      </c>
      <c r="M24" s="263">
        <v>53.3</v>
      </c>
      <c r="N24" s="387"/>
      <c r="O24" s="387" t="str">
        <f t="shared" si="13"/>
        <v>Nutrilon Neocate</v>
      </c>
      <c r="P24" s="386">
        <f t="shared" si="1"/>
        <v>0.67</v>
      </c>
      <c r="Q24" s="386">
        <f t="shared" si="2"/>
        <v>1.8000000000000002E-2</v>
      </c>
      <c r="R24" s="386">
        <f t="shared" si="3"/>
        <v>7.2000000000000008E-2</v>
      </c>
      <c r="S24" s="386">
        <f t="shared" si="4"/>
        <v>3.4000000000000002E-2</v>
      </c>
      <c r="T24" s="386">
        <f t="shared" si="5"/>
        <v>1.1347758000000001E-2</v>
      </c>
      <c r="U24" s="386">
        <f t="shared" si="6"/>
        <v>1.8589725000000001E-2</v>
      </c>
      <c r="V24" s="386">
        <f t="shared" si="7"/>
        <v>1.6334399999999999E-2</v>
      </c>
      <c r="W24" s="386">
        <f t="shared" si="8"/>
        <v>1.5208118999999999E-2</v>
      </c>
      <c r="X24" s="386">
        <f t="shared" si="9"/>
        <v>2.8798700000000001E-3</v>
      </c>
      <c r="Y24" s="386">
        <f t="shared" si="10"/>
        <v>1.7899999999999999E-4</v>
      </c>
      <c r="Z24" s="386">
        <f t="shared" si="11"/>
        <v>0.48</v>
      </c>
      <c r="AA24" s="386">
        <f t="shared" si="12"/>
        <v>1.5033797999999998E-2</v>
      </c>
    </row>
    <row r="25" spans="1:27" x14ac:dyDescent="0.2">
      <c r="A25" s="263" t="s">
        <v>732</v>
      </c>
      <c r="B25" s="263">
        <v>66</v>
      </c>
      <c r="C25" s="263">
        <v>1.8</v>
      </c>
      <c r="D25" s="389">
        <v>6.8</v>
      </c>
      <c r="E25" s="389">
        <v>3.5</v>
      </c>
      <c r="F25" s="263">
        <v>18</v>
      </c>
      <c r="G25" s="263">
        <v>65</v>
      </c>
      <c r="H25" s="263">
        <v>50</v>
      </c>
      <c r="I25" s="263">
        <v>28</v>
      </c>
      <c r="J25" s="263">
        <v>5.0999999999999996</v>
      </c>
      <c r="K25" s="391">
        <v>0.77</v>
      </c>
      <c r="L25" s="390">
        <v>1.3</v>
      </c>
      <c r="M25" s="263">
        <v>40</v>
      </c>
      <c r="N25" s="387"/>
      <c r="O25" s="387" t="str">
        <f t="shared" si="13"/>
        <v>Nutrilon Pepti Junior</v>
      </c>
      <c r="P25" s="386">
        <f t="shared" si="1"/>
        <v>0.66</v>
      </c>
      <c r="Q25" s="386">
        <f t="shared" si="2"/>
        <v>1.8000000000000002E-2</v>
      </c>
      <c r="R25" s="386">
        <f t="shared" si="3"/>
        <v>6.8000000000000005E-2</v>
      </c>
      <c r="S25" s="386">
        <f t="shared" si="4"/>
        <v>3.5000000000000003E-2</v>
      </c>
      <c r="T25" s="386">
        <f t="shared" si="5"/>
        <v>7.8260400000000011E-3</v>
      </c>
      <c r="U25" s="386">
        <f t="shared" si="6"/>
        <v>1.6666650000000002E-2</v>
      </c>
      <c r="V25" s="386">
        <f t="shared" si="7"/>
        <v>1.2449999999999999E-2</v>
      </c>
      <c r="W25" s="386">
        <f t="shared" si="8"/>
        <v>9.0409199999999992E-3</v>
      </c>
      <c r="X25" s="386">
        <f t="shared" si="9"/>
        <v>2.0981909999999997E-3</v>
      </c>
      <c r="Y25" s="386">
        <f t="shared" si="10"/>
        <v>1.3783E-4</v>
      </c>
      <c r="Z25" s="386">
        <f t="shared" si="11"/>
        <v>0.52</v>
      </c>
      <c r="AA25" s="386">
        <f t="shared" si="12"/>
        <v>1.12824E-2</v>
      </c>
    </row>
    <row r="26" spans="1:27" x14ac:dyDescent="0.2">
      <c r="A26" s="394" t="s">
        <v>794</v>
      </c>
      <c r="B26" s="263">
        <v>68</v>
      </c>
      <c r="C26" s="263">
        <v>1</v>
      </c>
      <c r="D26" s="389">
        <v>7.0000000000000009</v>
      </c>
      <c r="E26" s="389">
        <v>4</v>
      </c>
      <c r="F26" s="263">
        <v>20</v>
      </c>
      <c r="G26" s="263">
        <v>50.000000000000007</v>
      </c>
      <c r="H26" s="263">
        <v>30</v>
      </c>
      <c r="I26" s="263">
        <v>15</v>
      </c>
      <c r="J26" s="263">
        <v>3.0000000000000004</v>
      </c>
      <c r="K26" s="389">
        <v>0.1</v>
      </c>
      <c r="L26" s="263">
        <v>0</v>
      </c>
      <c r="M26" s="263">
        <v>43</v>
      </c>
      <c r="N26" s="387"/>
      <c r="O26" s="387" t="str">
        <f t="shared" si="13"/>
        <v>MM of Nenatal 1</v>
      </c>
      <c r="P26" s="386">
        <f t="shared" si="1"/>
        <v>0.68</v>
      </c>
      <c r="Q26" s="386">
        <f t="shared" si="2"/>
        <v>0.01</v>
      </c>
      <c r="R26" s="386">
        <f t="shared" si="3"/>
        <v>7.0000000000000007E-2</v>
      </c>
      <c r="S26" s="386">
        <f t="shared" si="4"/>
        <v>0.04</v>
      </c>
      <c r="T26" s="386">
        <f t="shared" si="5"/>
        <v>8.6956000000000012E-3</v>
      </c>
      <c r="U26" s="386">
        <f t="shared" si="6"/>
        <v>1.2820500000000002E-2</v>
      </c>
      <c r="V26" s="386">
        <f t="shared" si="7"/>
        <v>7.4700000000000001E-3</v>
      </c>
      <c r="W26" s="386">
        <f t="shared" si="8"/>
        <v>4.8433499999999997E-3</v>
      </c>
      <c r="X26" s="386">
        <f t="shared" si="9"/>
        <v>1.23423E-3</v>
      </c>
      <c r="Y26" s="386">
        <f t="shared" si="10"/>
        <v>1.7899999999999998E-5</v>
      </c>
      <c r="Z26" s="386">
        <f t="shared" si="11"/>
        <v>0</v>
      </c>
      <c r="AA26" s="386">
        <f t="shared" si="12"/>
        <v>1.212858E-2</v>
      </c>
    </row>
    <row r="27" spans="1:27" x14ac:dyDescent="0.2">
      <c r="A27" s="394" t="s">
        <v>795</v>
      </c>
      <c r="B27" s="263">
        <v>68</v>
      </c>
      <c r="C27" s="263">
        <v>1</v>
      </c>
      <c r="D27" s="389">
        <v>7.0000000000000009</v>
      </c>
      <c r="E27" s="389">
        <v>4</v>
      </c>
      <c r="F27" s="263">
        <v>20</v>
      </c>
      <c r="G27" s="263">
        <v>50.000000000000007</v>
      </c>
      <c r="H27" s="263">
        <v>30</v>
      </c>
      <c r="I27" s="263">
        <v>15</v>
      </c>
      <c r="J27" s="263">
        <v>3.0000000000000004</v>
      </c>
      <c r="K27" s="389">
        <v>0.1</v>
      </c>
      <c r="L27" s="263">
        <v>0</v>
      </c>
      <c r="M27" s="263">
        <v>43</v>
      </c>
      <c r="N27" s="387"/>
      <c r="O27" s="387" t="str">
        <f t="shared" si="13"/>
        <v>MM of Nenatal Start</v>
      </c>
      <c r="P27" s="386">
        <f t="shared" si="1"/>
        <v>0.68</v>
      </c>
      <c r="Q27" s="386">
        <f t="shared" si="2"/>
        <v>0.01</v>
      </c>
      <c r="R27" s="386">
        <f t="shared" si="3"/>
        <v>7.0000000000000007E-2</v>
      </c>
      <c r="S27" s="386">
        <f t="shared" si="4"/>
        <v>0.04</v>
      </c>
      <c r="T27" s="386">
        <f t="shared" si="5"/>
        <v>8.6956000000000012E-3</v>
      </c>
      <c r="U27" s="386">
        <f t="shared" si="6"/>
        <v>1.2820500000000002E-2</v>
      </c>
      <c r="V27" s="386">
        <f t="shared" si="7"/>
        <v>7.4700000000000001E-3</v>
      </c>
      <c r="W27" s="386">
        <f t="shared" si="8"/>
        <v>4.8433499999999997E-3</v>
      </c>
      <c r="X27" s="386">
        <f t="shared" si="9"/>
        <v>1.23423E-3</v>
      </c>
      <c r="Y27" s="386">
        <f t="shared" si="10"/>
        <v>1.7899999999999998E-5</v>
      </c>
      <c r="Z27" s="386">
        <f t="shared" si="11"/>
        <v>0</v>
      </c>
      <c r="AA27" s="386">
        <f t="shared" si="12"/>
        <v>1.212858E-2</v>
      </c>
    </row>
    <row r="28" spans="1:27" x14ac:dyDescent="0.2">
      <c r="A28" s="394" t="s">
        <v>796</v>
      </c>
      <c r="B28" s="263">
        <v>68</v>
      </c>
      <c r="C28" s="263">
        <v>1</v>
      </c>
      <c r="D28" s="389">
        <v>7.0000000000000009</v>
      </c>
      <c r="E28" s="389">
        <v>4</v>
      </c>
      <c r="F28" s="263">
        <v>20</v>
      </c>
      <c r="G28" s="263">
        <v>50.000000000000007</v>
      </c>
      <c r="H28" s="263">
        <v>30</v>
      </c>
      <c r="I28" s="263">
        <v>15</v>
      </c>
      <c r="J28" s="263">
        <v>3.0000000000000004</v>
      </c>
      <c r="K28" s="389">
        <v>0.1</v>
      </c>
      <c r="L28" s="263">
        <v>0</v>
      </c>
      <c r="M28" s="263">
        <v>43</v>
      </c>
      <c r="N28" s="387"/>
      <c r="O28" s="387" t="str">
        <f t="shared" si="13"/>
        <v>MM of Nutrilon Standaard 1</v>
      </c>
      <c r="P28" s="386">
        <f t="shared" si="1"/>
        <v>0.68</v>
      </c>
      <c r="Q28" s="386">
        <f t="shared" si="2"/>
        <v>0.01</v>
      </c>
      <c r="R28" s="386">
        <f t="shared" si="3"/>
        <v>7.0000000000000007E-2</v>
      </c>
      <c r="S28" s="386">
        <f t="shared" si="4"/>
        <v>0.04</v>
      </c>
      <c r="T28" s="386">
        <f t="shared" si="5"/>
        <v>8.6956000000000012E-3</v>
      </c>
      <c r="U28" s="386">
        <f t="shared" si="6"/>
        <v>1.2820500000000002E-2</v>
      </c>
      <c r="V28" s="386">
        <f t="shared" si="7"/>
        <v>7.4700000000000001E-3</v>
      </c>
      <c r="W28" s="386">
        <f t="shared" si="8"/>
        <v>4.8433499999999997E-3</v>
      </c>
      <c r="X28" s="386">
        <f t="shared" si="9"/>
        <v>1.23423E-3</v>
      </c>
      <c r="Y28" s="386">
        <f t="shared" si="10"/>
        <v>1.7899999999999998E-5</v>
      </c>
      <c r="Z28" s="386">
        <f t="shared" si="11"/>
        <v>0</v>
      </c>
      <c r="AA28" s="386">
        <f t="shared" si="12"/>
        <v>1.212858E-2</v>
      </c>
    </row>
    <row r="29" spans="1:27" x14ac:dyDescent="0.2">
      <c r="A29" s="394" t="s">
        <v>797</v>
      </c>
      <c r="B29" s="263">
        <v>68</v>
      </c>
      <c r="C29" s="263">
        <v>1</v>
      </c>
      <c r="D29" s="389">
        <v>7.0000000000000009</v>
      </c>
      <c r="E29" s="389">
        <v>4</v>
      </c>
      <c r="F29" s="263">
        <v>20</v>
      </c>
      <c r="G29" s="263">
        <v>50.000000000000007</v>
      </c>
      <c r="H29" s="263">
        <v>30</v>
      </c>
      <c r="I29" s="263">
        <v>15</v>
      </c>
      <c r="J29" s="263">
        <v>3.0000000000000004</v>
      </c>
      <c r="K29" s="389">
        <v>0.1</v>
      </c>
      <c r="L29" s="263">
        <v>0</v>
      </c>
      <c r="M29" s="263">
        <v>43</v>
      </c>
      <c r="N29" s="387"/>
      <c r="O29" s="387" t="str">
        <f t="shared" si="13"/>
        <v>MM of Nutrilon Standaard 2</v>
      </c>
      <c r="P29" s="386">
        <f t="shared" si="1"/>
        <v>0.68</v>
      </c>
      <c r="Q29" s="386">
        <f t="shared" si="2"/>
        <v>0.01</v>
      </c>
      <c r="R29" s="386">
        <f t="shared" si="3"/>
        <v>7.0000000000000007E-2</v>
      </c>
      <c r="S29" s="386">
        <f t="shared" si="4"/>
        <v>0.04</v>
      </c>
      <c r="T29" s="386">
        <f t="shared" si="5"/>
        <v>8.6956000000000012E-3</v>
      </c>
      <c r="U29" s="386">
        <f t="shared" si="6"/>
        <v>1.2820500000000002E-2</v>
      </c>
      <c r="V29" s="386">
        <f t="shared" si="7"/>
        <v>7.4700000000000001E-3</v>
      </c>
      <c r="W29" s="386">
        <f t="shared" si="8"/>
        <v>4.8433499999999997E-3</v>
      </c>
      <c r="X29" s="386">
        <f t="shared" si="9"/>
        <v>1.23423E-3</v>
      </c>
      <c r="Y29" s="386">
        <f t="shared" si="10"/>
        <v>1.7899999999999998E-5</v>
      </c>
      <c r="Z29" s="386">
        <f t="shared" si="11"/>
        <v>0</v>
      </c>
      <c r="AA29" s="386">
        <f t="shared" si="12"/>
        <v>1.212858E-2</v>
      </c>
    </row>
    <row r="30" spans="1:27" x14ac:dyDescent="0.2">
      <c r="A30" s="394" t="s">
        <v>798</v>
      </c>
      <c r="B30" s="263">
        <v>68</v>
      </c>
      <c r="C30" s="263">
        <v>1</v>
      </c>
      <c r="D30" s="389">
        <v>7.0000000000000009</v>
      </c>
      <c r="E30" s="389">
        <v>4</v>
      </c>
      <c r="F30" s="263">
        <v>20</v>
      </c>
      <c r="G30" s="263">
        <v>50.000000000000007</v>
      </c>
      <c r="H30" s="263">
        <v>30</v>
      </c>
      <c r="I30" s="263">
        <v>15</v>
      </c>
      <c r="J30" s="263">
        <v>3.0000000000000004</v>
      </c>
      <c r="K30" s="389">
        <v>0.1</v>
      </c>
      <c r="L30" s="263">
        <v>0</v>
      </c>
      <c r="M30" s="263">
        <v>43</v>
      </c>
      <c r="N30" s="387"/>
      <c r="O30" s="387" t="str">
        <f t="shared" si="13"/>
        <v>MM of Hypoallergeen</v>
      </c>
      <c r="P30" s="386">
        <f t="shared" si="1"/>
        <v>0.68</v>
      </c>
      <c r="Q30" s="386">
        <f t="shared" si="2"/>
        <v>0.01</v>
      </c>
      <c r="R30" s="386">
        <f t="shared" si="3"/>
        <v>7.0000000000000007E-2</v>
      </c>
      <c r="S30" s="386">
        <f t="shared" si="4"/>
        <v>0.04</v>
      </c>
      <c r="T30" s="386">
        <f t="shared" si="5"/>
        <v>8.6956000000000012E-3</v>
      </c>
      <c r="U30" s="386">
        <f t="shared" si="6"/>
        <v>1.2820500000000002E-2</v>
      </c>
      <c r="V30" s="386">
        <f t="shared" si="7"/>
        <v>7.4700000000000001E-3</v>
      </c>
      <c r="W30" s="386">
        <f t="shared" si="8"/>
        <v>4.8433499999999997E-3</v>
      </c>
      <c r="X30" s="386">
        <f t="shared" si="9"/>
        <v>1.23423E-3</v>
      </c>
      <c r="Y30" s="386">
        <f t="shared" si="10"/>
        <v>1.7899999999999998E-5</v>
      </c>
      <c r="Z30" s="386">
        <f t="shared" si="11"/>
        <v>0</v>
      </c>
      <c r="AA30" s="386">
        <f t="shared" si="12"/>
        <v>1.212858E-2</v>
      </c>
    </row>
    <row r="31" spans="1:27" x14ac:dyDescent="0.2">
      <c r="A31" s="394" t="s">
        <v>799</v>
      </c>
      <c r="B31" s="263">
        <v>68</v>
      </c>
      <c r="C31" s="263">
        <v>1</v>
      </c>
      <c r="D31" s="389">
        <v>7.0000000000000009</v>
      </c>
      <c r="E31" s="389">
        <v>4</v>
      </c>
      <c r="F31" s="263">
        <v>20</v>
      </c>
      <c r="G31" s="263">
        <v>50.000000000000007</v>
      </c>
      <c r="H31" s="263">
        <v>30</v>
      </c>
      <c r="I31" s="263">
        <v>15</v>
      </c>
      <c r="J31" s="263">
        <v>3.0000000000000004</v>
      </c>
      <c r="K31" s="389">
        <v>0.1</v>
      </c>
      <c r="L31" s="263">
        <v>0</v>
      </c>
      <c r="M31" s="263">
        <v>43</v>
      </c>
      <c r="N31" s="387"/>
      <c r="O31" s="387" t="str">
        <f t="shared" si="13"/>
        <v>MM of Neocate</v>
      </c>
      <c r="P31" s="386">
        <f t="shared" si="1"/>
        <v>0.68</v>
      </c>
      <c r="Q31" s="386">
        <f t="shared" si="2"/>
        <v>0.01</v>
      </c>
      <c r="R31" s="386">
        <f t="shared" si="3"/>
        <v>7.0000000000000007E-2</v>
      </c>
      <c r="S31" s="386">
        <f t="shared" si="4"/>
        <v>0.04</v>
      </c>
      <c r="T31" s="386">
        <f t="shared" si="5"/>
        <v>8.6956000000000012E-3</v>
      </c>
      <c r="U31" s="386">
        <f t="shared" si="6"/>
        <v>1.2820500000000002E-2</v>
      </c>
      <c r="V31" s="386">
        <f t="shared" si="7"/>
        <v>7.4700000000000001E-3</v>
      </c>
      <c r="W31" s="386">
        <f t="shared" si="8"/>
        <v>4.8433499999999997E-3</v>
      </c>
      <c r="X31" s="386">
        <f t="shared" si="9"/>
        <v>1.23423E-3</v>
      </c>
      <c r="Y31" s="386">
        <f t="shared" si="10"/>
        <v>1.7899999999999998E-5</v>
      </c>
      <c r="Z31" s="386">
        <f t="shared" si="11"/>
        <v>0</v>
      </c>
      <c r="AA31" s="386">
        <f t="shared" si="12"/>
        <v>1.212858E-2</v>
      </c>
    </row>
    <row r="32" spans="1:27" x14ac:dyDescent="0.2">
      <c r="A32" s="394" t="s">
        <v>802</v>
      </c>
      <c r="B32" s="394">
        <v>66.3</v>
      </c>
      <c r="C32" s="394">
        <v>1.5</v>
      </c>
      <c r="D32" s="394">
        <v>7</v>
      </c>
      <c r="E32" s="394">
        <v>3.6</v>
      </c>
      <c r="F32" s="394">
        <v>20.3</v>
      </c>
      <c r="G32" s="394">
        <v>67</v>
      </c>
      <c r="H32" s="394">
        <v>53.3</v>
      </c>
      <c r="I32" s="394">
        <v>29.2</v>
      </c>
      <c r="J32" s="394">
        <v>0.08</v>
      </c>
      <c r="K32" s="394">
        <v>0.51</v>
      </c>
      <c r="L32" s="394">
        <v>1.9</v>
      </c>
      <c r="M32" s="263">
        <v>40</v>
      </c>
      <c r="N32" s="387"/>
      <c r="O32" s="387" t="str">
        <f t="shared" si="13"/>
        <v>Nutrilon Caprilon</v>
      </c>
      <c r="P32" s="386">
        <f t="shared" si="1"/>
        <v>0.66299999999999992</v>
      </c>
      <c r="Q32" s="386">
        <f t="shared" si="2"/>
        <v>1.4999999999999999E-2</v>
      </c>
      <c r="R32" s="386">
        <f t="shared" si="3"/>
        <v>7.0000000000000007E-2</v>
      </c>
      <c r="S32" s="386">
        <f t="shared" si="4"/>
        <v>3.6000000000000004E-2</v>
      </c>
      <c r="T32" s="386">
        <f t="shared" si="5"/>
        <v>8.826034E-3</v>
      </c>
      <c r="U32" s="386">
        <f t="shared" si="6"/>
        <v>1.7179470000000002E-2</v>
      </c>
      <c r="V32" s="386">
        <f t="shared" si="7"/>
        <v>1.3271699999999999E-2</v>
      </c>
      <c r="W32" s="386">
        <f t="shared" si="8"/>
        <v>9.4283879999999994E-3</v>
      </c>
      <c r="X32" s="386">
        <f t="shared" si="9"/>
        <v>3.2912799999999994E-5</v>
      </c>
      <c r="Y32" s="386">
        <f t="shared" si="10"/>
        <v>9.1290000000000002E-5</v>
      </c>
      <c r="Z32" s="386">
        <f t="shared" si="11"/>
        <v>0.76</v>
      </c>
      <c r="AA32" s="386">
        <f t="shared" si="12"/>
        <v>1.12824E-2</v>
      </c>
    </row>
    <row r="33" spans="1:27" x14ac:dyDescent="0.2">
      <c r="A33" s="263" t="s">
        <v>733</v>
      </c>
      <c r="B33" s="394">
        <v>66</v>
      </c>
      <c r="C33" s="394">
        <v>1.4</v>
      </c>
      <c r="D33" s="394">
        <v>7.2</v>
      </c>
      <c r="E33" s="394">
        <v>3.5</v>
      </c>
      <c r="F33" s="394">
        <v>20</v>
      </c>
      <c r="G33" s="394">
        <v>65</v>
      </c>
      <c r="H33" s="394">
        <v>50</v>
      </c>
      <c r="I33" s="394">
        <v>30</v>
      </c>
      <c r="J33" s="394">
        <v>6</v>
      </c>
      <c r="K33" s="394">
        <v>0.78</v>
      </c>
      <c r="L33" s="394">
        <v>1.2</v>
      </c>
      <c r="M33" s="394">
        <v>42</v>
      </c>
      <c r="O33" s="387" t="str">
        <f t="shared" si="13"/>
        <v>Hero Baby 1 NS Standaard</v>
      </c>
      <c r="P33" s="386">
        <f t="shared" si="1"/>
        <v>0.66</v>
      </c>
      <c r="Q33" s="386">
        <f t="shared" si="2"/>
        <v>1.3999999999999999E-2</v>
      </c>
      <c r="R33" s="386">
        <f t="shared" si="3"/>
        <v>7.2000000000000008E-2</v>
      </c>
      <c r="S33" s="386">
        <f t="shared" si="4"/>
        <v>3.5000000000000003E-2</v>
      </c>
      <c r="T33" s="386">
        <f t="shared" si="5"/>
        <v>8.6956000000000012E-3</v>
      </c>
      <c r="U33" s="386">
        <f t="shared" si="6"/>
        <v>1.6666650000000002E-2</v>
      </c>
      <c r="V33" s="386">
        <f t="shared" si="7"/>
        <v>1.2449999999999999E-2</v>
      </c>
      <c r="W33" s="386">
        <f t="shared" si="8"/>
        <v>9.6866999999999995E-3</v>
      </c>
      <c r="X33" s="386">
        <f t="shared" si="9"/>
        <v>2.46846E-3</v>
      </c>
      <c r="Y33" s="386">
        <f t="shared" si="10"/>
        <v>1.3961999999999999E-4</v>
      </c>
      <c r="Z33" s="386">
        <f t="shared" si="11"/>
        <v>0.48</v>
      </c>
      <c r="AA33" s="386">
        <f t="shared" si="12"/>
        <v>1.1846520000000001E-2</v>
      </c>
    </row>
    <row r="34" spans="1:27" x14ac:dyDescent="0.2">
      <c r="A34" s="263" t="s">
        <v>734</v>
      </c>
      <c r="B34" s="394">
        <v>70</v>
      </c>
      <c r="C34" s="394">
        <v>1.6</v>
      </c>
      <c r="D34" s="394">
        <v>9.1999999999999993</v>
      </c>
      <c r="E34" s="394">
        <v>2.9</v>
      </c>
      <c r="F34" s="394">
        <v>24</v>
      </c>
      <c r="G34" s="394">
        <v>83</v>
      </c>
      <c r="H34" s="394">
        <v>72</v>
      </c>
      <c r="I34" s="394">
        <v>53</v>
      </c>
      <c r="J34" s="394">
        <v>7.8</v>
      </c>
      <c r="K34" s="394">
        <v>1.1000000000000001</v>
      </c>
      <c r="L34" s="394">
        <v>1.3</v>
      </c>
      <c r="M34" s="394">
        <v>45</v>
      </c>
      <c r="O34" s="387" t="str">
        <f t="shared" si="13"/>
        <v>Hero Baby 2 NS Standaard</v>
      </c>
      <c r="P34" s="386">
        <f t="shared" si="1"/>
        <v>0.7</v>
      </c>
      <c r="Q34" s="386">
        <f t="shared" si="2"/>
        <v>1.6E-2</v>
      </c>
      <c r="R34" s="386">
        <f t="shared" si="3"/>
        <v>9.1999999999999998E-2</v>
      </c>
      <c r="S34" s="386">
        <f t="shared" si="4"/>
        <v>2.8999999999999998E-2</v>
      </c>
      <c r="T34" s="386">
        <f t="shared" si="5"/>
        <v>1.043472E-2</v>
      </c>
      <c r="U34" s="386">
        <f t="shared" si="6"/>
        <v>2.128203E-2</v>
      </c>
      <c r="V34" s="386">
        <f t="shared" si="7"/>
        <v>1.7927999999999999E-2</v>
      </c>
      <c r="W34" s="386">
        <f t="shared" si="8"/>
        <v>1.711317E-2</v>
      </c>
      <c r="X34" s="386">
        <f t="shared" si="9"/>
        <v>3.2089979999999994E-3</v>
      </c>
      <c r="Y34" s="386">
        <f t="shared" si="10"/>
        <v>1.9689999999999999E-4</v>
      </c>
      <c r="Z34" s="386">
        <f t="shared" si="11"/>
        <v>0.52</v>
      </c>
      <c r="AA34" s="386">
        <f t="shared" si="12"/>
        <v>1.2692699999999999E-2</v>
      </c>
    </row>
    <row r="35" spans="1:27" x14ac:dyDescent="0.2">
      <c r="A35" s="263" t="s">
        <v>735</v>
      </c>
      <c r="B35" s="394">
        <v>65</v>
      </c>
      <c r="C35" s="394">
        <v>1.4</v>
      </c>
      <c r="D35" s="394">
        <v>6.8</v>
      </c>
      <c r="E35" s="394">
        <v>3.5</v>
      </c>
      <c r="F35" s="394">
        <v>16</v>
      </c>
      <c r="G35" s="394">
        <v>60.1</v>
      </c>
      <c r="H35" s="394">
        <v>43.9</v>
      </c>
      <c r="I35" s="394">
        <v>26</v>
      </c>
      <c r="J35" s="394">
        <v>4</v>
      </c>
      <c r="K35" s="394">
        <v>0.4</v>
      </c>
      <c r="L35" s="394">
        <v>1.2</v>
      </c>
      <c r="M35" s="394">
        <v>40</v>
      </c>
      <c r="O35" s="387" t="str">
        <f t="shared" si="13"/>
        <v>Hero Baby 1 NS Comfort</v>
      </c>
      <c r="P35" s="386">
        <f t="shared" si="1"/>
        <v>0.65</v>
      </c>
      <c r="Q35" s="386">
        <f t="shared" si="2"/>
        <v>1.3999999999999999E-2</v>
      </c>
      <c r="R35" s="386">
        <f t="shared" si="3"/>
        <v>6.8000000000000005E-2</v>
      </c>
      <c r="S35" s="386">
        <f t="shared" si="4"/>
        <v>3.5000000000000003E-2</v>
      </c>
      <c r="T35" s="386">
        <f t="shared" si="5"/>
        <v>6.9564800000000001E-3</v>
      </c>
      <c r="U35" s="386">
        <f t="shared" si="6"/>
        <v>1.5410241E-2</v>
      </c>
      <c r="V35" s="386">
        <f t="shared" si="7"/>
        <v>1.0931099999999997E-2</v>
      </c>
      <c r="W35" s="386">
        <f t="shared" si="8"/>
        <v>8.3951400000000006E-3</v>
      </c>
      <c r="X35" s="386">
        <f t="shared" si="9"/>
        <v>1.6456399999999999E-3</v>
      </c>
      <c r="Y35" s="386">
        <f t="shared" si="10"/>
        <v>7.1599999999999992E-5</v>
      </c>
      <c r="Z35" s="386">
        <f t="shared" si="11"/>
        <v>0.48</v>
      </c>
      <c r="AA35" s="386">
        <f t="shared" si="12"/>
        <v>1.12824E-2</v>
      </c>
    </row>
    <row r="36" spans="1:27" x14ac:dyDescent="0.2">
      <c r="A36" s="263" t="s">
        <v>736</v>
      </c>
      <c r="B36" s="394">
        <v>62</v>
      </c>
      <c r="C36" s="394">
        <v>1.3</v>
      </c>
      <c r="D36" s="394">
        <v>6.4</v>
      </c>
      <c r="E36" s="394">
        <v>3.3</v>
      </c>
      <c r="F36" s="394">
        <v>15</v>
      </c>
      <c r="G36" s="394">
        <v>56.8</v>
      </c>
      <c r="H36" s="394">
        <v>41.6</v>
      </c>
      <c r="I36" s="394">
        <v>25</v>
      </c>
      <c r="J36" s="394">
        <v>3.79</v>
      </c>
      <c r="K36" s="394">
        <v>1</v>
      </c>
      <c r="L36" s="394">
        <v>1.1000000000000001</v>
      </c>
      <c r="M36" s="394">
        <v>37.9</v>
      </c>
      <c r="O36" s="387" t="str">
        <f t="shared" si="13"/>
        <v>Hero Baby 2 NS Comfort</v>
      </c>
      <c r="P36" s="386">
        <f t="shared" si="1"/>
        <v>0.62</v>
      </c>
      <c r="Q36" s="386">
        <f t="shared" si="2"/>
        <v>1.3000000000000001E-2</v>
      </c>
      <c r="R36" s="386">
        <f t="shared" si="3"/>
        <v>6.4000000000000001E-2</v>
      </c>
      <c r="S36" s="386">
        <f t="shared" si="4"/>
        <v>3.3000000000000002E-2</v>
      </c>
      <c r="T36" s="386">
        <f t="shared" si="5"/>
        <v>6.5217000000000001E-3</v>
      </c>
      <c r="U36" s="386">
        <f t="shared" si="6"/>
        <v>1.4564087999999999E-2</v>
      </c>
      <c r="V36" s="386">
        <f t="shared" si="7"/>
        <v>1.0358399999999999E-2</v>
      </c>
      <c r="W36" s="386">
        <f t="shared" si="8"/>
        <v>8.0722499999999996E-3</v>
      </c>
      <c r="X36" s="386">
        <f t="shared" si="9"/>
        <v>1.5592439E-3</v>
      </c>
      <c r="Y36" s="386">
        <f t="shared" si="10"/>
        <v>1.7899999999999999E-4</v>
      </c>
      <c r="Z36" s="386">
        <f t="shared" si="11"/>
        <v>0.44</v>
      </c>
      <c r="AA36" s="386">
        <f t="shared" si="12"/>
        <v>1.0690073999999999E-2</v>
      </c>
    </row>
    <row r="37" spans="1:27" x14ac:dyDescent="0.2">
      <c r="A37" s="263" t="s">
        <v>803</v>
      </c>
      <c r="B37" s="394">
        <v>66</v>
      </c>
      <c r="C37" s="394">
        <v>2</v>
      </c>
      <c r="D37" s="394">
        <v>6.6</v>
      </c>
      <c r="E37" s="394">
        <v>3.5</v>
      </c>
      <c r="F37" s="394">
        <v>22</v>
      </c>
      <c r="G37" s="394">
        <v>69.3</v>
      </c>
      <c r="H37" s="394">
        <v>66.3</v>
      </c>
      <c r="I37" s="394">
        <v>39</v>
      </c>
      <c r="J37" s="394">
        <v>6.58</v>
      </c>
      <c r="K37" s="394">
        <v>0.87</v>
      </c>
      <c r="L37" s="394">
        <v>1.3</v>
      </c>
      <c r="M37" s="394">
        <v>45.2</v>
      </c>
      <c r="O37" s="387" t="str">
        <f t="shared" si="13"/>
        <v>Hero Baby 1 NS Prematuur</v>
      </c>
      <c r="P37" s="386">
        <f t="shared" si="1"/>
        <v>0.66</v>
      </c>
      <c r="Q37" s="386">
        <f t="shared" si="2"/>
        <v>0.02</v>
      </c>
      <c r="R37" s="386">
        <f t="shared" si="3"/>
        <v>6.6000000000000003E-2</v>
      </c>
      <c r="S37" s="386">
        <f t="shared" si="4"/>
        <v>3.5000000000000003E-2</v>
      </c>
      <c r="T37" s="386">
        <f t="shared" si="5"/>
        <v>9.5651599999999996E-3</v>
      </c>
      <c r="U37" s="386">
        <f t="shared" si="6"/>
        <v>1.7769212999999999E-2</v>
      </c>
      <c r="V37" s="386">
        <f t="shared" si="7"/>
        <v>1.6508699999999998E-2</v>
      </c>
      <c r="W37" s="386">
        <f t="shared" si="8"/>
        <v>1.259271E-2</v>
      </c>
      <c r="X37" s="386">
        <f t="shared" si="9"/>
        <v>2.7070778000000003E-3</v>
      </c>
      <c r="Y37" s="386">
        <f t="shared" si="10"/>
        <v>1.5573E-4</v>
      </c>
      <c r="Z37" s="386">
        <f t="shared" si="11"/>
        <v>0.52</v>
      </c>
      <c r="AA37" s="386">
        <f t="shared" si="12"/>
        <v>1.2749112E-2</v>
      </c>
    </row>
    <row r="38" spans="1:27" x14ac:dyDescent="0.2">
      <c r="A38" s="263" t="s">
        <v>804</v>
      </c>
      <c r="B38" s="394">
        <v>79</v>
      </c>
      <c r="C38" s="394">
        <v>2.6</v>
      </c>
      <c r="D38" s="394">
        <v>8.3000000000000007</v>
      </c>
      <c r="E38" s="394">
        <v>4</v>
      </c>
      <c r="F38" s="394">
        <v>51</v>
      </c>
      <c r="G38" s="394">
        <v>88</v>
      </c>
      <c r="H38" s="394">
        <v>96</v>
      </c>
      <c r="I38" s="394">
        <v>54.4</v>
      </c>
      <c r="J38" s="394">
        <v>8.9</v>
      </c>
      <c r="K38" s="394">
        <v>1.8</v>
      </c>
      <c r="L38" s="394">
        <v>1.9</v>
      </c>
      <c r="M38" s="394">
        <v>76.8</v>
      </c>
      <c r="O38" s="387" t="str">
        <f t="shared" si="13"/>
        <v>Hero Baby Prematuur Start</v>
      </c>
      <c r="P38" s="386">
        <f t="shared" si="1"/>
        <v>0.79</v>
      </c>
      <c r="Q38" s="386">
        <f t="shared" si="2"/>
        <v>2.6000000000000002E-2</v>
      </c>
      <c r="R38" s="386">
        <f t="shared" si="3"/>
        <v>8.3000000000000004E-2</v>
      </c>
      <c r="S38" s="386">
        <f t="shared" si="4"/>
        <v>0.04</v>
      </c>
      <c r="T38" s="386">
        <f t="shared" si="5"/>
        <v>2.2173780000000001E-2</v>
      </c>
      <c r="U38" s="386">
        <f t="shared" si="6"/>
        <v>2.256408E-2</v>
      </c>
      <c r="V38" s="386">
        <f t="shared" si="7"/>
        <v>2.3903999999999995E-2</v>
      </c>
      <c r="W38" s="386">
        <f t="shared" si="8"/>
        <v>1.7565215999999998E-2</v>
      </c>
      <c r="X38" s="386">
        <f t="shared" si="9"/>
        <v>3.6615490000000001E-3</v>
      </c>
      <c r="Y38" s="386">
        <f t="shared" si="10"/>
        <v>3.2219999999999997E-4</v>
      </c>
      <c r="Z38" s="386">
        <f t="shared" si="11"/>
        <v>0.76</v>
      </c>
      <c r="AA38" s="386">
        <f t="shared" si="12"/>
        <v>2.1662207999999995E-2</v>
      </c>
    </row>
    <row r="39" spans="1:27" x14ac:dyDescent="0.2">
      <c r="A39" s="387" t="s">
        <v>4061</v>
      </c>
      <c r="B39" s="386">
        <v>0</v>
      </c>
      <c r="C39" s="386">
        <v>0</v>
      </c>
      <c r="D39" s="386">
        <v>0</v>
      </c>
      <c r="E39" s="386">
        <v>0</v>
      </c>
      <c r="F39" s="386">
        <v>0</v>
      </c>
      <c r="G39" s="386">
        <v>0</v>
      </c>
      <c r="H39" s="386">
        <v>0</v>
      </c>
      <c r="I39" s="386">
        <v>0</v>
      </c>
      <c r="J39" s="386">
        <v>0</v>
      </c>
      <c r="K39" s="386">
        <v>0</v>
      </c>
      <c r="L39" s="386">
        <v>0</v>
      </c>
      <c r="M39" s="386">
        <v>0</v>
      </c>
      <c r="O39" s="387" t="str">
        <f t="shared" si="13"/>
        <v>Speciale Voeding</v>
      </c>
      <c r="P39" s="386">
        <f t="shared" ref="P39" si="14">VLOOKUP(P$3,Tbl_Glob_Conversie,2,FALSE)*B39/100</f>
        <v>0</v>
      </c>
      <c r="Q39" s="386">
        <f t="shared" ref="Q39" si="15">VLOOKUP(Q$3,Tbl_Glob_Conversie,2,FALSE)*C39/100</f>
        <v>0</v>
      </c>
      <c r="R39" s="386">
        <f t="shared" ref="R39" si="16">VLOOKUP(R$3,Tbl_Glob_Conversie,2,FALSE)*D39/100</f>
        <v>0</v>
      </c>
      <c r="S39" s="386">
        <f t="shared" ref="S39" si="17">VLOOKUP(S$3,Tbl_Glob_Conversie,2,FALSE)*E39/100</f>
        <v>0</v>
      </c>
      <c r="T39" s="386">
        <f t="shared" ref="T39" si="18">VLOOKUP(T$3,Tbl_Glob_Conversie,2,FALSE)*F39/100</f>
        <v>0</v>
      </c>
      <c r="U39" s="386">
        <f t="shared" ref="U39" si="19">VLOOKUP(U$3,Tbl_Glob_Conversie,2,FALSE)*G39/100</f>
        <v>0</v>
      </c>
      <c r="V39" s="386">
        <f t="shared" ref="V39" si="20">VLOOKUP(V$3,Tbl_Glob_Conversie,2,FALSE)*H39/100</f>
        <v>0</v>
      </c>
      <c r="W39" s="386">
        <f t="shared" ref="W39" si="21">VLOOKUP(W$3,Tbl_Glob_Conversie,2,FALSE)*I39/100</f>
        <v>0</v>
      </c>
      <c r="X39" s="386">
        <f t="shared" ref="X39" si="22">VLOOKUP(X$3,Tbl_Glob_Conversie,2,FALSE)*J39/100</f>
        <v>0</v>
      </c>
      <c r="Y39" s="386">
        <f t="shared" ref="Y39" si="23">VLOOKUP(Y$3,Tbl_Glob_Conversie,2,FALSE)*K39/100</f>
        <v>0</v>
      </c>
      <c r="Z39" s="386">
        <f t="shared" ref="Z39" si="24">VLOOKUP(Z$3,Tbl_Glob_Conversie,2,FALSE)*L39/100</f>
        <v>0</v>
      </c>
      <c r="AA39" s="386">
        <f t="shared" ref="AA39" si="25">VLOOKUP(AA$3,Tbl_Glob_Conversie,2,FALSE)*M39/100</f>
        <v>0</v>
      </c>
    </row>
    <row r="40" spans="1:27" x14ac:dyDescent="0.2">
      <c r="A40" s="387"/>
      <c r="R40" s="387"/>
    </row>
    <row r="41" spans="1:27" x14ac:dyDescent="0.2">
      <c r="A41" s="387"/>
    </row>
    <row r="42" spans="1:27" x14ac:dyDescent="0.2">
      <c r="A42" s="387"/>
    </row>
    <row r="43" spans="1:27" x14ac:dyDescent="0.2">
      <c r="A43" s="385" t="s">
        <v>4726</v>
      </c>
      <c r="B43" s="485" t="s">
        <v>4063</v>
      </c>
      <c r="O43" s="385" t="s">
        <v>4049</v>
      </c>
      <c r="P43" s="485" t="s">
        <v>4728</v>
      </c>
    </row>
    <row r="44" spans="1:27" x14ac:dyDescent="0.2">
      <c r="C44" s="387" t="s">
        <v>29</v>
      </c>
      <c r="D44" s="387" t="s">
        <v>29</v>
      </c>
      <c r="E44" s="387" t="s">
        <v>29</v>
      </c>
      <c r="F44" s="387" t="s">
        <v>118</v>
      </c>
      <c r="G44" s="387" t="s">
        <v>118</v>
      </c>
      <c r="H44" s="387" t="s">
        <v>118</v>
      </c>
      <c r="I44" s="387" t="s">
        <v>118</v>
      </c>
      <c r="J44" s="387" t="s">
        <v>118</v>
      </c>
      <c r="K44" s="387" t="s">
        <v>118</v>
      </c>
      <c r="L44" s="387" t="s">
        <v>725</v>
      </c>
      <c r="M44" s="387" t="s">
        <v>118</v>
      </c>
      <c r="N44" s="387"/>
      <c r="O44" s="388"/>
      <c r="P44" s="387">
        <v>2</v>
      </c>
      <c r="Q44" s="387">
        <v>3</v>
      </c>
      <c r="R44" s="387">
        <v>4</v>
      </c>
      <c r="S44" s="387">
        <v>5</v>
      </c>
      <c r="T44" s="387">
        <v>6</v>
      </c>
      <c r="U44" s="387">
        <v>7</v>
      </c>
      <c r="V44" s="387">
        <v>8</v>
      </c>
      <c r="W44" s="387">
        <v>9</v>
      </c>
      <c r="X44" s="387">
        <v>10</v>
      </c>
      <c r="Y44" s="387">
        <v>11</v>
      </c>
      <c r="Z44" s="387">
        <v>12</v>
      </c>
      <c r="AA44" s="387">
        <v>13</v>
      </c>
    </row>
    <row r="45" spans="1:27" x14ac:dyDescent="0.2">
      <c r="A45" s="387"/>
      <c r="B45" s="387" t="s">
        <v>175</v>
      </c>
      <c r="C45" s="387" t="s">
        <v>169</v>
      </c>
      <c r="D45" s="387" t="s">
        <v>407</v>
      </c>
      <c r="E45" s="387" t="s">
        <v>408</v>
      </c>
      <c r="F45" s="387" t="s">
        <v>170</v>
      </c>
      <c r="G45" s="387" t="s">
        <v>171</v>
      </c>
      <c r="H45" s="387" t="s">
        <v>172</v>
      </c>
      <c r="I45" s="387" t="s">
        <v>406</v>
      </c>
      <c r="J45" s="387" t="s">
        <v>173</v>
      </c>
      <c r="K45" s="387" t="s">
        <v>723</v>
      </c>
      <c r="L45" s="387" t="s">
        <v>724</v>
      </c>
      <c r="M45" s="387" t="s">
        <v>449</v>
      </c>
      <c r="N45" s="387"/>
      <c r="O45" s="387"/>
      <c r="P45" s="387" t="s">
        <v>175</v>
      </c>
      <c r="Q45" s="387" t="s">
        <v>144</v>
      </c>
      <c r="R45" s="387" t="s">
        <v>176</v>
      </c>
      <c r="S45" s="387" t="s">
        <v>145</v>
      </c>
      <c r="T45" s="387" t="s">
        <v>170</v>
      </c>
      <c r="U45" s="387" t="s">
        <v>171</v>
      </c>
      <c r="V45" s="387" t="s">
        <v>172</v>
      </c>
      <c r="W45" s="387" t="s">
        <v>177</v>
      </c>
      <c r="X45" s="387" t="s">
        <v>173</v>
      </c>
      <c r="Y45" s="387" t="s">
        <v>723</v>
      </c>
      <c r="Z45" s="387" t="s">
        <v>724</v>
      </c>
      <c r="AA45" s="387" t="s">
        <v>449</v>
      </c>
    </row>
    <row r="46" spans="1:27" x14ac:dyDescent="0.2">
      <c r="A46" s="387"/>
      <c r="B46" s="387" t="s">
        <v>175</v>
      </c>
      <c r="C46" s="387" t="s">
        <v>144</v>
      </c>
      <c r="D46" s="387" t="s">
        <v>176</v>
      </c>
      <c r="E46" s="387" t="s">
        <v>145</v>
      </c>
      <c r="F46" s="387" t="s">
        <v>170</v>
      </c>
      <c r="G46" s="387" t="s">
        <v>171</v>
      </c>
      <c r="H46" s="387" t="s">
        <v>172</v>
      </c>
      <c r="I46" s="387" t="s">
        <v>177</v>
      </c>
      <c r="J46" s="387" t="s">
        <v>173</v>
      </c>
      <c r="K46" s="387" t="s">
        <v>723</v>
      </c>
      <c r="L46" s="387" t="s">
        <v>724</v>
      </c>
      <c r="M46" s="387" t="s">
        <v>449</v>
      </c>
      <c r="N46" s="387"/>
      <c r="O46" s="387"/>
      <c r="P46" s="386" t="str">
        <f t="shared" ref="P46:AA46" si="26">VLOOKUP(P45,Tbl_Glob_Conversie,3,FALSE)</f>
        <v>kcal</v>
      </c>
      <c r="Q46" s="386" t="str">
        <f t="shared" si="26"/>
        <v>gram</v>
      </c>
      <c r="R46" s="386" t="str">
        <f t="shared" si="26"/>
        <v>gram</v>
      </c>
      <c r="S46" s="386" t="str">
        <f t="shared" si="26"/>
        <v>gram</v>
      </c>
      <c r="T46" s="386" t="str">
        <f t="shared" si="26"/>
        <v>mmol</v>
      </c>
      <c r="U46" s="386" t="str">
        <f t="shared" si="26"/>
        <v>mmol</v>
      </c>
      <c r="V46" s="386" t="str">
        <f t="shared" si="26"/>
        <v>mmol</v>
      </c>
      <c r="W46" s="386" t="str">
        <f t="shared" si="26"/>
        <v>mmol</v>
      </c>
      <c r="X46" s="386" t="str">
        <f t="shared" si="26"/>
        <v>mmol</v>
      </c>
      <c r="Y46" s="386" t="str">
        <f t="shared" si="26"/>
        <v>mmol</v>
      </c>
      <c r="Z46" s="386" t="str">
        <f t="shared" si="26"/>
        <v>IE</v>
      </c>
      <c r="AA46" s="386" t="str">
        <f t="shared" si="26"/>
        <v>mmol</v>
      </c>
    </row>
    <row r="47" spans="1:27" x14ac:dyDescent="0.2">
      <c r="A47" s="387"/>
    </row>
    <row r="48" spans="1:27" x14ac:dyDescent="0.2">
      <c r="A48" s="263" t="s">
        <v>455</v>
      </c>
      <c r="B48" s="263">
        <v>347</v>
      </c>
      <c r="C48" s="263">
        <v>25.2</v>
      </c>
      <c r="D48" s="389">
        <v>62.2</v>
      </c>
      <c r="E48" s="389">
        <v>0</v>
      </c>
      <c r="F48" s="263">
        <v>803</v>
      </c>
      <c r="G48" s="263">
        <v>528</v>
      </c>
      <c r="H48" s="263">
        <v>1491</v>
      </c>
      <c r="I48" s="263">
        <v>872</v>
      </c>
      <c r="J48" s="263">
        <v>115</v>
      </c>
      <c r="K48" s="389">
        <v>0</v>
      </c>
      <c r="L48" s="263">
        <v>115</v>
      </c>
      <c r="M48" s="263">
        <v>573</v>
      </c>
      <c r="N48" s="387"/>
      <c r="O48" s="387" t="str">
        <f>A48</f>
        <v>Nutrilon Nenatal BMF</v>
      </c>
      <c r="P48" s="386">
        <f t="shared" ref="P48:P70" si="27">VLOOKUP(P$45,Tbl_Glob_Conversie,2,FALSE)*B48/100</f>
        <v>3.47</v>
      </c>
      <c r="Q48" s="386">
        <f t="shared" ref="Q48:Q70" si="28">VLOOKUP(Q$45,Tbl_Glob_Conversie,2,FALSE)*C48/100</f>
        <v>0.252</v>
      </c>
      <c r="R48" s="386">
        <f t="shared" ref="R48:R70" si="29">VLOOKUP(R$45,Tbl_Glob_Conversie,2,FALSE)*D48/100</f>
        <v>0.622</v>
      </c>
      <c r="S48" s="386">
        <f t="shared" ref="S48:S70" si="30">VLOOKUP(S$45,Tbl_Glob_Conversie,2,FALSE)*E48/100</f>
        <v>0</v>
      </c>
      <c r="T48" s="386">
        <f t="shared" ref="T48:T70" si="31">VLOOKUP(T$45,Tbl_Glob_Conversie,2,FALSE)*F48/100</f>
        <v>0.34912834000000004</v>
      </c>
      <c r="U48" s="386">
        <f t="shared" ref="U48:U70" si="32">VLOOKUP(U$45,Tbl_Glob_Conversie,2,FALSE)*G48/100</f>
        <v>0.13538448</v>
      </c>
      <c r="V48" s="386">
        <f t="shared" ref="V48:V70" si="33">VLOOKUP(V$45,Tbl_Glob_Conversie,2,FALSE)*H48/100</f>
        <v>0.37125899999999995</v>
      </c>
      <c r="W48" s="386">
        <f t="shared" ref="W48:W70" si="34">VLOOKUP(W$45,Tbl_Glob_Conversie,2,FALSE)*I48/100</f>
        <v>0.28156007999999999</v>
      </c>
      <c r="X48" s="386">
        <f t="shared" ref="X48:X70" si="35">VLOOKUP(X$45,Tbl_Glob_Conversie,2,FALSE)*J48/100</f>
        <v>4.7312149999999997E-2</v>
      </c>
      <c r="Y48" s="386">
        <f t="shared" ref="Y48:Y70" si="36">VLOOKUP(Y$45,Tbl_Glob_Conversie,2,FALSE)*K48/100</f>
        <v>0</v>
      </c>
      <c r="Z48" s="386">
        <f t="shared" ref="Z48:Z70" si="37">VLOOKUP(Z$45,Tbl_Glob_Conversie,2,FALSE)*L48/100</f>
        <v>46</v>
      </c>
      <c r="AA48" s="386">
        <f t="shared" ref="AA48:AA70" si="38">VLOOKUP(AA$45,Tbl_Glob_Conversie,2,FALSE)*M48/100</f>
        <v>0.16162037999999998</v>
      </c>
    </row>
    <row r="49" spans="1:27" x14ac:dyDescent="0.2">
      <c r="A49" s="263" t="s">
        <v>733</v>
      </c>
      <c r="B49" s="263">
        <v>509</v>
      </c>
      <c r="C49" s="263">
        <v>10</v>
      </c>
      <c r="D49" s="389">
        <v>56</v>
      </c>
      <c r="E49" s="389">
        <v>27</v>
      </c>
      <c r="F49" s="263">
        <v>120</v>
      </c>
      <c r="G49" s="263">
        <v>462</v>
      </c>
      <c r="H49" s="263">
        <v>338</v>
      </c>
      <c r="I49" s="263">
        <v>200</v>
      </c>
      <c r="J49" s="263">
        <v>30.8</v>
      </c>
      <c r="K49" s="391">
        <v>3.1</v>
      </c>
      <c r="L49" s="390">
        <v>9.1999999999999993</v>
      </c>
      <c r="M49" s="390">
        <v>308</v>
      </c>
      <c r="N49" s="395"/>
      <c r="O49" s="387" t="str">
        <f t="shared" ref="O49:O70" si="39">A49</f>
        <v>Hero Baby 1 NS Standaard</v>
      </c>
      <c r="P49" s="386">
        <f t="shared" si="27"/>
        <v>5.09</v>
      </c>
      <c r="Q49" s="386">
        <f t="shared" si="28"/>
        <v>0.1</v>
      </c>
      <c r="R49" s="386">
        <f t="shared" si="29"/>
        <v>0.56000000000000005</v>
      </c>
      <c r="S49" s="386">
        <f t="shared" si="30"/>
        <v>0.27</v>
      </c>
      <c r="T49" s="386">
        <f t="shared" si="31"/>
        <v>5.2173600000000001E-2</v>
      </c>
      <c r="U49" s="386">
        <f t="shared" si="32"/>
        <v>0.11846142</v>
      </c>
      <c r="V49" s="386">
        <f t="shared" si="33"/>
        <v>8.4162000000000001E-2</v>
      </c>
      <c r="W49" s="386">
        <f t="shared" si="34"/>
        <v>6.4577999999999997E-2</v>
      </c>
      <c r="X49" s="386">
        <f t="shared" si="35"/>
        <v>1.2671428E-2</v>
      </c>
      <c r="Y49" s="386">
        <f t="shared" si="36"/>
        <v>5.5489999999999999E-4</v>
      </c>
      <c r="Z49" s="386">
        <f t="shared" si="37"/>
        <v>3.68</v>
      </c>
      <c r="AA49" s="386">
        <f t="shared" si="38"/>
        <v>8.6874480000000004E-2</v>
      </c>
    </row>
    <row r="50" spans="1:27" x14ac:dyDescent="0.2">
      <c r="A50" s="263" t="s">
        <v>734</v>
      </c>
      <c r="B50" s="263">
        <v>470</v>
      </c>
      <c r="C50" s="263">
        <v>9.5</v>
      </c>
      <c r="D50" s="389">
        <v>64</v>
      </c>
      <c r="E50" s="389">
        <v>19</v>
      </c>
      <c r="F50" s="263">
        <v>160</v>
      </c>
      <c r="G50" s="263">
        <v>554</v>
      </c>
      <c r="H50" s="263">
        <v>405</v>
      </c>
      <c r="I50" s="263">
        <v>243</v>
      </c>
      <c r="J50" s="263">
        <v>52</v>
      </c>
      <c r="K50" s="391">
        <v>8.1999999999999993</v>
      </c>
      <c r="L50" s="390">
        <v>8.6</v>
      </c>
      <c r="M50" s="390">
        <v>297</v>
      </c>
      <c r="N50" s="395"/>
      <c r="O50" s="387" t="str">
        <f t="shared" si="39"/>
        <v>Hero Baby 2 NS Standaard</v>
      </c>
      <c r="P50" s="386">
        <f t="shared" si="27"/>
        <v>4.7</v>
      </c>
      <c r="Q50" s="386">
        <f t="shared" si="28"/>
        <v>9.5000000000000001E-2</v>
      </c>
      <c r="R50" s="386">
        <f t="shared" si="29"/>
        <v>0.64</v>
      </c>
      <c r="S50" s="386">
        <f t="shared" si="30"/>
        <v>0.19</v>
      </c>
      <c r="T50" s="386">
        <f t="shared" si="31"/>
        <v>6.956480000000001E-2</v>
      </c>
      <c r="U50" s="386">
        <f t="shared" si="32"/>
        <v>0.14205113999999999</v>
      </c>
      <c r="V50" s="386">
        <f t="shared" si="33"/>
        <v>0.100845</v>
      </c>
      <c r="W50" s="386">
        <f t="shared" si="34"/>
        <v>7.8462270000000001E-2</v>
      </c>
      <c r="X50" s="386">
        <f t="shared" si="35"/>
        <v>2.139332E-2</v>
      </c>
      <c r="Y50" s="386">
        <f t="shared" si="36"/>
        <v>1.4678E-3</v>
      </c>
      <c r="Z50" s="386">
        <f t="shared" si="37"/>
        <v>3.44</v>
      </c>
      <c r="AA50" s="386">
        <f t="shared" si="38"/>
        <v>8.3771819999999997E-2</v>
      </c>
    </row>
    <row r="51" spans="1:27" x14ac:dyDescent="0.2">
      <c r="A51" s="263" t="s">
        <v>735</v>
      </c>
      <c r="B51" s="263">
        <v>503</v>
      </c>
      <c r="C51" s="263">
        <v>11</v>
      </c>
      <c r="D51" s="389">
        <v>52</v>
      </c>
      <c r="E51" s="389">
        <v>27</v>
      </c>
      <c r="F51" s="263">
        <v>120</v>
      </c>
      <c r="G51" s="263">
        <v>462</v>
      </c>
      <c r="H51" s="263">
        <v>338</v>
      </c>
      <c r="I51" s="263">
        <v>200</v>
      </c>
      <c r="J51" s="396">
        <v>30.8</v>
      </c>
      <c r="K51" s="397">
        <v>3.1</v>
      </c>
      <c r="L51" s="398">
        <v>9.1999999999999993</v>
      </c>
      <c r="M51" s="398">
        <v>308</v>
      </c>
      <c r="N51" s="399"/>
      <c r="O51" s="387" t="str">
        <f t="shared" si="39"/>
        <v>Hero Baby 1 NS Comfort</v>
      </c>
      <c r="P51" s="386">
        <f t="shared" si="27"/>
        <v>5.03</v>
      </c>
      <c r="Q51" s="386">
        <f t="shared" si="28"/>
        <v>0.11</v>
      </c>
      <c r="R51" s="386">
        <f t="shared" si="29"/>
        <v>0.52</v>
      </c>
      <c r="S51" s="386">
        <f t="shared" si="30"/>
        <v>0.27</v>
      </c>
      <c r="T51" s="386">
        <f t="shared" si="31"/>
        <v>5.2173600000000001E-2</v>
      </c>
      <c r="U51" s="386">
        <f t="shared" si="32"/>
        <v>0.11846142</v>
      </c>
      <c r="V51" s="386">
        <f t="shared" si="33"/>
        <v>8.4162000000000001E-2</v>
      </c>
      <c r="W51" s="386">
        <f t="shared" si="34"/>
        <v>6.4577999999999997E-2</v>
      </c>
      <c r="X51" s="386">
        <f t="shared" si="35"/>
        <v>1.2671428E-2</v>
      </c>
      <c r="Y51" s="386">
        <f t="shared" si="36"/>
        <v>5.5489999999999999E-4</v>
      </c>
      <c r="Z51" s="386">
        <f t="shared" si="37"/>
        <v>3.68</v>
      </c>
      <c r="AA51" s="386">
        <f t="shared" si="38"/>
        <v>8.6874480000000004E-2</v>
      </c>
    </row>
    <row r="52" spans="1:27" x14ac:dyDescent="0.2">
      <c r="A52" s="263" t="s">
        <v>736</v>
      </c>
      <c r="B52" s="263">
        <v>503</v>
      </c>
      <c r="C52" s="263">
        <v>11</v>
      </c>
      <c r="D52" s="389">
        <v>52</v>
      </c>
      <c r="E52" s="389">
        <v>27</v>
      </c>
      <c r="F52" s="263">
        <v>120</v>
      </c>
      <c r="G52" s="263">
        <v>462</v>
      </c>
      <c r="H52" s="263">
        <v>338</v>
      </c>
      <c r="I52" s="263">
        <v>200</v>
      </c>
      <c r="J52" s="396">
        <v>30.8</v>
      </c>
      <c r="K52" s="397">
        <v>8.5</v>
      </c>
      <c r="L52" s="398">
        <v>9.1999999999999993</v>
      </c>
      <c r="M52" s="398">
        <v>308</v>
      </c>
      <c r="N52" s="399"/>
      <c r="O52" s="387" t="str">
        <f t="shared" si="39"/>
        <v>Hero Baby 2 NS Comfort</v>
      </c>
      <c r="P52" s="386">
        <f t="shared" si="27"/>
        <v>5.03</v>
      </c>
      <c r="Q52" s="386">
        <f t="shared" si="28"/>
        <v>0.11</v>
      </c>
      <c r="R52" s="386">
        <f t="shared" si="29"/>
        <v>0.52</v>
      </c>
      <c r="S52" s="386">
        <f t="shared" si="30"/>
        <v>0.27</v>
      </c>
      <c r="T52" s="386">
        <f t="shared" si="31"/>
        <v>5.2173600000000001E-2</v>
      </c>
      <c r="U52" s="386">
        <f t="shared" si="32"/>
        <v>0.11846142</v>
      </c>
      <c r="V52" s="386">
        <f t="shared" si="33"/>
        <v>8.4162000000000001E-2</v>
      </c>
      <c r="W52" s="386">
        <f t="shared" si="34"/>
        <v>6.4577999999999997E-2</v>
      </c>
      <c r="X52" s="386">
        <f t="shared" si="35"/>
        <v>1.2671428E-2</v>
      </c>
      <c r="Y52" s="386">
        <f t="shared" si="36"/>
        <v>1.5215000000000001E-3</v>
      </c>
      <c r="Z52" s="386">
        <f t="shared" si="37"/>
        <v>3.68</v>
      </c>
      <c r="AA52" s="386">
        <f t="shared" si="38"/>
        <v>8.6874480000000004E-2</v>
      </c>
    </row>
    <row r="53" spans="1:27" x14ac:dyDescent="0.2">
      <c r="A53" s="263" t="s">
        <v>737</v>
      </c>
      <c r="B53" s="263">
        <v>493</v>
      </c>
      <c r="C53" s="263">
        <v>13</v>
      </c>
      <c r="D53" s="389">
        <v>53</v>
      </c>
      <c r="E53" s="389">
        <v>26</v>
      </c>
      <c r="F53" s="263">
        <v>204</v>
      </c>
      <c r="G53" s="263">
        <v>550</v>
      </c>
      <c r="H53" s="263">
        <v>400</v>
      </c>
      <c r="I53" s="263">
        <v>230</v>
      </c>
      <c r="J53" s="263">
        <v>50</v>
      </c>
      <c r="K53" s="397">
        <v>3.5</v>
      </c>
      <c r="L53" s="398">
        <v>7.8</v>
      </c>
      <c r="M53" s="398">
        <v>315</v>
      </c>
      <c r="N53" s="399"/>
      <c r="O53" s="387" t="str">
        <f t="shared" si="39"/>
        <v>Hero Baby 1 NS Pep</v>
      </c>
      <c r="P53" s="386">
        <f t="shared" si="27"/>
        <v>4.93</v>
      </c>
      <c r="Q53" s="386">
        <f t="shared" si="28"/>
        <v>0.13</v>
      </c>
      <c r="R53" s="386">
        <f t="shared" si="29"/>
        <v>0.53</v>
      </c>
      <c r="S53" s="386">
        <f t="shared" si="30"/>
        <v>0.26</v>
      </c>
      <c r="T53" s="386">
        <f t="shared" si="31"/>
        <v>8.8695120000000002E-2</v>
      </c>
      <c r="U53" s="386">
        <f t="shared" si="32"/>
        <v>0.1410255</v>
      </c>
      <c r="V53" s="386">
        <f t="shared" si="33"/>
        <v>9.9599999999999994E-2</v>
      </c>
      <c r="W53" s="386">
        <f t="shared" si="34"/>
        <v>7.4264699999999989E-2</v>
      </c>
      <c r="X53" s="386">
        <f t="shared" si="35"/>
        <v>2.0570499999999999E-2</v>
      </c>
      <c r="Y53" s="386">
        <f t="shared" si="36"/>
        <v>6.265E-4</v>
      </c>
      <c r="Z53" s="386">
        <f t="shared" si="37"/>
        <v>3.12</v>
      </c>
      <c r="AA53" s="386">
        <f t="shared" si="38"/>
        <v>8.8848899999999981E-2</v>
      </c>
    </row>
    <row r="54" spans="1:27" x14ac:dyDescent="0.2">
      <c r="A54" s="263" t="s">
        <v>738</v>
      </c>
      <c r="B54" s="263">
        <v>493</v>
      </c>
      <c r="C54" s="263">
        <v>13</v>
      </c>
      <c r="D54" s="389">
        <v>53</v>
      </c>
      <c r="E54" s="389">
        <v>26</v>
      </c>
      <c r="F54" s="263">
        <v>204</v>
      </c>
      <c r="G54" s="263">
        <v>550</v>
      </c>
      <c r="H54" s="263">
        <v>400</v>
      </c>
      <c r="I54" s="263">
        <v>230</v>
      </c>
      <c r="J54" s="263">
        <v>50</v>
      </c>
      <c r="K54" s="397">
        <v>7.1</v>
      </c>
      <c r="L54" s="398">
        <v>7.8</v>
      </c>
      <c r="M54" s="398">
        <v>315</v>
      </c>
      <c r="N54" s="399"/>
      <c r="O54" s="387" t="str">
        <f t="shared" si="39"/>
        <v>Hero Baby 2 NS Pep</v>
      </c>
      <c r="P54" s="386">
        <f t="shared" si="27"/>
        <v>4.93</v>
      </c>
      <c r="Q54" s="386">
        <f t="shared" si="28"/>
        <v>0.13</v>
      </c>
      <c r="R54" s="386">
        <f t="shared" si="29"/>
        <v>0.53</v>
      </c>
      <c r="S54" s="386">
        <f t="shared" si="30"/>
        <v>0.26</v>
      </c>
      <c r="T54" s="386">
        <f t="shared" si="31"/>
        <v>8.8695120000000002E-2</v>
      </c>
      <c r="U54" s="386">
        <f t="shared" si="32"/>
        <v>0.1410255</v>
      </c>
      <c r="V54" s="386">
        <f t="shared" si="33"/>
        <v>9.9599999999999994E-2</v>
      </c>
      <c r="W54" s="386">
        <f t="shared" si="34"/>
        <v>7.4264699999999989E-2</v>
      </c>
      <c r="X54" s="386">
        <f t="shared" si="35"/>
        <v>2.0570499999999999E-2</v>
      </c>
      <c r="Y54" s="386">
        <f t="shared" si="36"/>
        <v>1.2708999999999997E-3</v>
      </c>
      <c r="Z54" s="386">
        <f t="shared" si="37"/>
        <v>3.12</v>
      </c>
      <c r="AA54" s="386">
        <f t="shared" si="38"/>
        <v>8.8848899999999981E-2</v>
      </c>
    </row>
    <row r="55" spans="1:27" x14ac:dyDescent="0.2">
      <c r="A55" s="263" t="s">
        <v>739</v>
      </c>
      <c r="B55" s="263">
        <v>500</v>
      </c>
      <c r="C55" s="263">
        <v>14</v>
      </c>
      <c r="D55" s="389">
        <v>55</v>
      </c>
      <c r="E55" s="389">
        <v>25</v>
      </c>
      <c r="F55" s="263">
        <v>240</v>
      </c>
      <c r="G55" s="263">
        <v>610</v>
      </c>
      <c r="H55" s="263">
        <v>565</v>
      </c>
      <c r="I55" s="263">
        <v>390</v>
      </c>
      <c r="J55" s="263">
        <v>50</v>
      </c>
      <c r="K55" s="391">
        <v>9</v>
      </c>
      <c r="L55" s="390">
        <v>7.5</v>
      </c>
      <c r="M55" s="390">
        <v>480</v>
      </c>
      <c r="N55" s="395"/>
      <c r="O55" s="387" t="str">
        <f t="shared" si="39"/>
        <v>Nutramigen 1 LGG pdr</v>
      </c>
      <c r="P55" s="386">
        <f t="shared" si="27"/>
        <v>5</v>
      </c>
      <c r="Q55" s="386">
        <f t="shared" si="28"/>
        <v>0.14000000000000001</v>
      </c>
      <c r="R55" s="386">
        <f t="shared" si="29"/>
        <v>0.55000000000000004</v>
      </c>
      <c r="S55" s="386">
        <f t="shared" si="30"/>
        <v>0.25</v>
      </c>
      <c r="T55" s="386">
        <f t="shared" si="31"/>
        <v>0.1043472</v>
      </c>
      <c r="U55" s="386">
        <f t="shared" si="32"/>
        <v>0.1564101</v>
      </c>
      <c r="V55" s="386">
        <f t="shared" si="33"/>
        <v>0.14068499999999998</v>
      </c>
      <c r="W55" s="386">
        <f t="shared" si="34"/>
        <v>0.12592709999999999</v>
      </c>
      <c r="X55" s="386">
        <f t="shared" si="35"/>
        <v>2.0570499999999999E-2</v>
      </c>
      <c r="Y55" s="386">
        <f t="shared" si="36"/>
        <v>1.611E-3</v>
      </c>
      <c r="Z55" s="386">
        <f t="shared" si="37"/>
        <v>3</v>
      </c>
      <c r="AA55" s="386">
        <f t="shared" si="38"/>
        <v>0.13538879999999998</v>
      </c>
    </row>
    <row r="56" spans="1:27" x14ac:dyDescent="0.2">
      <c r="A56" s="263" t="s">
        <v>32</v>
      </c>
      <c r="B56" s="263">
        <v>466</v>
      </c>
      <c r="C56" s="263">
        <v>11.6</v>
      </c>
      <c r="D56" s="389">
        <v>59</v>
      </c>
      <c r="E56" s="389">
        <v>20</v>
      </c>
      <c r="F56" s="263">
        <v>172</v>
      </c>
      <c r="G56" s="263">
        <v>568</v>
      </c>
      <c r="H56" s="263">
        <v>638</v>
      </c>
      <c r="I56" s="263">
        <v>336</v>
      </c>
      <c r="J56" s="263">
        <v>47</v>
      </c>
      <c r="K56" s="391">
        <v>8.1999999999999993</v>
      </c>
      <c r="L56" s="390">
        <v>7.3</v>
      </c>
      <c r="M56" s="390">
        <v>373</v>
      </c>
      <c r="N56" s="395"/>
      <c r="O56" s="387" t="str">
        <f t="shared" si="39"/>
        <v>Nutramigen 2 LGG pdr</v>
      </c>
      <c r="P56" s="386">
        <f t="shared" si="27"/>
        <v>4.66</v>
      </c>
      <c r="Q56" s="386">
        <f t="shared" si="28"/>
        <v>0.11599999999999999</v>
      </c>
      <c r="R56" s="386">
        <f t="shared" si="29"/>
        <v>0.59</v>
      </c>
      <c r="S56" s="386">
        <f t="shared" si="30"/>
        <v>0.2</v>
      </c>
      <c r="T56" s="386">
        <f t="shared" si="31"/>
        <v>7.478216E-2</v>
      </c>
      <c r="U56" s="386">
        <f t="shared" si="32"/>
        <v>0.14564088</v>
      </c>
      <c r="V56" s="386">
        <f t="shared" si="33"/>
        <v>0.15886199999999998</v>
      </c>
      <c r="W56" s="386">
        <f t="shared" si="34"/>
        <v>0.10849103999999998</v>
      </c>
      <c r="X56" s="386">
        <f t="shared" si="35"/>
        <v>1.9336269999999999E-2</v>
      </c>
      <c r="Y56" s="386">
        <f t="shared" si="36"/>
        <v>1.4678E-3</v>
      </c>
      <c r="Z56" s="386">
        <f t="shared" si="37"/>
        <v>2.92</v>
      </c>
      <c r="AA56" s="386">
        <f t="shared" si="38"/>
        <v>0.10520837999999999</v>
      </c>
    </row>
    <row r="57" spans="1:27" x14ac:dyDescent="0.2">
      <c r="A57" s="263" t="s">
        <v>740</v>
      </c>
      <c r="B57" s="263">
        <v>402</v>
      </c>
      <c r="C57" s="263">
        <v>14.7</v>
      </c>
      <c r="D57" s="389">
        <v>71</v>
      </c>
      <c r="E57" s="389">
        <v>6.7</v>
      </c>
      <c r="F57" s="263">
        <v>402</v>
      </c>
      <c r="G57" s="263">
        <v>603</v>
      </c>
      <c r="H57" s="263">
        <v>322</v>
      </c>
      <c r="I57" s="263">
        <v>267</v>
      </c>
      <c r="J57" s="263">
        <v>84</v>
      </c>
      <c r="K57" s="391">
        <v>6.4</v>
      </c>
      <c r="L57" s="390">
        <v>2.8</v>
      </c>
      <c r="M57" s="390">
        <v>503</v>
      </c>
      <c r="N57" s="395"/>
      <c r="O57" s="387" t="str">
        <f t="shared" si="39"/>
        <v>Nutrison Advanced Peptisorb Powder</v>
      </c>
      <c r="P57" s="386">
        <f t="shared" si="27"/>
        <v>4.0199999999999996</v>
      </c>
      <c r="Q57" s="386">
        <f t="shared" si="28"/>
        <v>0.14699999999999999</v>
      </c>
      <c r="R57" s="386">
        <f t="shared" si="29"/>
        <v>0.71</v>
      </c>
      <c r="S57" s="386">
        <f t="shared" si="30"/>
        <v>6.7000000000000004E-2</v>
      </c>
      <c r="T57" s="386">
        <f t="shared" si="31"/>
        <v>0.17478156000000003</v>
      </c>
      <c r="U57" s="386">
        <f t="shared" si="32"/>
        <v>0.15461522999999999</v>
      </c>
      <c r="V57" s="386">
        <f t="shared" si="33"/>
        <v>8.0177999999999999E-2</v>
      </c>
      <c r="W57" s="386">
        <f t="shared" si="34"/>
        <v>8.6211629999999997E-2</v>
      </c>
      <c r="X57" s="386">
        <f t="shared" si="35"/>
        <v>3.4558439999999996E-2</v>
      </c>
      <c r="Y57" s="386">
        <f t="shared" si="36"/>
        <v>1.1455999999999999E-3</v>
      </c>
      <c r="Z57" s="386">
        <f t="shared" si="37"/>
        <v>1.1200000000000001</v>
      </c>
      <c r="AA57" s="386">
        <f t="shared" si="38"/>
        <v>0.14187617999999999</v>
      </c>
    </row>
    <row r="58" spans="1:27" x14ac:dyDescent="0.2">
      <c r="A58" s="263" t="s">
        <v>741</v>
      </c>
      <c r="B58" s="263">
        <v>515</v>
      </c>
      <c r="C58" s="263">
        <v>14</v>
      </c>
      <c r="D58" s="389">
        <v>53.4</v>
      </c>
      <c r="E58" s="389">
        <v>27.3</v>
      </c>
      <c r="F58" s="263">
        <v>140</v>
      </c>
      <c r="G58" s="263">
        <v>507</v>
      </c>
      <c r="H58" s="263">
        <v>390</v>
      </c>
      <c r="I58" s="263">
        <v>218</v>
      </c>
      <c r="J58" s="263">
        <v>40</v>
      </c>
      <c r="K58" s="391">
        <v>6</v>
      </c>
      <c r="L58" s="390">
        <v>9.8000000000000007</v>
      </c>
      <c r="M58" s="390">
        <v>310</v>
      </c>
      <c r="N58" s="395"/>
      <c r="O58" s="387" t="str">
        <f t="shared" si="39"/>
        <v>Nutrilon Pepti Junior pdr</v>
      </c>
      <c r="P58" s="386">
        <f t="shared" si="27"/>
        <v>5.15</v>
      </c>
      <c r="Q58" s="386">
        <f t="shared" si="28"/>
        <v>0.14000000000000001</v>
      </c>
      <c r="R58" s="386">
        <f t="shared" si="29"/>
        <v>0.53400000000000003</v>
      </c>
      <c r="S58" s="386">
        <f t="shared" si="30"/>
        <v>0.27300000000000002</v>
      </c>
      <c r="T58" s="386">
        <f t="shared" si="31"/>
        <v>6.0869199999999998E-2</v>
      </c>
      <c r="U58" s="386">
        <f t="shared" si="32"/>
        <v>0.12999987000000002</v>
      </c>
      <c r="V58" s="386">
        <f t="shared" si="33"/>
        <v>9.7110000000000002E-2</v>
      </c>
      <c r="W58" s="386">
        <f t="shared" si="34"/>
        <v>7.0390019999999998E-2</v>
      </c>
      <c r="X58" s="386">
        <f t="shared" si="35"/>
        <v>1.6456399999999996E-2</v>
      </c>
      <c r="Y58" s="386">
        <f t="shared" si="36"/>
        <v>1.0739999999999999E-3</v>
      </c>
      <c r="Z58" s="386">
        <f t="shared" si="37"/>
        <v>3.92</v>
      </c>
      <c r="AA58" s="386">
        <f t="shared" si="38"/>
        <v>8.7438599999999991E-2</v>
      </c>
    </row>
    <row r="59" spans="1:27" x14ac:dyDescent="0.2">
      <c r="A59" s="263" t="s">
        <v>742</v>
      </c>
      <c r="B59" s="263">
        <v>474</v>
      </c>
      <c r="C59" s="263">
        <v>15.6</v>
      </c>
      <c r="D59" s="389">
        <v>22.9</v>
      </c>
      <c r="E59" s="389">
        <v>49.8</v>
      </c>
      <c r="F59" s="263">
        <v>415</v>
      </c>
      <c r="G59" s="263">
        <v>474</v>
      </c>
      <c r="H59" s="263">
        <v>593</v>
      </c>
      <c r="I59" s="263">
        <v>332</v>
      </c>
      <c r="J59" s="390">
        <v>47</v>
      </c>
      <c r="K59" s="389">
        <v>9.5</v>
      </c>
      <c r="L59" s="263">
        <v>18</v>
      </c>
      <c r="M59" s="263">
        <v>504</v>
      </c>
      <c r="N59" s="387"/>
      <c r="O59" s="387" t="str">
        <f t="shared" si="39"/>
        <v>Nutrilon Nenatal Start pdr</v>
      </c>
      <c r="P59" s="386">
        <f t="shared" si="27"/>
        <v>4.74</v>
      </c>
      <c r="Q59" s="386">
        <f t="shared" si="28"/>
        <v>0.156</v>
      </c>
      <c r="R59" s="386">
        <f t="shared" si="29"/>
        <v>0.22899999999999998</v>
      </c>
      <c r="S59" s="386">
        <f t="shared" si="30"/>
        <v>0.498</v>
      </c>
      <c r="T59" s="386">
        <f t="shared" si="31"/>
        <v>0.1804337</v>
      </c>
      <c r="U59" s="386">
        <f t="shared" si="32"/>
        <v>0.12153833999999999</v>
      </c>
      <c r="V59" s="386">
        <f t="shared" si="33"/>
        <v>0.14765699999999998</v>
      </c>
      <c r="W59" s="386">
        <f t="shared" si="34"/>
        <v>0.10719947999999999</v>
      </c>
      <c r="X59" s="386">
        <f t="shared" si="35"/>
        <v>1.9336269999999999E-2</v>
      </c>
      <c r="Y59" s="386">
        <f t="shared" si="36"/>
        <v>1.7004999999999998E-3</v>
      </c>
      <c r="Z59" s="386">
        <f t="shared" si="37"/>
        <v>7.2</v>
      </c>
      <c r="AA59" s="386">
        <f t="shared" si="38"/>
        <v>0.14215823999999999</v>
      </c>
    </row>
    <row r="60" spans="1:27" x14ac:dyDescent="0.2">
      <c r="A60" s="263" t="s">
        <v>729</v>
      </c>
      <c r="B60" s="263">
        <v>491</v>
      </c>
      <c r="C60" s="263">
        <v>13.4</v>
      </c>
      <c r="D60" s="389">
        <v>49.1</v>
      </c>
      <c r="E60" s="389">
        <v>26</v>
      </c>
      <c r="F60" s="263">
        <v>183</v>
      </c>
      <c r="G60" s="263">
        <v>504</v>
      </c>
      <c r="H60" s="263">
        <v>569</v>
      </c>
      <c r="I60" s="263">
        <v>308</v>
      </c>
      <c r="J60" s="390">
        <v>46</v>
      </c>
      <c r="K60" s="389">
        <v>7.9</v>
      </c>
      <c r="L60" s="263">
        <v>11</v>
      </c>
      <c r="M60" s="263">
        <v>360</v>
      </c>
      <c r="N60" s="387"/>
      <c r="O60" s="387" t="str">
        <f t="shared" si="39"/>
        <v>Nutrilon Nenatal 1</v>
      </c>
      <c r="P60" s="386">
        <f t="shared" si="27"/>
        <v>4.91</v>
      </c>
      <c r="Q60" s="386">
        <f t="shared" si="28"/>
        <v>0.13400000000000001</v>
      </c>
      <c r="R60" s="386">
        <f t="shared" si="29"/>
        <v>0.49099999999999999</v>
      </c>
      <c r="S60" s="386">
        <f t="shared" si="30"/>
        <v>0.26</v>
      </c>
      <c r="T60" s="386">
        <f t="shared" si="31"/>
        <v>7.9564740000000009E-2</v>
      </c>
      <c r="U60" s="386">
        <f t="shared" si="32"/>
        <v>0.12923064000000001</v>
      </c>
      <c r="V60" s="386">
        <f t="shared" si="33"/>
        <v>0.141681</v>
      </c>
      <c r="W60" s="386">
        <f t="shared" si="34"/>
        <v>9.9450120000000003E-2</v>
      </c>
      <c r="X60" s="386">
        <f t="shared" si="35"/>
        <v>1.8924859999999998E-2</v>
      </c>
      <c r="Y60" s="386">
        <f t="shared" si="36"/>
        <v>1.4141000000000002E-3</v>
      </c>
      <c r="Z60" s="386">
        <f t="shared" si="37"/>
        <v>4.4000000000000004</v>
      </c>
      <c r="AA60" s="386">
        <f t="shared" si="38"/>
        <v>0.1015416</v>
      </c>
    </row>
    <row r="61" spans="1:27" x14ac:dyDescent="0.2">
      <c r="A61" s="390" t="s">
        <v>743</v>
      </c>
      <c r="B61" s="263">
        <v>338</v>
      </c>
      <c r="C61" s="263">
        <v>82.1</v>
      </c>
      <c r="D61" s="389">
        <v>2.2000000000000002</v>
      </c>
      <c r="E61" s="389">
        <v>0.1</v>
      </c>
      <c r="F61" s="263">
        <v>776</v>
      </c>
      <c r="G61" s="263">
        <v>1226</v>
      </c>
      <c r="H61" s="263">
        <v>524</v>
      </c>
      <c r="I61" s="263">
        <v>516</v>
      </c>
      <c r="J61" s="263">
        <v>46</v>
      </c>
      <c r="K61" s="389">
        <v>0</v>
      </c>
      <c r="L61" s="263">
        <v>0</v>
      </c>
      <c r="M61" s="263">
        <v>66</v>
      </c>
      <c r="N61" s="387"/>
      <c r="O61" s="387" t="str">
        <f t="shared" si="39"/>
        <v>Nutrilon Nenatal Protein Fortifier</v>
      </c>
      <c r="P61" s="386">
        <f t="shared" si="27"/>
        <v>3.38</v>
      </c>
      <c r="Q61" s="386">
        <f t="shared" si="28"/>
        <v>0.82099999999999995</v>
      </c>
      <c r="R61" s="386">
        <f t="shared" si="29"/>
        <v>2.2000000000000002E-2</v>
      </c>
      <c r="S61" s="386">
        <f t="shared" si="30"/>
        <v>1E-3</v>
      </c>
      <c r="T61" s="386">
        <f t="shared" si="31"/>
        <v>0.33738928000000001</v>
      </c>
      <c r="U61" s="386">
        <f t="shared" si="32"/>
        <v>0.31435866000000001</v>
      </c>
      <c r="V61" s="386">
        <f t="shared" si="33"/>
        <v>0.13047599999999998</v>
      </c>
      <c r="W61" s="386">
        <f t="shared" si="34"/>
        <v>0.16661123999999997</v>
      </c>
      <c r="X61" s="386">
        <f t="shared" si="35"/>
        <v>1.8924859999999998E-2</v>
      </c>
      <c r="Y61" s="386">
        <f t="shared" si="36"/>
        <v>0</v>
      </c>
      <c r="Z61" s="386">
        <f t="shared" si="37"/>
        <v>0</v>
      </c>
      <c r="AA61" s="386">
        <f t="shared" si="38"/>
        <v>1.8615959999999997E-2</v>
      </c>
    </row>
    <row r="62" spans="1:27" x14ac:dyDescent="0.2">
      <c r="A62" s="390" t="s">
        <v>744</v>
      </c>
      <c r="B62" s="390">
        <v>450</v>
      </c>
      <c r="C62" s="390">
        <v>0</v>
      </c>
      <c r="D62" s="391">
        <v>0</v>
      </c>
      <c r="E62" s="391">
        <v>50</v>
      </c>
      <c r="F62" s="390">
        <v>7</v>
      </c>
      <c r="G62" s="390">
        <v>0</v>
      </c>
      <c r="H62" s="390">
        <v>0</v>
      </c>
      <c r="I62" s="390">
        <v>0</v>
      </c>
      <c r="J62" s="390">
        <v>0</v>
      </c>
      <c r="K62" s="391">
        <v>0</v>
      </c>
      <c r="L62" s="390">
        <v>0</v>
      </c>
      <c r="M62" s="390">
        <v>0.1</v>
      </c>
      <c r="N62" s="395"/>
      <c r="O62" s="387" t="str">
        <f t="shared" si="39"/>
        <v>Calogen neutraal</v>
      </c>
      <c r="P62" s="386">
        <f t="shared" si="27"/>
        <v>4.5</v>
      </c>
      <c r="Q62" s="386">
        <f t="shared" si="28"/>
        <v>0</v>
      </c>
      <c r="R62" s="386">
        <f t="shared" si="29"/>
        <v>0</v>
      </c>
      <c r="S62" s="386">
        <f t="shared" si="30"/>
        <v>0.5</v>
      </c>
      <c r="T62" s="386">
        <f t="shared" si="31"/>
        <v>3.04346E-3</v>
      </c>
      <c r="U62" s="386">
        <f t="shared" si="32"/>
        <v>0</v>
      </c>
      <c r="V62" s="386">
        <f t="shared" si="33"/>
        <v>0</v>
      </c>
      <c r="W62" s="386">
        <f t="shared" si="34"/>
        <v>0</v>
      </c>
      <c r="X62" s="386">
        <f t="shared" si="35"/>
        <v>0</v>
      </c>
      <c r="Y62" s="386">
        <f t="shared" si="36"/>
        <v>0</v>
      </c>
      <c r="Z62" s="386">
        <f t="shared" si="37"/>
        <v>0</v>
      </c>
      <c r="AA62" s="386">
        <f t="shared" si="38"/>
        <v>2.8206000000000001E-5</v>
      </c>
    </row>
    <row r="63" spans="1:27" x14ac:dyDescent="0.2">
      <c r="A63" s="390" t="s">
        <v>745</v>
      </c>
      <c r="B63" s="390">
        <v>450</v>
      </c>
      <c r="C63" s="390">
        <v>0</v>
      </c>
      <c r="D63" s="391">
        <v>0</v>
      </c>
      <c r="E63" s="391">
        <v>50</v>
      </c>
      <c r="F63" s="390">
        <v>5</v>
      </c>
      <c r="G63" s="390">
        <v>0.1</v>
      </c>
      <c r="H63" s="390">
        <v>0.3</v>
      </c>
      <c r="I63" s="390">
        <v>0</v>
      </c>
      <c r="J63" s="390">
        <v>0</v>
      </c>
      <c r="K63" s="391">
        <v>0</v>
      </c>
      <c r="L63" s="390">
        <v>0</v>
      </c>
      <c r="M63" s="390">
        <v>0.01</v>
      </c>
      <c r="N63" s="395"/>
      <c r="O63" s="387" t="str">
        <f t="shared" si="39"/>
        <v>Liquigen</v>
      </c>
      <c r="P63" s="386">
        <f t="shared" si="27"/>
        <v>4.5</v>
      </c>
      <c r="Q63" s="386">
        <f t="shared" si="28"/>
        <v>0</v>
      </c>
      <c r="R63" s="386">
        <f t="shared" si="29"/>
        <v>0</v>
      </c>
      <c r="S63" s="386">
        <f t="shared" si="30"/>
        <v>0.5</v>
      </c>
      <c r="T63" s="386">
        <f t="shared" si="31"/>
        <v>2.1739000000000003E-3</v>
      </c>
      <c r="U63" s="386">
        <f t="shared" si="32"/>
        <v>2.5641000000000001E-5</v>
      </c>
      <c r="V63" s="386">
        <f t="shared" si="33"/>
        <v>7.4699999999999986E-5</v>
      </c>
      <c r="W63" s="386">
        <f t="shared" si="34"/>
        <v>0</v>
      </c>
      <c r="X63" s="386">
        <f t="shared" si="35"/>
        <v>0</v>
      </c>
      <c r="Y63" s="386">
        <f t="shared" si="36"/>
        <v>0</v>
      </c>
      <c r="Z63" s="386">
        <f t="shared" si="37"/>
        <v>0</v>
      </c>
      <c r="AA63" s="386">
        <f t="shared" si="38"/>
        <v>2.8205999999999997E-6</v>
      </c>
    </row>
    <row r="64" spans="1:27" x14ac:dyDescent="0.2">
      <c r="A64" s="390" t="s">
        <v>410</v>
      </c>
      <c r="B64" s="390">
        <v>384</v>
      </c>
      <c r="C64" s="390">
        <v>0</v>
      </c>
      <c r="D64" s="391">
        <v>96</v>
      </c>
      <c r="E64" s="391">
        <v>0</v>
      </c>
      <c r="F64" s="390">
        <v>2</v>
      </c>
      <c r="G64" s="390">
        <v>0</v>
      </c>
      <c r="H64" s="390">
        <v>0</v>
      </c>
      <c r="I64" s="390">
        <v>0</v>
      </c>
      <c r="J64" s="390">
        <v>0</v>
      </c>
      <c r="K64" s="391">
        <v>0</v>
      </c>
      <c r="L64" s="390">
        <v>0</v>
      </c>
      <c r="M64" s="390">
        <v>0</v>
      </c>
      <c r="N64" s="395"/>
      <c r="O64" s="387" t="str">
        <f t="shared" si="39"/>
        <v>Fantomalt</v>
      </c>
      <c r="P64" s="386">
        <f t="shared" si="27"/>
        <v>3.84</v>
      </c>
      <c r="Q64" s="386">
        <f t="shared" si="28"/>
        <v>0</v>
      </c>
      <c r="R64" s="386">
        <f t="shared" si="29"/>
        <v>0.96</v>
      </c>
      <c r="S64" s="386">
        <f t="shared" si="30"/>
        <v>0</v>
      </c>
      <c r="T64" s="386">
        <f t="shared" si="31"/>
        <v>8.6956000000000002E-4</v>
      </c>
      <c r="U64" s="386">
        <f t="shared" si="32"/>
        <v>0</v>
      </c>
      <c r="V64" s="386">
        <f t="shared" si="33"/>
        <v>0</v>
      </c>
      <c r="W64" s="386">
        <f t="shared" si="34"/>
        <v>0</v>
      </c>
      <c r="X64" s="386">
        <f t="shared" si="35"/>
        <v>0</v>
      </c>
      <c r="Y64" s="386">
        <f t="shared" si="36"/>
        <v>0</v>
      </c>
      <c r="Z64" s="386">
        <f t="shared" si="37"/>
        <v>0</v>
      </c>
      <c r="AA64" s="386">
        <f t="shared" si="38"/>
        <v>0</v>
      </c>
    </row>
    <row r="65" spans="1:27" x14ac:dyDescent="0.2">
      <c r="A65" s="390" t="s">
        <v>746</v>
      </c>
      <c r="B65" s="390">
        <v>493</v>
      </c>
      <c r="C65" s="390">
        <v>11.6</v>
      </c>
      <c r="D65" s="391">
        <v>51.8</v>
      </c>
      <c r="E65" s="397">
        <v>25.7</v>
      </c>
      <c r="F65" s="390">
        <v>150</v>
      </c>
      <c r="G65" s="390">
        <v>598</v>
      </c>
      <c r="H65" s="390">
        <v>346</v>
      </c>
      <c r="I65" s="390">
        <v>191</v>
      </c>
      <c r="J65" s="390">
        <v>39</v>
      </c>
      <c r="K65" s="391">
        <v>3.9</v>
      </c>
      <c r="L65" s="398">
        <v>9.4</v>
      </c>
      <c r="M65" s="398">
        <v>290</v>
      </c>
      <c r="N65" s="399"/>
      <c r="O65" s="387" t="str">
        <f t="shared" si="39"/>
        <v>Nutrilon Pepti 1 pdr</v>
      </c>
      <c r="P65" s="386">
        <f t="shared" si="27"/>
        <v>4.93</v>
      </c>
      <c r="Q65" s="386">
        <f t="shared" si="28"/>
        <v>0.11599999999999999</v>
      </c>
      <c r="R65" s="386">
        <f t="shared" si="29"/>
        <v>0.51800000000000002</v>
      </c>
      <c r="S65" s="386">
        <f t="shared" si="30"/>
        <v>0.25700000000000001</v>
      </c>
      <c r="T65" s="386">
        <f t="shared" si="31"/>
        <v>6.5216999999999997E-2</v>
      </c>
      <c r="U65" s="386">
        <f t="shared" si="32"/>
        <v>0.15333318000000001</v>
      </c>
      <c r="V65" s="386">
        <f t="shared" si="33"/>
        <v>8.6153999999999994E-2</v>
      </c>
      <c r="W65" s="386">
        <f t="shared" si="34"/>
        <v>6.1671990000000003E-2</v>
      </c>
      <c r="X65" s="386">
        <f t="shared" si="35"/>
        <v>1.6044989999999999E-2</v>
      </c>
      <c r="Y65" s="386">
        <f t="shared" si="36"/>
        <v>6.981E-4</v>
      </c>
      <c r="Z65" s="386">
        <f t="shared" si="37"/>
        <v>3.76</v>
      </c>
      <c r="AA65" s="386">
        <f t="shared" si="38"/>
        <v>8.1797399999999992E-2</v>
      </c>
    </row>
    <row r="66" spans="1:27" x14ac:dyDescent="0.2">
      <c r="A66" s="390" t="s">
        <v>747</v>
      </c>
      <c r="B66" s="390">
        <v>483</v>
      </c>
      <c r="C66" s="390">
        <v>11</v>
      </c>
      <c r="D66" s="391">
        <v>52.5</v>
      </c>
      <c r="E66" s="391">
        <v>24.6</v>
      </c>
      <c r="F66" s="390">
        <v>181</v>
      </c>
      <c r="G66" s="390">
        <v>530</v>
      </c>
      <c r="H66" s="390">
        <v>339</v>
      </c>
      <c r="I66" s="390">
        <v>190</v>
      </c>
      <c r="J66" s="390">
        <v>37</v>
      </c>
      <c r="K66" s="391">
        <v>3.9</v>
      </c>
      <c r="L66" s="398">
        <v>8.8000000000000007</v>
      </c>
      <c r="M66" s="398">
        <v>302</v>
      </c>
      <c r="N66" s="399"/>
      <c r="O66" s="387" t="str">
        <f t="shared" si="39"/>
        <v>Nutrilon Hypoallergeen 1 pdr</v>
      </c>
      <c r="P66" s="386">
        <f t="shared" si="27"/>
        <v>4.83</v>
      </c>
      <c r="Q66" s="386">
        <f t="shared" si="28"/>
        <v>0.11</v>
      </c>
      <c r="R66" s="386">
        <f t="shared" si="29"/>
        <v>0.52500000000000002</v>
      </c>
      <c r="S66" s="386">
        <f t="shared" si="30"/>
        <v>0.24600000000000002</v>
      </c>
      <c r="T66" s="386">
        <f t="shared" si="31"/>
        <v>7.8695180000000003E-2</v>
      </c>
      <c r="U66" s="386">
        <f t="shared" si="32"/>
        <v>0.1358973</v>
      </c>
      <c r="V66" s="386">
        <f t="shared" si="33"/>
        <v>8.4410999999999986E-2</v>
      </c>
      <c r="W66" s="386">
        <f t="shared" si="34"/>
        <v>6.1349099999999997E-2</v>
      </c>
      <c r="X66" s="386">
        <f t="shared" si="35"/>
        <v>1.522217E-2</v>
      </c>
      <c r="Y66" s="386">
        <f t="shared" si="36"/>
        <v>6.981E-4</v>
      </c>
      <c r="Z66" s="386">
        <f t="shared" si="37"/>
        <v>3.52</v>
      </c>
      <c r="AA66" s="386">
        <f t="shared" si="38"/>
        <v>8.518212E-2</v>
      </c>
    </row>
    <row r="67" spans="1:27" x14ac:dyDescent="0.2">
      <c r="A67" s="390" t="s">
        <v>748</v>
      </c>
      <c r="B67" s="390">
        <v>483</v>
      </c>
      <c r="C67" s="390">
        <v>13</v>
      </c>
      <c r="D67" s="391">
        <v>52.5</v>
      </c>
      <c r="E67" s="391">
        <v>24.5</v>
      </c>
      <c r="F67" s="390">
        <v>189</v>
      </c>
      <c r="G67" s="390">
        <v>525</v>
      </c>
      <c r="H67" s="390">
        <v>475</v>
      </c>
      <c r="I67" s="390">
        <v>341</v>
      </c>
      <c r="J67" s="390">
        <v>51</v>
      </c>
      <c r="K67" s="391">
        <v>7.25</v>
      </c>
      <c r="L67" s="398">
        <v>8.8000000000000007</v>
      </c>
      <c r="M67" s="398">
        <v>386</v>
      </c>
      <c r="N67" s="399"/>
      <c r="O67" s="387" t="str">
        <f t="shared" si="39"/>
        <v>Neocate LCP</v>
      </c>
      <c r="P67" s="386">
        <f t="shared" si="27"/>
        <v>4.83</v>
      </c>
      <c r="Q67" s="386">
        <f t="shared" si="28"/>
        <v>0.13</v>
      </c>
      <c r="R67" s="386">
        <f t="shared" si="29"/>
        <v>0.52500000000000002</v>
      </c>
      <c r="S67" s="386">
        <f t="shared" si="30"/>
        <v>0.245</v>
      </c>
      <c r="T67" s="386">
        <f t="shared" si="31"/>
        <v>8.2173419999999997E-2</v>
      </c>
      <c r="U67" s="386">
        <f t="shared" si="32"/>
        <v>0.13461524999999999</v>
      </c>
      <c r="V67" s="386">
        <f t="shared" si="33"/>
        <v>0.11827499999999999</v>
      </c>
      <c r="W67" s="386">
        <f t="shared" si="34"/>
        <v>0.11010548999999999</v>
      </c>
      <c r="X67" s="386">
        <f t="shared" si="35"/>
        <v>2.0981909999999999E-2</v>
      </c>
      <c r="Y67" s="386">
        <f t="shared" si="36"/>
        <v>1.2977500000000001E-3</v>
      </c>
      <c r="Z67" s="386">
        <f t="shared" si="37"/>
        <v>3.52</v>
      </c>
      <c r="AA67" s="386">
        <f t="shared" si="38"/>
        <v>0.10887516</v>
      </c>
    </row>
    <row r="68" spans="1:27" x14ac:dyDescent="0.2">
      <c r="A68" s="390" t="s">
        <v>749</v>
      </c>
      <c r="B68" s="390">
        <v>475</v>
      </c>
      <c r="C68" s="390">
        <v>13.3</v>
      </c>
      <c r="D68" s="391">
        <v>56</v>
      </c>
      <c r="E68" s="391">
        <v>22</v>
      </c>
      <c r="F68" s="390">
        <v>285</v>
      </c>
      <c r="G68" s="390">
        <v>546</v>
      </c>
      <c r="H68" s="390">
        <v>428</v>
      </c>
      <c r="I68" s="390">
        <v>309</v>
      </c>
      <c r="J68" s="390">
        <v>66.5</v>
      </c>
      <c r="K68" s="391">
        <v>5.7</v>
      </c>
      <c r="L68" s="390">
        <v>6.2</v>
      </c>
      <c r="M68" s="390">
        <v>437</v>
      </c>
      <c r="N68" s="395"/>
      <c r="O68" s="387" t="str">
        <f t="shared" si="39"/>
        <v>Neocate Junior</v>
      </c>
      <c r="P68" s="386">
        <f t="shared" si="27"/>
        <v>4.75</v>
      </c>
      <c r="Q68" s="386">
        <f t="shared" si="28"/>
        <v>0.13300000000000001</v>
      </c>
      <c r="R68" s="386">
        <f t="shared" si="29"/>
        <v>0.56000000000000005</v>
      </c>
      <c r="S68" s="386">
        <f t="shared" si="30"/>
        <v>0.22</v>
      </c>
      <c r="T68" s="386">
        <f t="shared" si="31"/>
        <v>0.1239123</v>
      </c>
      <c r="U68" s="386">
        <f t="shared" si="32"/>
        <v>0.13999986</v>
      </c>
      <c r="V68" s="386">
        <f t="shared" si="33"/>
        <v>0.106572</v>
      </c>
      <c r="W68" s="386">
        <f t="shared" si="34"/>
        <v>9.9773009999999995E-2</v>
      </c>
      <c r="X68" s="386">
        <f t="shared" si="35"/>
        <v>2.7358764999999997E-2</v>
      </c>
      <c r="Y68" s="386">
        <f t="shared" si="36"/>
        <v>1.0203E-3</v>
      </c>
      <c r="Z68" s="386">
        <f t="shared" si="37"/>
        <v>2.48</v>
      </c>
      <c r="AA68" s="386">
        <f t="shared" si="38"/>
        <v>0.12326022</v>
      </c>
    </row>
    <row r="69" spans="1:27" x14ac:dyDescent="0.2">
      <c r="A69" s="390" t="s">
        <v>818</v>
      </c>
      <c r="B69" s="394">
        <v>484</v>
      </c>
      <c r="C69" s="394">
        <v>9.6999999999999993</v>
      </c>
      <c r="D69" s="394">
        <v>53.8</v>
      </c>
      <c r="E69" s="394">
        <v>24.7</v>
      </c>
      <c r="F69" s="394">
        <v>125</v>
      </c>
      <c r="G69" s="394">
        <v>501</v>
      </c>
      <c r="H69" s="394">
        <v>418</v>
      </c>
      <c r="I69" s="394">
        <v>237</v>
      </c>
      <c r="J69" s="394">
        <v>37</v>
      </c>
      <c r="K69" s="394">
        <v>3.9</v>
      </c>
      <c r="L69" s="394">
        <v>8.6999999999999993</v>
      </c>
      <c r="M69" s="394">
        <v>304</v>
      </c>
      <c r="O69" s="387" t="str">
        <f t="shared" si="39"/>
        <v>Nutrilon 1</v>
      </c>
      <c r="P69" s="386">
        <f t="shared" si="27"/>
        <v>4.84</v>
      </c>
      <c r="Q69" s="386">
        <f t="shared" si="28"/>
        <v>9.6999999999999989E-2</v>
      </c>
      <c r="R69" s="386">
        <f t="shared" si="29"/>
        <v>0.53799999999999992</v>
      </c>
      <c r="S69" s="386">
        <f t="shared" si="30"/>
        <v>0.247</v>
      </c>
      <c r="T69" s="386">
        <f t="shared" si="31"/>
        <v>5.43475E-2</v>
      </c>
      <c r="U69" s="386">
        <f t="shared" si="32"/>
        <v>0.12846141</v>
      </c>
      <c r="V69" s="386">
        <f t="shared" si="33"/>
        <v>0.10408199999999999</v>
      </c>
      <c r="W69" s="386">
        <f t="shared" si="34"/>
        <v>7.6524929999999991E-2</v>
      </c>
      <c r="X69" s="386">
        <f t="shared" si="35"/>
        <v>1.522217E-2</v>
      </c>
      <c r="Y69" s="386">
        <f t="shared" si="36"/>
        <v>6.981E-4</v>
      </c>
      <c r="Z69" s="386">
        <f t="shared" si="37"/>
        <v>3.48</v>
      </c>
      <c r="AA69" s="386">
        <f t="shared" si="38"/>
        <v>8.5746240000000001E-2</v>
      </c>
    </row>
    <row r="70" spans="1:27" x14ac:dyDescent="0.2">
      <c r="A70" s="390" t="s">
        <v>801</v>
      </c>
      <c r="B70" s="394">
        <v>318</v>
      </c>
      <c r="C70" s="394">
        <v>0</v>
      </c>
      <c r="D70" s="394">
        <v>66.2</v>
      </c>
      <c r="E70" s="394">
        <v>0.3</v>
      </c>
      <c r="F70" s="394">
        <v>6</v>
      </c>
      <c r="G70" s="394">
        <v>91</v>
      </c>
      <c r="H70" s="394">
        <v>335</v>
      </c>
      <c r="I70" s="394">
        <v>12</v>
      </c>
      <c r="J70" s="394">
        <v>9.1</v>
      </c>
      <c r="K70" s="394">
        <v>8.8000000000000007</v>
      </c>
      <c r="L70" s="394">
        <v>0</v>
      </c>
      <c r="M70" s="394">
        <v>109</v>
      </c>
      <c r="O70" s="387" t="str">
        <f t="shared" si="39"/>
        <v>Nutriton</v>
      </c>
      <c r="P70" s="386">
        <f t="shared" si="27"/>
        <v>3.18</v>
      </c>
      <c r="Q70" s="386">
        <f t="shared" si="28"/>
        <v>0</v>
      </c>
      <c r="R70" s="386">
        <f t="shared" si="29"/>
        <v>0.66200000000000003</v>
      </c>
      <c r="S70" s="386">
        <f t="shared" si="30"/>
        <v>3.0000000000000001E-3</v>
      </c>
      <c r="T70" s="386">
        <f t="shared" si="31"/>
        <v>2.6086799999999999E-3</v>
      </c>
      <c r="U70" s="386">
        <f t="shared" si="32"/>
        <v>2.3333310000000003E-2</v>
      </c>
      <c r="V70" s="386">
        <f t="shared" si="33"/>
        <v>8.3415000000000003E-2</v>
      </c>
      <c r="W70" s="386">
        <f t="shared" si="34"/>
        <v>3.8746799999999997E-3</v>
      </c>
      <c r="X70" s="386">
        <f t="shared" si="35"/>
        <v>3.7438309999999995E-3</v>
      </c>
      <c r="Y70" s="386">
        <f t="shared" si="36"/>
        <v>1.5751999999999999E-3</v>
      </c>
      <c r="Z70" s="386">
        <f t="shared" si="37"/>
        <v>0</v>
      </c>
      <c r="AA70" s="386">
        <f t="shared" si="38"/>
        <v>3.0744539999999997E-2</v>
      </c>
    </row>
    <row r="71" spans="1:27" x14ac:dyDescent="0.2">
      <c r="A71" s="395"/>
    </row>
  </sheetData>
  <sortState ref="B14:B46">
    <sortCondition ref="B13"/>
  </sortState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C47" sqref="C47"/>
    </sheetView>
  </sheetViews>
  <sheetFormatPr defaultRowHeight="12.75" x14ac:dyDescent="0.2"/>
  <sheetData>
    <row r="1" spans="1:2" x14ac:dyDescent="0.2">
      <c r="A1" s="179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179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268</v>
      </c>
      <c r="E17" t="s">
        <v>269</v>
      </c>
      <c r="F17" s="5">
        <f ca="1">TODAY()-__4_GebDatum+1</f>
        <v>41957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270</v>
      </c>
      <c r="F18">
        <f>_Pat_Gewicht</f>
        <v>0</v>
      </c>
    </row>
    <row r="20" spans="1:6" x14ac:dyDescent="0.2">
      <c r="A20" t="s">
        <v>84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Sql">
    <tabColor rgb="FF92D050"/>
  </sheetPr>
  <dimension ref="A1:B92"/>
  <sheetViews>
    <sheetView topLeftCell="A59" workbookViewId="0">
      <selection activeCell="A80" sqref="A80:A92"/>
    </sheetView>
  </sheetViews>
  <sheetFormatPr defaultRowHeight="12.75" x14ac:dyDescent="0.2"/>
  <cols>
    <col min="1" max="1" width="93.140625" customWidth="1"/>
    <col min="2" max="2" width="117.42578125" customWidth="1"/>
  </cols>
  <sheetData>
    <row r="1" spans="1:2" ht="15" x14ac:dyDescent="0.25">
      <c r="A1" t="s">
        <v>5210</v>
      </c>
      <c r="B1" s="715" t="str">
        <f>"strSql = strSql &amp; "&amp;CHAR(34)&amp;A1&amp;CHAR(34)&amp;" &amp; vbNewLine"</f>
        <v>strSql = strSql &amp; "DECLARE @patId AS int" &amp; vbNewLine</v>
      </c>
    </row>
    <row r="2" spans="1:2" ht="15" x14ac:dyDescent="0.25">
      <c r="A2" t="s">
        <v>5281</v>
      </c>
      <c r="B2" s="715" t="str">
        <f t="shared" ref="B2:B66" si="0">"strSql = strSql &amp; "&amp;CHAR(34)&amp;A2&amp;CHAR(34)&amp;" &amp; vbNewLine"</f>
        <v>strSql = strSql &amp; "DECLARE @bed AS nvarchar(100)" &amp; vbNewLine</v>
      </c>
    </row>
    <row r="3" spans="1:2" ht="15" x14ac:dyDescent="0.25">
      <c r="A3" t="s">
        <v>5211</v>
      </c>
      <c r="B3" s="715" t="str">
        <f t="shared" si="0"/>
        <v>strSql = strSql &amp; "DECLARE @patNum AS nvarchar(40)" &amp; vbNewLine</v>
      </c>
    </row>
    <row r="4" spans="1:2" ht="15" x14ac:dyDescent="0.25">
      <c r="A4" t="s">
        <v>5212</v>
      </c>
      <c r="B4" s="715" t="str">
        <f t="shared" si="0"/>
        <v>strSql = strSql &amp; "DECLARE @bd AS int" &amp; vbNewLine</v>
      </c>
    </row>
    <row r="5" spans="1:2" ht="15" x14ac:dyDescent="0.25">
      <c r="A5" t="s">
        <v>5213</v>
      </c>
      <c r="B5" s="715" t="str">
        <f t="shared" si="0"/>
        <v>strSql = strSql &amp; "DECLARE @weightKg AS int" &amp; vbNewLine</v>
      </c>
    </row>
    <row r="6" spans="1:2" ht="15" x14ac:dyDescent="0.25">
      <c r="A6" t="s">
        <v>5214</v>
      </c>
      <c r="B6" s="715" t="str">
        <f t="shared" si="0"/>
        <v>strSql = strSql &amp; "DECLARE @weightGr AS int" &amp; vbNewLine</v>
      </c>
    </row>
    <row r="7" spans="1:2" ht="15" x14ac:dyDescent="0.25">
      <c r="A7" t="s">
        <v>5215</v>
      </c>
      <c r="B7" s="715" t="str">
        <f t="shared" si="0"/>
        <v>strSql = strSql &amp; "DECLARE @bwGr AS int" &amp; vbNewLine</v>
      </c>
    </row>
    <row r="8" spans="1:2" ht="15" x14ac:dyDescent="0.25">
      <c r="A8" t="s">
        <v>5216</v>
      </c>
      <c r="B8" s="715" t="str">
        <f t="shared" si="0"/>
        <v>strSql = strSql &amp; "DECLARE @length AS int" &amp; vbNewLine</v>
      </c>
    </row>
    <row r="9" spans="1:2" ht="15" x14ac:dyDescent="0.25">
      <c r="A9" t="s">
        <v>5231</v>
      </c>
      <c r="B9" s="715" t="str">
        <f t="shared" si="0"/>
        <v>strSql = strSql &amp; "DECLARE @gesl AS int" &amp; vbNewLine</v>
      </c>
    </row>
    <row r="10" spans="1:2" ht="15" x14ac:dyDescent="0.25">
      <c r="A10" t="s">
        <v>5217</v>
      </c>
      <c r="B10" s="715" t="str">
        <f t="shared" si="0"/>
        <v>strSql = strSql &amp; "DECLARE @adD AS int" &amp; vbNewLine</v>
      </c>
    </row>
    <row r="11" spans="1:2" ht="15" x14ac:dyDescent="0.25">
      <c r="A11" t="s">
        <v>5218</v>
      </c>
      <c r="B11" s="715" t="str">
        <f t="shared" si="0"/>
        <v>strSql = strSql &amp; "DECLARE @adW AS int" &amp; vbNewLine</v>
      </c>
    </row>
    <row r="12" spans="1:2" ht="15" x14ac:dyDescent="0.25">
      <c r="B12" s="715"/>
    </row>
    <row r="13" spans="1:2" ht="15" x14ac:dyDescent="0.25">
      <c r="A13" t="s">
        <v>5219</v>
      </c>
      <c r="B13" s="715" t="str">
        <f t="shared" si="0"/>
        <v>strSql = strSql &amp; "SET @bd = 5372" &amp; vbNewLine</v>
      </c>
    </row>
    <row r="14" spans="1:2" ht="15" x14ac:dyDescent="0.25">
      <c r="A14" t="s">
        <v>5220</v>
      </c>
      <c r="B14" s="715" t="str">
        <f t="shared" si="0"/>
        <v>strSql = strSql &amp; "SET @weightKg = 8365" &amp; vbNewLine</v>
      </c>
    </row>
    <row r="15" spans="1:2" ht="15" x14ac:dyDescent="0.25">
      <c r="A15" t="s">
        <v>5221</v>
      </c>
      <c r="B15" s="715" t="str">
        <f t="shared" si="0"/>
        <v>strSql = strSql &amp; "SET @weightGr = 8456" &amp; vbNewLine</v>
      </c>
    </row>
    <row r="16" spans="1:2" ht="15" x14ac:dyDescent="0.25">
      <c r="A16" t="s">
        <v>5222</v>
      </c>
      <c r="B16" s="715" t="str">
        <f t="shared" si="0"/>
        <v>strSql = strSql &amp; "SET @bwGr = 7734" &amp; vbNewLine</v>
      </c>
    </row>
    <row r="17" spans="1:2" ht="15" x14ac:dyDescent="0.25">
      <c r="A17" t="s">
        <v>5223</v>
      </c>
      <c r="B17" s="715" t="str">
        <f t="shared" si="0"/>
        <v>strSql = strSql &amp; "SET @adD = 10213" &amp; vbNewLine</v>
      </c>
    </row>
    <row r="18" spans="1:2" ht="15" x14ac:dyDescent="0.25">
      <c r="A18" t="s">
        <v>5224</v>
      </c>
      <c r="B18" s="715" t="str">
        <f t="shared" si="0"/>
        <v>strSql = strSql &amp; "SET @adW = 10214" &amp; vbNewLine</v>
      </c>
    </row>
    <row r="19" spans="1:2" ht="15" x14ac:dyDescent="0.25">
      <c r="A19" t="s">
        <v>5225</v>
      </c>
      <c r="B19" s="715" t="str">
        <f t="shared" si="0"/>
        <v>strSql = strSql &amp; "SET @length = 9505" &amp; vbNewLine</v>
      </c>
    </row>
    <row r="20" spans="1:2" ht="15" x14ac:dyDescent="0.25">
      <c r="A20" t="s">
        <v>5232</v>
      </c>
      <c r="B20" s="715" t="str">
        <f t="shared" si="0"/>
        <v>strSql = strSql &amp; "SET @gesl = 5373" &amp; vbNewLine</v>
      </c>
    </row>
    <row r="21" spans="1:2" ht="15" x14ac:dyDescent="0.25">
      <c r="A21" t="s">
        <v>6950</v>
      </c>
      <c r="B21" s="715" t="str">
        <f t="shared" si="0"/>
        <v>strSql = strSql &amp; "SET @patNum = '999999'" &amp; vbNewLine</v>
      </c>
    </row>
    <row r="22" spans="1:2" s="151" customFormat="1" ht="15" x14ac:dyDescent="0.25">
      <c r="B22" s="715"/>
    </row>
    <row r="23" spans="1:2" ht="15" x14ac:dyDescent="0.25">
      <c r="A23" t="s">
        <v>5226</v>
      </c>
      <c r="B23" s="715" t="str">
        <f t="shared" si="0"/>
        <v>strSql = strSql &amp; "SELECT DISTINCT" &amp; vbNewLine</v>
      </c>
    </row>
    <row r="24" spans="1:2" ht="15" x14ac:dyDescent="0.25">
      <c r="A24" t="s">
        <v>5233</v>
      </c>
      <c r="B24" s="715" t="str">
        <f t="shared" si="0"/>
        <v>strSql = strSql &amp; "pl.PatientID" &amp; vbNewLine</v>
      </c>
    </row>
    <row r="25" spans="1:2" ht="15" x14ac:dyDescent="0.25">
      <c r="A25" t="s">
        <v>5234</v>
      </c>
      <c r="B25" s="715" t="str">
        <f t="shared" si="0"/>
        <v>strSql = strSql &amp; ", pl.HospitalNumber" &amp; vbNewLine</v>
      </c>
    </row>
    <row r="26" spans="1:2" ht="15" x14ac:dyDescent="0.25">
      <c r="A26" t="s">
        <v>5235</v>
      </c>
      <c r="B26" s="715" t="str">
        <f t="shared" si="0"/>
        <v>strSql = strSql &amp; ", pl.LastName" &amp; vbNewLine</v>
      </c>
    </row>
    <row r="27" spans="1:2" ht="15" x14ac:dyDescent="0.25">
      <c r="A27" t="s">
        <v>5236</v>
      </c>
      <c r="B27" s="715" t="str">
        <f t="shared" si="0"/>
        <v>strSql = strSql &amp; ", pl.FirstName" &amp; vbNewLine</v>
      </c>
    </row>
    <row r="28" spans="1:2" ht="15" x14ac:dyDescent="0.25">
      <c r="A28" t="s">
        <v>6951</v>
      </c>
      <c r="B28" s="715" t="str">
        <f t="shared" si="0"/>
        <v>strSql = strSql &amp; ", (SELECT TOP 1 dts.Value" &amp; vbNewLine</v>
      </c>
    </row>
    <row r="29" spans="1:2" ht="15" x14ac:dyDescent="0.25">
      <c r="A29" t="s">
        <v>6952</v>
      </c>
      <c r="B29" s="715" t="str">
        <f t="shared" si="0"/>
        <v>strSql = strSql &amp; "   FROM DateTimeSignals dts" &amp; vbNewLine</v>
      </c>
    </row>
    <row r="30" spans="1:2" ht="15" x14ac:dyDescent="0.25">
      <c r="A30" t="s">
        <v>6953</v>
      </c>
      <c r="B30" s="715" t="str">
        <f t="shared" si="0"/>
        <v>strSql = strSql &amp; "   WHERE dts.PatientID = pl.PatientID AND dts.ParameterID = @bd" &amp; vbNewLine</v>
      </c>
    </row>
    <row r="31" spans="1:2" ht="15" x14ac:dyDescent="0.25">
      <c r="A31" t="s">
        <v>6954</v>
      </c>
      <c r="B31" s="715" t="str">
        <f t="shared" si="0"/>
        <v>strSql = strSql &amp; "   ORDER BY dts.[Time] DESC)" &amp; vbNewLine</v>
      </c>
    </row>
    <row r="32" spans="1:2" ht="15" x14ac:dyDescent="0.25">
      <c r="A32" t="s">
        <v>6955</v>
      </c>
      <c r="B32" s="715" t="str">
        <f t="shared" si="0"/>
        <v>strSql = strSql &amp; "   BirthDate" &amp; vbNewLine</v>
      </c>
    </row>
    <row r="33" spans="1:2" ht="15" x14ac:dyDescent="0.25">
      <c r="A33" t="s">
        <v>5237</v>
      </c>
      <c r="B33" s="715" t="str">
        <f t="shared" si="0"/>
        <v>strSql = strSql &amp; ", (SELECT TOP 1 s.value / 1000 " &amp; vbNewLine</v>
      </c>
    </row>
    <row r="34" spans="1:2" ht="15" x14ac:dyDescent="0.25">
      <c r="A34" t="s">
        <v>5238</v>
      </c>
      <c r="B34" s="715" t="str">
        <f t="shared" si="0"/>
        <v>strSql = strSql &amp; "   FROM Signals s " &amp; vbNewLine</v>
      </c>
    </row>
    <row r="35" spans="1:2" ht="15" x14ac:dyDescent="0.25">
      <c r="A35" t="s">
        <v>5239</v>
      </c>
      <c r="B35" s="715" t="str">
        <f t="shared" si="0"/>
        <v>strSql = strSql &amp; "   WHERE s.PatientID = pl.PatientID AND s.ParameterID = @weightKg " &amp; vbNewLine</v>
      </c>
    </row>
    <row r="36" spans="1:2" ht="15" x14ac:dyDescent="0.25">
      <c r="A36" t="s">
        <v>5240</v>
      </c>
      <c r="B36" s="715" t="str">
        <f t="shared" si="0"/>
        <v>strSql = strSql &amp; "   ORDER BY s.Time DESC) WeightKg" &amp; vbNewLine</v>
      </c>
    </row>
    <row r="37" spans="1:2" ht="15" x14ac:dyDescent="0.25">
      <c r="A37" t="s">
        <v>5241</v>
      </c>
      <c r="B37" s="715" t="str">
        <f t="shared" si="0"/>
        <v>strSql = strSql &amp; ", (SELECT TOP 1 s.Value " &amp; vbNewLine</v>
      </c>
    </row>
    <row r="38" spans="1:2" ht="15" x14ac:dyDescent="0.25">
      <c r="A38" t="s">
        <v>5238</v>
      </c>
      <c r="B38" s="715" t="str">
        <f t="shared" si="0"/>
        <v>strSql = strSql &amp; "   FROM Signals s " &amp; vbNewLine</v>
      </c>
    </row>
    <row r="39" spans="1:2" ht="15" x14ac:dyDescent="0.25">
      <c r="A39" t="s">
        <v>5242</v>
      </c>
      <c r="B39" s="715" t="str">
        <f t="shared" si="0"/>
        <v>strSql = strSql &amp; "   WHERE s.PatientID = pl.PatientID AND s.ParameterID = @weightGr " &amp; vbNewLine</v>
      </c>
    </row>
    <row r="40" spans="1:2" ht="15" x14ac:dyDescent="0.25">
      <c r="A40" t="s">
        <v>5243</v>
      </c>
      <c r="B40" s="715" t="str">
        <f t="shared" si="0"/>
        <v>strSql = strSql &amp; "   ORDER BY s.Time DESC) WeightGr" &amp; vbNewLine</v>
      </c>
    </row>
    <row r="41" spans="1:2" ht="15" x14ac:dyDescent="0.25">
      <c r="A41" t="s">
        <v>5244</v>
      </c>
      <c r="B41" s="715" t="str">
        <f t="shared" si="0"/>
        <v>strSql = strSql &amp; ", (SELECT TOP 1 s.value * 100 " &amp; vbNewLine</v>
      </c>
    </row>
    <row r="42" spans="1:2" ht="15" x14ac:dyDescent="0.25">
      <c r="A42" t="s">
        <v>5238</v>
      </c>
      <c r="B42" s="715" t="str">
        <f t="shared" si="0"/>
        <v>strSql = strSql &amp; "   FROM Signals s " &amp; vbNewLine</v>
      </c>
    </row>
    <row r="43" spans="1:2" ht="15" x14ac:dyDescent="0.25">
      <c r="A43" t="s">
        <v>5245</v>
      </c>
      <c r="B43" s="715" t="str">
        <f t="shared" si="0"/>
        <v>strSql = strSql &amp; "   WHERE s.PatientID = pl.PatientID AND s.ParameterID = @length " &amp; vbNewLine</v>
      </c>
    </row>
    <row r="44" spans="1:2" ht="15" x14ac:dyDescent="0.25">
      <c r="A44" t="s">
        <v>5246</v>
      </c>
      <c r="B44" s="715" t="str">
        <f t="shared" si="0"/>
        <v>strSql = strSql &amp; "   ORDER BY s.Time DESC) LengthCm" &amp; vbNewLine</v>
      </c>
    </row>
    <row r="45" spans="1:2" ht="15" x14ac:dyDescent="0.25">
      <c r="A45" t="s">
        <v>5241</v>
      </c>
      <c r="B45" s="715" t="str">
        <f t="shared" si="0"/>
        <v>strSql = strSql &amp; ", (SELECT TOP 1 s.Value " &amp; vbNewLine</v>
      </c>
    </row>
    <row r="46" spans="1:2" ht="15" x14ac:dyDescent="0.25">
      <c r="A46" t="s">
        <v>5238</v>
      </c>
      <c r="B46" s="715" t="str">
        <f t="shared" si="0"/>
        <v>strSql = strSql &amp; "   FROM Signals s " &amp; vbNewLine</v>
      </c>
    </row>
    <row r="47" spans="1:2" ht="15" x14ac:dyDescent="0.25">
      <c r="A47" t="s">
        <v>5247</v>
      </c>
      <c r="B47" s="715" t="str">
        <f t="shared" si="0"/>
        <v>strSql = strSql &amp; "   WHERE s.PatientID = pl.PatientID AND s.ParameterID = @bwGr " &amp; vbNewLine</v>
      </c>
    </row>
    <row r="48" spans="1:2" ht="15" x14ac:dyDescent="0.25">
      <c r="A48" t="s">
        <v>5248</v>
      </c>
      <c r="B48" s="715" t="str">
        <f t="shared" si="0"/>
        <v>strSql = strSql &amp; "   ORDER BY s.Time DESC) BirthWeightGr" &amp; vbNewLine</v>
      </c>
    </row>
    <row r="49" spans="1:2" ht="15" x14ac:dyDescent="0.25">
      <c r="A49" t="s">
        <v>5249</v>
      </c>
      <c r="B49" s="715" t="str">
        <f t="shared" si="0"/>
        <v>strSql = strSql &amp; ", (SELECT TOP 1 s.value / (60 * 24) " &amp; vbNewLine</v>
      </c>
    </row>
    <row r="50" spans="1:2" ht="15" x14ac:dyDescent="0.25">
      <c r="A50" t="s">
        <v>5238</v>
      </c>
      <c r="B50" s="715" t="str">
        <f t="shared" si="0"/>
        <v>strSql = strSql &amp; "   FROM Signals s " &amp; vbNewLine</v>
      </c>
    </row>
    <row r="51" spans="1:2" ht="15" x14ac:dyDescent="0.25">
      <c r="A51" t="s">
        <v>5250</v>
      </c>
      <c r="B51" s="715" t="str">
        <f t="shared" si="0"/>
        <v>strSql = strSql &amp; "   WHERE s.PatientID = pl.PatientID AND s.ParameterID = @adD ORDER BY s.Time DESC) PregnDays" &amp; vbNewLine</v>
      </c>
    </row>
    <row r="52" spans="1:2" ht="15" x14ac:dyDescent="0.25">
      <c r="A52" t="s">
        <v>5251</v>
      </c>
      <c r="B52" s="715" t="str">
        <f t="shared" si="0"/>
        <v>strSql = strSql &amp; ", (SELECT TOP 1 s.value / (7 * 60 * 24) FROM Signals s WHERE s.PatientID = pl.PatientID AND s.ParameterID = @adW " &amp; vbNewLine</v>
      </c>
    </row>
    <row r="53" spans="1:2" ht="15" x14ac:dyDescent="0.25">
      <c r="A53" t="s">
        <v>5252</v>
      </c>
      <c r="B53" s="715" t="str">
        <f t="shared" si="0"/>
        <v>strSql = strSql &amp; "   ORDER BY s.Time DESC) PregnWeeks" &amp; vbNewLine</v>
      </c>
    </row>
    <row r="54" spans="1:2" ht="15" x14ac:dyDescent="0.25">
      <c r="A54" t="s">
        <v>5253</v>
      </c>
      <c r="B54" s="715" t="str">
        <f t="shared" si="0"/>
        <v>strSql = strSql &amp; ", (SELECT TOP 1 pt.Text " &amp; vbNewLine</v>
      </c>
    </row>
    <row r="55" spans="1:2" ht="15" x14ac:dyDescent="0.25">
      <c r="A55" t="s">
        <v>5254</v>
      </c>
      <c r="B55" s="715" t="str">
        <f t="shared" si="0"/>
        <v>strSql = strSql &amp; "   FROM ParametersText pt " &amp; vbNewLine</v>
      </c>
    </row>
    <row r="56" spans="1:2" ht="15" x14ac:dyDescent="0.25">
      <c r="A56" t="s">
        <v>5255</v>
      </c>
      <c r="B56" s="715" t="str">
        <f t="shared" si="0"/>
        <v>strSql = strSql &amp; "   INNER JOIN TextSignals ts ON pt.ParameterID = ts.ParameterID AND pt.TextID = ts.TextID " &amp; vbNewLine</v>
      </c>
    </row>
    <row r="57" spans="1:2" ht="15" x14ac:dyDescent="0.25">
      <c r="A57" t="s">
        <v>5256</v>
      </c>
      <c r="B57" s="715" t="str">
        <f t="shared" si="0"/>
        <v>strSql = strSql &amp; "   INNER JOIN Parameters p ON p.ParameterID = ts.ParameterID" &amp; vbNewLine</v>
      </c>
    </row>
    <row r="58" spans="1:2" ht="15" x14ac:dyDescent="0.25">
      <c r="A58" t="s">
        <v>5257</v>
      </c>
      <c r="B58" s="715" t="str">
        <f t="shared" si="0"/>
        <v>strSql = strSql &amp; "   WHERE ts.PatientID = pl.PatientID AND p.ParameterID = @Gesl" &amp; vbNewLine</v>
      </c>
    </row>
    <row r="59" spans="1:2" ht="15" x14ac:dyDescent="0.25">
      <c r="A59" t="s">
        <v>5258</v>
      </c>
      <c r="B59" s="715" t="str">
        <f t="shared" si="0"/>
        <v>strSql = strSql &amp; "   ORDER BY ts.Time DESC) Geslacht" &amp; vbNewLine</v>
      </c>
    </row>
    <row r="60" spans="1:2" ht="15" x14ac:dyDescent="0.25">
      <c r="A60" t="s">
        <v>5259</v>
      </c>
      <c r="B60" s="715" t="str">
        <f t="shared" si="0"/>
        <v>strSql = strSql &amp; ", lu.Name Department" &amp; vbNewLine</v>
      </c>
    </row>
    <row r="61" spans="1:2" ht="15" x14ac:dyDescent="0.25">
      <c r="A61" t="s">
        <v>5260</v>
      </c>
      <c r="B61" s="715" t="str">
        <f t="shared" si="0"/>
        <v>strSql = strSql &amp; ", b.BedName" &amp; vbNewLine</v>
      </c>
    </row>
    <row r="62" spans="1:2" ht="15" x14ac:dyDescent="0.25">
      <c r="A62" s="152" t="s">
        <v>5261</v>
      </c>
      <c r="B62" s="715" t="str">
        <f t="shared" si="0"/>
        <v>strSql = strSql &amp; ", pl.LocationFromTime" &amp; vbNewLine</v>
      </c>
    </row>
    <row r="63" spans="1:2" ht="15" x14ac:dyDescent="0.25">
      <c r="A63" t="s">
        <v>7371</v>
      </c>
      <c r="B63" s="715" t="str">
        <f t="shared" si="0"/>
        <v>strSql = strSql &amp; ", pl.TimeLog" &amp; vbNewLine</v>
      </c>
    </row>
    <row r="64" spans="1:2" ht="15" x14ac:dyDescent="0.25">
      <c r="A64" t="s">
        <v>5227</v>
      </c>
      <c r="B64" s="715" t="str">
        <f t="shared" si="0"/>
        <v>strSql = strSql &amp; "FROM PatientLogs pl" &amp; vbNewLine</v>
      </c>
    </row>
    <row r="65" spans="1:2" ht="15" x14ac:dyDescent="0.25">
      <c r="A65" t="s">
        <v>7372</v>
      </c>
      <c r="B65" s="715" t="str">
        <f t="shared" si="0"/>
        <v>strSql = strSql &amp; "INNER JOIN Patients pat ON pat.PatientID = pl.PatientID" &amp; vbNewLine</v>
      </c>
    </row>
    <row r="66" spans="1:2" ht="15" x14ac:dyDescent="0.25">
      <c r="A66" t="s">
        <v>5228</v>
      </c>
      <c r="B66" s="715" t="str">
        <f t="shared" si="0"/>
        <v>strSql = strSql &amp; "LEFT JOIN LogicalUnits lu ON lu.LogicalUnitID = pl.LogicalUnitID" &amp; vbNewLine</v>
      </c>
    </row>
    <row r="67" spans="1:2" ht="15" x14ac:dyDescent="0.25">
      <c r="A67" s="152" t="s">
        <v>6956</v>
      </c>
      <c r="B67" s="715" t="str">
        <f t="shared" ref="B67:B92" si="1">"strSql = strSql &amp; "&amp;CHAR(34)&amp;A67&amp;CHAR(34)&amp;" &amp; vbNewLine"</f>
        <v>strSql = strSql &amp; "LEFT JOIN Beds b ON b.BedID = pl.BedID" &amp; vbNewLine</v>
      </c>
    </row>
    <row r="68" spans="1:2" ht="15" x14ac:dyDescent="0.25">
      <c r="A68" t="s">
        <v>5229</v>
      </c>
      <c r="B68" s="715" t="str">
        <f t="shared" si="1"/>
        <v>strSql = strSql &amp; "WHERE " &amp; vbNewLine</v>
      </c>
    </row>
    <row r="69" spans="1:2" ht="15" x14ac:dyDescent="0.25">
      <c r="A69" t="s">
        <v>6957</v>
      </c>
      <c r="B69" s="715" t="str">
        <f t="shared" si="1"/>
        <v>strSql = strSql &amp; "(@patId IS NULL OR pl.PatientID = @patId)" &amp; vbNewLine</v>
      </c>
    </row>
    <row r="70" spans="1:2" s="151" customFormat="1" ht="15" x14ac:dyDescent="0.25">
      <c r="A70" s="151" t="s">
        <v>5230</v>
      </c>
      <c r="B70" s="715" t="str">
        <f t="shared" si="1"/>
        <v>strSql = strSql &amp; "AND (@patNum IS NULL OR pl.HospitalNumber = @patNum)" &amp; vbNewLine</v>
      </c>
    </row>
    <row r="71" spans="1:2" s="151" customFormat="1" ht="15" x14ac:dyDescent="0.25">
      <c r="A71" s="151" t="s">
        <v>6945</v>
      </c>
      <c r="B71" s="715" t="str">
        <f t="shared" si="1"/>
        <v>strSql = strSql &amp; "AND (@bed IS NULL OR RTRIM(LTRIM(b.BedName)) = RTRIM(LTRIM(@bed)))" &amp; vbNewLine</v>
      </c>
    </row>
    <row r="72" spans="1:2" s="151" customFormat="1" ht="15" x14ac:dyDescent="0.25">
      <c r="A72" s="151" t="s">
        <v>7373</v>
      </c>
      <c r="B72" s="715" t="str">
        <f t="shared" si="1"/>
        <v>strSql = strSql &amp; "ORDER BY pl.TimeLog DESC" &amp; vbNewLine</v>
      </c>
    </row>
    <row r="73" spans="1:2" s="151" customFormat="1" ht="15" x14ac:dyDescent="0.25">
      <c r="B73" s="715"/>
    </row>
    <row r="74" spans="1:2" ht="15" x14ac:dyDescent="0.25">
      <c r="A74" t="s">
        <v>5973</v>
      </c>
      <c r="B74" s="715" t="str">
        <f t="shared" si="1"/>
        <v>strSql = strSql &amp; "SELECT p.ParameterName" &amp; vbNewLine</v>
      </c>
    </row>
    <row r="75" spans="1:2" ht="15" x14ac:dyDescent="0.25">
      <c r="A75" t="s">
        <v>5974</v>
      </c>
      <c r="B75" s="715" t="str">
        <f t="shared" si="1"/>
        <v>strSql = strSql &amp; "FROM Parameters p " &amp; vbNewLine</v>
      </c>
    </row>
    <row r="76" spans="1:2" ht="15" x14ac:dyDescent="0.25">
      <c r="A76" t="s">
        <v>5975</v>
      </c>
      <c r="B76" s="715" t="str">
        <f t="shared" si="1"/>
        <v>strSql = strSql &amp; "INNER JOIN ParametersCategories pc ON pc.CategoryID = p.CategoryID" &amp; vbNewLine</v>
      </c>
    </row>
    <row r="77" spans="1:2" ht="15" x14ac:dyDescent="0.25">
      <c r="A77" t="s">
        <v>5976</v>
      </c>
      <c r="B77" s="715" t="str">
        <f t="shared" si="1"/>
        <v>strSql = strSql &amp; "WHERE pc.CategoryName = 'Opdr Medicatie Taken'" &amp; vbNewLine</v>
      </c>
    </row>
    <row r="78" spans="1:2" ht="15" x14ac:dyDescent="0.25">
      <c r="A78" t="s">
        <v>5977</v>
      </c>
      <c r="B78" s="715" t="str">
        <f t="shared" si="1"/>
        <v>strSql = strSql &amp; "ORDER BY p.ParameterName" &amp; vbNewLine</v>
      </c>
    </row>
    <row r="79" spans="1:2" ht="15" x14ac:dyDescent="0.25">
      <c r="B79" s="715"/>
    </row>
    <row r="80" spans="1:2" ht="15" x14ac:dyDescent="0.25">
      <c r="A80" t="s">
        <v>7237</v>
      </c>
      <c r="B80" s="715" t="str">
        <f t="shared" si="1"/>
        <v>strSql = strSql &amp; "DECLARE @login AS NVARCHAR(255)" &amp; vbNewLine</v>
      </c>
    </row>
    <row r="81" spans="1:2" ht="15" x14ac:dyDescent="0.25">
      <c r="B81" s="715" t="str">
        <f t="shared" si="1"/>
        <v>strSql = strSql &amp; "" &amp; vbNewLine</v>
      </c>
    </row>
    <row r="82" spans="1:2" ht="15" x14ac:dyDescent="0.25">
      <c r="A82" t="s">
        <v>7238</v>
      </c>
      <c r="B82" s="715" t="str">
        <f t="shared" si="1"/>
        <v>strSql = strSql &amp; "SET @login = 'cwb' " &amp; vbNewLine</v>
      </c>
    </row>
    <row r="83" spans="1:2" ht="15" x14ac:dyDescent="0.25">
      <c r="B83" s="715" t="str">
        <f t="shared" si="1"/>
        <v>strSql = strSql &amp; "" &amp; vbNewLine</v>
      </c>
    </row>
    <row r="84" spans="1:2" ht="15" x14ac:dyDescent="0.25">
      <c r="A84" t="s">
        <v>7239</v>
      </c>
      <c r="B84" s="715" t="str">
        <f t="shared" si="1"/>
        <v>strSql = strSql &amp; "SELECT" &amp; vbNewLine</v>
      </c>
    </row>
    <row r="85" spans="1:2" ht="15" x14ac:dyDescent="0.25">
      <c r="A85" t="s">
        <v>7240</v>
      </c>
      <c r="B85" s="715" t="str">
        <f t="shared" si="1"/>
        <v>strSql = strSql &amp; "u.UserID" &amp; vbNewLine</v>
      </c>
    </row>
    <row r="86" spans="1:2" ht="15" x14ac:dyDescent="0.25">
      <c r="A86" t="s">
        <v>7241</v>
      </c>
      <c r="B86" s="715" t="str">
        <f t="shared" si="1"/>
        <v>strSql = strSql &amp; ", u.Login" &amp; vbNewLine</v>
      </c>
    </row>
    <row r="87" spans="1:2" ht="15" x14ac:dyDescent="0.25">
      <c r="A87" t="s">
        <v>7242</v>
      </c>
      <c r="B87" s="715" t="str">
        <f t="shared" si="1"/>
        <v>strSql = strSql &amp; ", u.FirstName" &amp; vbNewLine</v>
      </c>
    </row>
    <row r="88" spans="1:2" ht="15" x14ac:dyDescent="0.25">
      <c r="A88" t="s">
        <v>7243</v>
      </c>
      <c r="B88" s="715" t="str">
        <f t="shared" si="1"/>
        <v>strSql = strSql &amp; ", u.LastName" &amp; vbNewLine</v>
      </c>
    </row>
    <row r="89" spans="1:2" ht="15" x14ac:dyDescent="0.25">
      <c r="A89" t="s">
        <v>7244</v>
      </c>
      <c r="B89" s="715" t="str">
        <f t="shared" si="1"/>
        <v>strSql = strSql &amp; ", ut.UserTypeName" &amp; vbNewLine</v>
      </c>
    </row>
    <row r="90" spans="1:2" ht="15" x14ac:dyDescent="0.25">
      <c r="A90" t="s">
        <v>7245</v>
      </c>
      <c r="B90" s="715" t="str">
        <f t="shared" si="1"/>
        <v>strSql = strSql &amp; "FROM Users u" &amp; vbNewLine</v>
      </c>
    </row>
    <row r="91" spans="1:2" ht="15" x14ac:dyDescent="0.25">
      <c r="A91" t="s">
        <v>7246</v>
      </c>
      <c r="B91" s="715" t="str">
        <f t="shared" si="1"/>
        <v>strSql = strSql &amp; "INNER JOIN t_UsersType ut ON u.UserTypeID = ut.UserTypeID" &amp; vbNewLine</v>
      </c>
    </row>
    <row r="92" spans="1:2" ht="15" x14ac:dyDescent="0.25">
      <c r="A92" t="s">
        <v>7247</v>
      </c>
      <c r="B92" s="715" t="str">
        <f t="shared" si="1"/>
        <v>strSql = strSql &amp; "WHERE u.Login = @login" &amp; vbNewLine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"/>
  <sheetViews>
    <sheetView topLeftCell="A813" workbookViewId="0"/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/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  <outlinePr showOutlineSymbols="0"/>
  </sheetPr>
  <dimension ref="A1:FIM296"/>
  <sheetViews>
    <sheetView showOutlineSymbols="0" zoomScaleNormal="100" workbookViewId="0">
      <selection activeCell="B2" sqref="B2"/>
    </sheetView>
  </sheetViews>
  <sheetFormatPr defaultRowHeight="12.75" x14ac:dyDescent="0.2"/>
  <cols>
    <col min="1" max="1" width="22.85546875" bestFit="1" customWidth="1"/>
    <col min="2" max="2" width="62.85546875" customWidth="1"/>
    <col min="3" max="3" width="33" style="151" customWidth="1"/>
    <col min="4" max="4" width="16.7109375" customWidth="1"/>
    <col min="5" max="5" width="14.140625" customWidth="1"/>
    <col min="6" max="6" width="12.5703125" customWidth="1"/>
    <col min="7" max="7" width="9.7109375" customWidth="1"/>
    <col min="8" max="8" width="8.85546875" customWidth="1"/>
    <col min="9" max="9" width="11" customWidth="1"/>
    <col min="11" max="11" width="9.42578125" bestFit="1" customWidth="1"/>
    <col min="13" max="13" width="10.7109375" bestFit="1" customWidth="1"/>
  </cols>
  <sheetData>
    <row r="1" spans="1:11 4303:4303" s="151" customFormat="1" x14ac:dyDescent="0.2">
      <c r="A1" s="152" t="str">
        <f>D1&amp;"."&amp;E1</f>
        <v>Afspraken.TimeStamp</v>
      </c>
      <c r="B1" s="712"/>
      <c r="C1" s="811" t="s">
        <v>4069</v>
      </c>
      <c r="D1" s="152" t="s">
        <v>5186</v>
      </c>
      <c r="E1" s="152" t="s">
        <v>5178</v>
      </c>
      <c r="I1"/>
      <c r="J1"/>
      <c r="K1"/>
    </row>
    <row r="2" spans="1:11 4303:4303" x14ac:dyDescent="0.2">
      <c r="A2" s="152" t="str">
        <f t="shared" ref="A2:A65" si="0">D2&amp;"."&amp;E2</f>
        <v>Patient.Nummer</v>
      </c>
      <c r="B2" s="704" t="str">
        <f>IF(__0_PatNum&gt;0,__0_PatNum,"")</f>
        <v/>
      </c>
      <c r="C2" s="704" t="str">
        <f>A2&amp;"**"&amp;B2</f>
        <v>Patient.Nummer**</v>
      </c>
      <c r="D2" s="152" t="s">
        <v>223</v>
      </c>
      <c r="E2" s="152" t="s">
        <v>5187</v>
      </c>
    </row>
    <row r="3" spans="1:11 4303:4303" x14ac:dyDescent="0.2">
      <c r="A3" s="152" t="str">
        <f t="shared" si="0"/>
        <v>Patient.AchterNaam</v>
      </c>
      <c r="B3" s="704" t="str">
        <f>IF(__2_AchterNaam&gt;0,__2_AchterNaam,"")</f>
        <v/>
      </c>
      <c r="C3" s="704" t="str">
        <f t="shared" ref="C3:C66" si="1">A3&amp;"**"&amp;B3</f>
        <v>Patient.AchterNaam**</v>
      </c>
      <c r="D3" s="152" t="s">
        <v>223</v>
      </c>
      <c r="E3" s="152" t="s">
        <v>157</v>
      </c>
      <c r="FIM3">
        <v>30</v>
      </c>
    </row>
    <row r="4" spans="1:11 4303:4303" x14ac:dyDescent="0.2">
      <c r="A4" s="152" t="str">
        <f t="shared" si="0"/>
        <v>Patient.VoorNaam</v>
      </c>
      <c r="B4" s="704" t="str">
        <f>IF(__3_VoorNaam&gt; 0,__3_VoorNaam,"")</f>
        <v/>
      </c>
      <c r="C4" s="704" t="str">
        <f t="shared" si="1"/>
        <v>Patient.VoorNaam**</v>
      </c>
      <c r="D4" s="152" t="s">
        <v>223</v>
      </c>
      <c r="E4" s="152" t="s">
        <v>158</v>
      </c>
    </row>
    <row r="5" spans="1:11 4303:4303" x14ac:dyDescent="0.2">
      <c r="A5" s="152" t="str">
        <f t="shared" si="0"/>
        <v>Patient.GebDat</v>
      </c>
      <c r="B5" s="704" t="str">
        <f>IF(__4_GebDatum&gt;0,DateToString(__4_GebDatum),"")</f>
        <v>01-jan-1904</v>
      </c>
      <c r="C5" s="704" t="str">
        <f t="shared" si="1"/>
        <v>Patient.GebDat**01-jan-1904</v>
      </c>
      <c r="D5" s="152" t="s">
        <v>223</v>
      </c>
      <c r="E5" s="152" t="s">
        <v>5188</v>
      </c>
      <c r="I5" s="151"/>
      <c r="J5" s="151"/>
      <c r="K5" s="11"/>
    </row>
    <row r="6" spans="1:11 4303:4303" s="151" customFormat="1" x14ac:dyDescent="0.2">
      <c r="A6" s="152" t="str">
        <f t="shared" si="0"/>
        <v>Patient.Leeftijd</v>
      </c>
      <c r="B6" s="706" t="str">
        <f ca="1">ROUND(NOW()-__4_GebDatum,0)&amp;" dagen"</f>
        <v>41957 dagen</v>
      </c>
      <c r="C6" s="704" t="str">
        <f t="shared" ca="1" si="1"/>
        <v>Patient.Leeftijd**41957 dagen</v>
      </c>
      <c r="D6" s="152" t="s">
        <v>223</v>
      </c>
      <c r="E6" s="152" t="s">
        <v>2805</v>
      </c>
      <c r="J6" s="155"/>
      <c r="K6" s="152"/>
    </row>
    <row r="7" spans="1:11 4303:4303" x14ac:dyDescent="0.2">
      <c r="A7" s="152" t="str">
        <f t="shared" si="0"/>
        <v>Patient.Geslacht</v>
      </c>
      <c r="B7" s="704" t="str">
        <f>IF(_Pat_Geslacht&gt;0,_Pat_Geslacht,"")</f>
        <v/>
      </c>
      <c r="C7" s="704" t="str">
        <f t="shared" si="1"/>
        <v>Patient.Geslacht**</v>
      </c>
      <c r="D7" s="152" t="s">
        <v>223</v>
      </c>
      <c r="E7" s="152" t="s">
        <v>5160</v>
      </c>
    </row>
    <row r="8" spans="1:11 4303:4303" x14ac:dyDescent="0.2">
      <c r="A8" s="152" t="str">
        <f t="shared" si="0"/>
        <v>Patient.Gewicht</v>
      </c>
      <c r="B8" s="704" t="str">
        <f>IF(_Pat_Gewicht&gt;0,_Pat_Gewicht&amp;" kg","")</f>
        <v/>
      </c>
      <c r="C8" s="704" t="str">
        <f t="shared" si="1"/>
        <v>Patient.Gewicht**</v>
      </c>
      <c r="D8" s="152" t="s">
        <v>223</v>
      </c>
      <c r="E8" s="152" t="s">
        <v>207</v>
      </c>
    </row>
    <row r="9" spans="1:11 4303:4303" x14ac:dyDescent="0.2">
      <c r="A9" s="152" t="str">
        <f t="shared" si="0"/>
        <v>Patient.Lengte</v>
      </c>
      <c r="B9" s="704" t="str">
        <f>IF(_Pat_Lengte&gt;0,_Pat_Lengte&amp;" cm","")</f>
        <v/>
      </c>
      <c r="C9" s="704" t="str">
        <f t="shared" si="1"/>
        <v>Patient.Lengte**</v>
      </c>
      <c r="D9" s="152" t="s">
        <v>223</v>
      </c>
      <c r="E9" s="152" t="s">
        <v>95</v>
      </c>
    </row>
    <row r="10" spans="1:11 4303:4303" x14ac:dyDescent="0.2">
      <c r="A10" s="152" t="str">
        <f t="shared" si="0"/>
        <v>Patient.BSA</v>
      </c>
      <c r="B10" s="704" t="str">
        <f>PatDetails!B13</f>
        <v/>
      </c>
      <c r="C10" s="704" t="str">
        <f t="shared" si="1"/>
        <v>Patient.BSA**</v>
      </c>
      <c r="D10" s="152" t="s">
        <v>223</v>
      </c>
      <c r="E10" s="152" t="s">
        <v>5113</v>
      </c>
    </row>
    <row r="11" spans="1:11 4303:4303" x14ac:dyDescent="0.2">
      <c r="A11" s="152" t="str">
        <f t="shared" si="0"/>
        <v>Patient.Gravid</v>
      </c>
      <c r="B11" s="704" t="str">
        <f>CONCATENATE(F11,"^^",_Pat_GestWeken,"||",G11,"^^",_Pat_GestDagen)</f>
        <v>weken^^0||dagen^^0</v>
      </c>
      <c r="C11" s="704" t="str">
        <f t="shared" si="1"/>
        <v>Patient.Gravid**weken^^0||dagen^^0</v>
      </c>
      <c r="D11" s="152" t="s">
        <v>223</v>
      </c>
      <c r="E11" s="152" t="s">
        <v>5189</v>
      </c>
      <c r="F11" s="152" t="s">
        <v>5179</v>
      </c>
      <c r="G11" s="152" t="s">
        <v>5180</v>
      </c>
    </row>
    <row r="12" spans="1:11 4303:4303" x14ac:dyDescent="0.2">
      <c r="A12" s="152" t="str">
        <f t="shared" si="0"/>
        <v>Lab.Kreat</v>
      </c>
      <c r="B12" s="704" t="str">
        <f>IF(_Glob_Lab_Creatinine&gt;0,_Glob_Lab_Creatinine,"")</f>
        <v/>
      </c>
      <c r="C12" s="704" t="str">
        <f t="shared" si="1"/>
        <v>Lab.Kreat**</v>
      </c>
      <c r="D12" s="152" t="s">
        <v>88</v>
      </c>
      <c r="E12" s="152" t="s">
        <v>5118</v>
      </c>
    </row>
    <row r="13" spans="1:11 4303:4303" x14ac:dyDescent="0.2">
      <c r="A13" s="152" t="str">
        <f t="shared" si="0"/>
        <v>Lab.Na</v>
      </c>
      <c r="B13" s="704" t="str">
        <f>IF(_Glob_Lab_Natrium&gt;0,_Glob_Lab_Natrium,"")</f>
        <v/>
      </c>
      <c r="C13" s="704" t="str">
        <f t="shared" si="1"/>
        <v>Lab.Na**</v>
      </c>
      <c r="D13" s="152" t="s">
        <v>88</v>
      </c>
      <c r="E13" s="152" t="s">
        <v>170</v>
      </c>
    </row>
    <row r="14" spans="1:11 4303:4303" x14ac:dyDescent="0.2">
      <c r="A14" s="152" t="str">
        <f t="shared" si="0"/>
        <v>Lab.K</v>
      </c>
      <c r="B14" s="704" t="str">
        <f>IF(_Glob_Lab_Kalium&gt;0,_Glob_Lab_Kalium,"")</f>
        <v/>
      </c>
      <c r="C14" s="704" t="str">
        <f t="shared" si="1"/>
        <v>Lab.K**</v>
      </c>
      <c r="D14" s="152" t="s">
        <v>88</v>
      </c>
      <c r="E14" s="152" t="s">
        <v>171</v>
      </c>
    </row>
    <row r="15" spans="1:11 4303:4303" x14ac:dyDescent="0.2">
      <c r="A15" s="152" t="str">
        <f t="shared" si="0"/>
        <v>Lab.Ca</v>
      </c>
      <c r="B15" s="704" t="str">
        <f>IF(_Glob_Lab_Calcium&gt;0,_Glob_Lab_Calcium,"")</f>
        <v/>
      </c>
      <c r="C15" s="704" t="str">
        <f t="shared" si="1"/>
        <v>Lab.Ca**</v>
      </c>
      <c r="D15" s="152" t="s">
        <v>88</v>
      </c>
      <c r="E15" s="152" t="s">
        <v>172</v>
      </c>
    </row>
    <row r="16" spans="1:11 4303:4303" x14ac:dyDescent="0.2">
      <c r="A16" s="152" t="str">
        <f t="shared" si="0"/>
        <v>Lab.Gluc</v>
      </c>
      <c r="B16" s="704" t="str">
        <f>IF(_Glob_Lab_Glucose&gt;0,_Glob_Lab_Glucose,"")</f>
        <v/>
      </c>
      <c r="C16" s="704" t="str">
        <f t="shared" si="1"/>
        <v>Lab.Gluc**</v>
      </c>
      <c r="D16" s="152" t="s">
        <v>88</v>
      </c>
      <c r="E16" s="152" t="s">
        <v>407</v>
      </c>
    </row>
    <row r="17" spans="1:37" s="151" customFormat="1" x14ac:dyDescent="0.2">
      <c r="A17" s="152" t="str">
        <f t="shared" si="0"/>
        <v>Lab.TG</v>
      </c>
      <c r="B17" s="704" t="str">
        <f>IF(_Glob_Lab_Triglyceriden&gt;0,_Glob_Lab_Triglyceriden,"")</f>
        <v/>
      </c>
      <c r="C17" s="704" t="str">
        <f t="shared" si="1"/>
        <v>Lab.TG**</v>
      </c>
      <c r="D17" s="152" t="s">
        <v>88</v>
      </c>
      <c r="E17" s="152" t="s">
        <v>5181</v>
      </c>
    </row>
    <row r="18" spans="1:37" x14ac:dyDescent="0.2">
      <c r="A18" s="152" t="str">
        <f t="shared" si="0"/>
        <v>MedDisc.01</v>
      </c>
      <c r="B18" s="704" t="str">
        <f t="shared" ref="B18:B47" si="2">ConcatenateKeyValue(F18:AK18,"||","^^")</f>
        <v/>
      </c>
      <c r="C18" s="704" t="str">
        <f t="shared" si="1"/>
        <v>MedDisc.01**</v>
      </c>
      <c r="D18" s="152" t="s">
        <v>5114</v>
      </c>
      <c r="E18" s="157" t="s">
        <v>331</v>
      </c>
      <c r="F18" s="152" t="s">
        <v>5142</v>
      </c>
      <c r="G18" s="152">
        <f>GlobBerMedDisc!B2</f>
        <v>0</v>
      </c>
      <c r="H18" s="152" t="s">
        <v>352</v>
      </c>
      <c r="I18" s="152">
        <f>GlobBerMedDisc!D2</f>
        <v>0</v>
      </c>
      <c r="J18" s="152" t="s">
        <v>3424</v>
      </c>
      <c r="K18" s="152">
        <f>GlobBerMedDisc!C2</f>
        <v>0</v>
      </c>
      <c r="L18" s="152" t="s">
        <v>153</v>
      </c>
      <c r="M18" s="152" t="str">
        <f>GlobBerMedDisc!AK2&amp;" "&amp;GlobBerMedDisc!AL2</f>
        <v xml:space="preserve">0 </v>
      </c>
      <c r="N18" s="152" t="s">
        <v>154</v>
      </c>
      <c r="O18" s="152" t="str">
        <f>GlobBerMedDisc!X2</f>
        <v/>
      </c>
      <c r="P18" s="152" t="s">
        <v>4083</v>
      </c>
      <c r="Q18" s="152" t="str">
        <f>GlobBerMedDisc!Y2</f>
        <v/>
      </c>
      <c r="R18" s="152" t="s">
        <v>343</v>
      </c>
      <c r="S18" s="152" t="str">
        <f>GlobBerMedDisc!Z2</f>
        <v/>
      </c>
      <c r="T18" s="152" t="s">
        <v>860</v>
      </c>
      <c r="U18" s="152" t="str">
        <f>GlobBerMedDisc!AO2</f>
        <v/>
      </c>
      <c r="V18" s="152" t="s">
        <v>5143</v>
      </c>
      <c r="W18" s="152" t="str">
        <f>GlobBerMedDisc!AA2</f>
        <v/>
      </c>
      <c r="X18" s="152" t="s">
        <v>5144</v>
      </c>
      <c r="Y18" s="152">
        <f>GlobBerMedDisc!AB2</f>
        <v>0</v>
      </c>
      <c r="Z18" s="152" t="s">
        <v>5145</v>
      </c>
      <c r="AA18" s="152" t="str">
        <f>GlobBerMedDisc!AC2</f>
        <v/>
      </c>
      <c r="AB18" s="152" t="s">
        <v>3288</v>
      </c>
      <c r="AC18" s="152">
        <f>GlobBerMedDisc!AI2</f>
        <v>0</v>
      </c>
      <c r="AD18" s="152" t="s">
        <v>344</v>
      </c>
      <c r="AE18" s="152">
        <f>GlobBerMedDisc!AD2</f>
        <v>0</v>
      </c>
      <c r="AF18" s="152" t="s">
        <v>863</v>
      </c>
      <c r="AG18" s="152">
        <f>GlobBerMedDisc!AJ2</f>
        <v>0</v>
      </c>
      <c r="AH18" s="152" t="s">
        <v>861</v>
      </c>
      <c r="AI18" s="152">
        <f>GlobBerMedDisc!V2</f>
        <v>0</v>
      </c>
      <c r="AJ18" s="152" t="s">
        <v>865</v>
      </c>
      <c r="AK18">
        <f>GlobBerMedDisc!AM2</f>
        <v>0</v>
      </c>
    </row>
    <row r="19" spans="1:37" x14ac:dyDescent="0.2">
      <c r="A19" s="152" t="str">
        <f t="shared" si="0"/>
        <v>MedDisc.02</v>
      </c>
      <c r="B19" s="704" t="str">
        <f t="shared" si="2"/>
        <v/>
      </c>
      <c r="C19" s="704" t="str">
        <f t="shared" si="1"/>
        <v>MedDisc.02**</v>
      </c>
      <c r="D19" s="152" t="s">
        <v>5114</v>
      </c>
      <c r="E19" s="157" t="s">
        <v>332</v>
      </c>
      <c r="F19" s="152" t="s">
        <v>5142</v>
      </c>
      <c r="G19" s="152">
        <f>GlobBerMedDisc!B3</f>
        <v>0</v>
      </c>
      <c r="H19" s="152" t="s">
        <v>352</v>
      </c>
      <c r="I19" s="152">
        <f>GlobBerMedDisc!D3</f>
        <v>0</v>
      </c>
      <c r="J19" s="152" t="s">
        <v>3424</v>
      </c>
      <c r="K19" s="152">
        <f>GlobBerMedDisc!C3</f>
        <v>0</v>
      </c>
      <c r="L19" s="152" t="s">
        <v>153</v>
      </c>
      <c r="M19" s="152" t="str">
        <f>GlobBerMedDisc!AK3&amp;" "&amp;GlobBerMedDisc!AL3</f>
        <v xml:space="preserve">0 </v>
      </c>
      <c r="N19" s="152" t="s">
        <v>154</v>
      </c>
      <c r="O19" s="152" t="str">
        <f>GlobBerMedDisc!X3</f>
        <v/>
      </c>
      <c r="P19" s="152" t="s">
        <v>4083</v>
      </c>
      <c r="Q19" s="152" t="str">
        <f>GlobBerMedDisc!Y3</f>
        <v/>
      </c>
      <c r="R19" s="152" t="s">
        <v>343</v>
      </c>
      <c r="S19" s="152" t="str">
        <f>GlobBerMedDisc!Z3</f>
        <v/>
      </c>
      <c r="T19" s="152" t="s">
        <v>860</v>
      </c>
      <c r="U19" s="152" t="str">
        <f>GlobBerMedDisc!AO3</f>
        <v/>
      </c>
      <c r="V19" s="152" t="s">
        <v>5143</v>
      </c>
      <c r="W19" s="152" t="str">
        <f>GlobBerMedDisc!AA3</f>
        <v/>
      </c>
      <c r="X19" s="152" t="s">
        <v>5144</v>
      </c>
      <c r="Y19" s="152">
        <f>GlobBerMedDisc!AB3</f>
        <v>0</v>
      </c>
      <c r="Z19" s="152" t="s">
        <v>5145</v>
      </c>
      <c r="AA19" s="152" t="str">
        <f>GlobBerMedDisc!AC3</f>
        <v/>
      </c>
      <c r="AB19" s="152" t="s">
        <v>3288</v>
      </c>
      <c r="AC19" s="152">
        <f>GlobBerMedDisc!AI3</f>
        <v>0</v>
      </c>
      <c r="AD19" s="152" t="s">
        <v>344</v>
      </c>
      <c r="AE19" s="152">
        <f>GlobBerMedDisc!AD3</f>
        <v>0</v>
      </c>
      <c r="AF19" s="152" t="s">
        <v>863</v>
      </c>
      <c r="AG19" s="152">
        <f>GlobBerMedDisc!AJ3</f>
        <v>0</v>
      </c>
      <c r="AH19" s="152" t="s">
        <v>861</v>
      </c>
      <c r="AI19" s="152">
        <f>GlobBerMedDisc!V3</f>
        <v>0</v>
      </c>
      <c r="AJ19" s="152" t="s">
        <v>865</v>
      </c>
      <c r="AK19" s="151">
        <f>GlobBerMedDisc!AM3</f>
        <v>0</v>
      </c>
    </row>
    <row r="20" spans="1:37" x14ac:dyDescent="0.2">
      <c r="A20" s="152" t="str">
        <f t="shared" si="0"/>
        <v>MedDisc.03</v>
      </c>
      <c r="B20" s="704" t="str">
        <f t="shared" si="2"/>
        <v/>
      </c>
      <c r="C20" s="704" t="str">
        <f t="shared" si="1"/>
        <v>MedDisc.03**</v>
      </c>
      <c r="D20" s="152" t="s">
        <v>5114</v>
      </c>
      <c r="E20" s="157" t="s">
        <v>333</v>
      </c>
      <c r="F20" s="152" t="s">
        <v>5142</v>
      </c>
      <c r="G20" s="152">
        <f>GlobBerMedDisc!B4</f>
        <v>0</v>
      </c>
      <c r="H20" s="152" t="s">
        <v>352</v>
      </c>
      <c r="I20" s="152">
        <f>GlobBerMedDisc!D4</f>
        <v>0</v>
      </c>
      <c r="J20" s="152" t="s">
        <v>3424</v>
      </c>
      <c r="K20" s="152">
        <f>GlobBerMedDisc!C4</f>
        <v>0</v>
      </c>
      <c r="L20" s="152" t="s">
        <v>153</v>
      </c>
      <c r="M20" s="152" t="str">
        <f>GlobBerMedDisc!AK4&amp;" "&amp;GlobBerMedDisc!AL4</f>
        <v xml:space="preserve">0 </v>
      </c>
      <c r="N20" s="152" t="s">
        <v>154</v>
      </c>
      <c r="O20" s="152" t="str">
        <f>GlobBerMedDisc!X4</f>
        <v/>
      </c>
      <c r="P20" s="152" t="s">
        <v>4083</v>
      </c>
      <c r="Q20" s="152" t="str">
        <f>GlobBerMedDisc!Y4</f>
        <v/>
      </c>
      <c r="R20" s="152" t="s">
        <v>343</v>
      </c>
      <c r="S20" s="152" t="str">
        <f>GlobBerMedDisc!Z4</f>
        <v/>
      </c>
      <c r="T20" s="152" t="s">
        <v>860</v>
      </c>
      <c r="U20" s="152" t="str">
        <f>GlobBerMedDisc!AO4</f>
        <v/>
      </c>
      <c r="V20" s="152" t="s">
        <v>5143</v>
      </c>
      <c r="W20" s="152" t="str">
        <f>GlobBerMedDisc!AA4</f>
        <v/>
      </c>
      <c r="X20" s="152" t="s">
        <v>5144</v>
      </c>
      <c r="Y20" s="152">
        <f>GlobBerMedDisc!AB4</f>
        <v>0</v>
      </c>
      <c r="Z20" s="152" t="s">
        <v>5145</v>
      </c>
      <c r="AA20" s="152" t="str">
        <f>GlobBerMedDisc!AC4</f>
        <v/>
      </c>
      <c r="AB20" s="152" t="s">
        <v>3288</v>
      </c>
      <c r="AC20" s="152">
        <f>GlobBerMedDisc!AI4</f>
        <v>0</v>
      </c>
      <c r="AD20" s="152" t="s">
        <v>344</v>
      </c>
      <c r="AE20" s="152">
        <f>GlobBerMedDisc!AD4</f>
        <v>0</v>
      </c>
      <c r="AF20" s="152" t="s">
        <v>863</v>
      </c>
      <c r="AG20" s="152">
        <f>GlobBerMedDisc!AJ4</f>
        <v>0</v>
      </c>
      <c r="AH20" s="152" t="s">
        <v>861</v>
      </c>
      <c r="AI20" s="152">
        <f>GlobBerMedDisc!V4</f>
        <v>0</v>
      </c>
      <c r="AJ20" s="152" t="s">
        <v>865</v>
      </c>
      <c r="AK20" s="151">
        <f>GlobBerMedDisc!AM4</f>
        <v>0</v>
      </c>
    </row>
    <row r="21" spans="1:37" x14ac:dyDescent="0.2">
      <c r="A21" s="152" t="str">
        <f t="shared" si="0"/>
        <v>MedDisc.04</v>
      </c>
      <c r="B21" s="704" t="str">
        <f t="shared" si="2"/>
        <v/>
      </c>
      <c r="C21" s="704" t="str">
        <f t="shared" si="1"/>
        <v>MedDisc.04**</v>
      </c>
      <c r="D21" s="152" t="s">
        <v>5114</v>
      </c>
      <c r="E21" s="157" t="s">
        <v>334</v>
      </c>
      <c r="F21" s="152" t="s">
        <v>5142</v>
      </c>
      <c r="G21" s="152">
        <f>GlobBerMedDisc!B5</f>
        <v>0</v>
      </c>
      <c r="H21" s="152" t="s">
        <v>352</v>
      </c>
      <c r="I21" s="152">
        <f>GlobBerMedDisc!D5</f>
        <v>0</v>
      </c>
      <c r="J21" s="152" t="s">
        <v>3424</v>
      </c>
      <c r="K21" s="152">
        <f>GlobBerMedDisc!C5</f>
        <v>0</v>
      </c>
      <c r="L21" s="152" t="s">
        <v>153</v>
      </c>
      <c r="M21" s="152" t="str">
        <f>GlobBerMedDisc!AK5&amp;" "&amp;GlobBerMedDisc!AL5</f>
        <v xml:space="preserve">0 </v>
      </c>
      <c r="N21" s="152" t="s">
        <v>154</v>
      </c>
      <c r="O21" s="152" t="str">
        <f>GlobBerMedDisc!X5</f>
        <v/>
      </c>
      <c r="P21" s="152" t="s">
        <v>4083</v>
      </c>
      <c r="Q21" s="152" t="str">
        <f>GlobBerMedDisc!Y5</f>
        <v/>
      </c>
      <c r="R21" s="152" t="s">
        <v>343</v>
      </c>
      <c r="S21" s="152" t="str">
        <f>GlobBerMedDisc!Z5</f>
        <v/>
      </c>
      <c r="T21" s="152" t="s">
        <v>860</v>
      </c>
      <c r="U21" s="152" t="str">
        <f>GlobBerMedDisc!AO5</f>
        <v/>
      </c>
      <c r="V21" s="152" t="s">
        <v>5143</v>
      </c>
      <c r="W21" s="152" t="str">
        <f>GlobBerMedDisc!AA5</f>
        <v/>
      </c>
      <c r="X21" s="152" t="s">
        <v>5144</v>
      </c>
      <c r="Y21" s="152">
        <f>GlobBerMedDisc!AB5</f>
        <v>0</v>
      </c>
      <c r="Z21" s="152" t="s">
        <v>5145</v>
      </c>
      <c r="AA21" s="152" t="str">
        <f>GlobBerMedDisc!AC5</f>
        <v/>
      </c>
      <c r="AB21" s="152" t="s">
        <v>3288</v>
      </c>
      <c r="AC21" s="152">
        <f>GlobBerMedDisc!AI5</f>
        <v>0</v>
      </c>
      <c r="AD21" s="152" t="s">
        <v>344</v>
      </c>
      <c r="AE21" s="152">
        <f>GlobBerMedDisc!AD5</f>
        <v>0</v>
      </c>
      <c r="AF21" s="152" t="s">
        <v>863</v>
      </c>
      <c r="AG21" s="152">
        <f>GlobBerMedDisc!AJ5</f>
        <v>0</v>
      </c>
      <c r="AH21" s="152" t="s">
        <v>861</v>
      </c>
      <c r="AI21" s="152">
        <f>GlobBerMedDisc!V5</f>
        <v>0</v>
      </c>
      <c r="AJ21" s="152" t="s">
        <v>865</v>
      </c>
      <c r="AK21" s="151">
        <f>GlobBerMedDisc!AM5</f>
        <v>0</v>
      </c>
    </row>
    <row r="22" spans="1:37" x14ac:dyDescent="0.2">
      <c r="A22" s="152" t="str">
        <f t="shared" si="0"/>
        <v>MedDisc.05</v>
      </c>
      <c r="B22" s="704" t="str">
        <f t="shared" si="2"/>
        <v/>
      </c>
      <c r="C22" s="704" t="str">
        <f t="shared" si="1"/>
        <v>MedDisc.05**</v>
      </c>
      <c r="D22" s="152" t="s">
        <v>5114</v>
      </c>
      <c r="E22" s="157" t="s">
        <v>335</v>
      </c>
      <c r="F22" s="152" t="s">
        <v>5142</v>
      </c>
      <c r="G22" s="152">
        <f>GlobBerMedDisc!B6</f>
        <v>0</v>
      </c>
      <c r="H22" s="152" t="s">
        <v>352</v>
      </c>
      <c r="I22" s="152">
        <f>GlobBerMedDisc!D6</f>
        <v>0</v>
      </c>
      <c r="J22" s="152" t="s">
        <v>3424</v>
      </c>
      <c r="K22" s="152">
        <f>GlobBerMedDisc!C6</f>
        <v>0</v>
      </c>
      <c r="L22" s="152" t="s">
        <v>153</v>
      </c>
      <c r="M22" s="152" t="str">
        <f>GlobBerMedDisc!AK6&amp;" "&amp;GlobBerMedDisc!AL6</f>
        <v xml:space="preserve">0 </v>
      </c>
      <c r="N22" s="152" t="s">
        <v>154</v>
      </c>
      <c r="O22" s="152" t="str">
        <f>GlobBerMedDisc!X6</f>
        <v/>
      </c>
      <c r="P22" s="152" t="s">
        <v>4083</v>
      </c>
      <c r="Q22" s="152" t="str">
        <f>GlobBerMedDisc!Y6</f>
        <v/>
      </c>
      <c r="R22" s="152" t="s">
        <v>343</v>
      </c>
      <c r="S22" s="152" t="str">
        <f>GlobBerMedDisc!Z6</f>
        <v/>
      </c>
      <c r="T22" s="152" t="s">
        <v>860</v>
      </c>
      <c r="U22" s="152" t="str">
        <f>GlobBerMedDisc!AO6</f>
        <v/>
      </c>
      <c r="V22" s="152" t="s">
        <v>5143</v>
      </c>
      <c r="W22" s="152" t="str">
        <f>GlobBerMedDisc!AA6</f>
        <v/>
      </c>
      <c r="X22" s="152" t="s">
        <v>5144</v>
      </c>
      <c r="Y22" s="152">
        <f>GlobBerMedDisc!AB6</f>
        <v>0</v>
      </c>
      <c r="Z22" s="152" t="s">
        <v>5145</v>
      </c>
      <c r="AA22" s="152" t="str">
        <f>GlobBerMedDisc!AC6</f>
        <v/>
      </c>
      <c r="AB22" s="152" t="s">
        <v>3288</v>
      </c>
      <c r="AC22" s="152">
        <f>GlobBerMedDisc!AI6</f>
        <v>0</v>
      </c>
      <c r="AD22" s="152" t="s">
        <v>344</v>
      </c>
      <c r="AE22" s="152">
        <f>GlobBerMedDisc!AD6</f>
        <v>0</v>
      </c>
      <c r="AF22" s="152" t="s">
        <v>863</v>
      </c>
      <c r="AG22" s="152">
        <f>GlobBerMedDisc!AJ6</f>
        <v>0</v>
      </c>
      <c r="AH22" s="152" t="s">
        <v>861</v>
      </c>
      <c r="AI22" s="152">
        <f>GlobBerMedDisc!V6</f>
        <v>0</v>
      </c>
      <c r="AJ22" s="152" t="s">
        <v>865</v>
      </c>
      <c r="AK22" s="151">
        <f>GlobBerMedDisc!AM6</f>
        <v>0</v>
      </c>
    </row>
    <row r="23" spans="1:37" x14ac:dyDescent="0.2">
      <c r="A23" s="152" t="str">
        <f t="shared" si="0"/>
        <v>MedDisc.06</v>
      </c>
      <c r="B23" s="704" t="str">
        <f t="shared" si="2"/>
        <v/>
      </c>
      <c r="C23" s="704" t="str">
        <f t="shared" si="1"/>
        <v>MedDisc.06**</v>
      </c>
      <c r="D23" s="152" t="s">
        <v>5114</v>
      </c>
      <c r="E23" s="157" t="s">
        <v>336</v>
      </c>
      <c r="F23" s="152" t="s">
        <v>5142</v>
      </c>
      <c r="G23" s="152">
        <f>GlobBerMedDisc!B7</f>
        <v>0</v>
      </c>
      <c r="H23" s="152" t="s">
        <v>352</v>
      </c>
      <c r="I23" s="152">
        <f>GlobBerMedDisc!D7</f>
        <v>0</v>
      </c>
      <c r="J23" s="152" t="s">
        <v>3424</v>
      </c>
      <c r="K23" s="152">
        <f>GlobBerMedDisc!C7</f>
        <v>0</v>
      </c>
      <c r="L23" s="152" t="s">
        <v>153</v>
      </c>
      <c r="M23" s="152" t="str">
        <f>GlobBerMedDisc!AK7&amp;" "&amp;GlobBerMedDisc!AL7</f>
        <v xml:space="preserve">0 </v>
      </c>
      <c r="N23" s="152" t="s">
        <v>154</v>
      </c>
      <c r="O23" s="152" t="str">
        <f>GlobBerMedDisc!X7</f>
        <v/>
      </c>
      <c r="P23" s="152" t="s">
        <v>4083</v>
      </c>
      <c r="Q23" s="152" t="str">
        <f>GlobBerMedDisc!Y7</f>
        <v/>
      </c>
      <c r="R23" s="152" t="s">
        <v>343</v>
      </c>
      <c r="S23" s="152" t="str">
        <f>GlobBerMedDisc!Z7</f>
        <v/>
      </c>
      <c r="T23" s="152" t="s">
        <v>860</v>
      </c>
      <c r="U23" s="152" t="str">
        <f>GlobBerMedDisc!AO7</f>
        <v/>
      </c>
      <c r="V23" s="152" t="s">
        <v>5143</v>
      </c>
      <c r="W23" s="152" t="str">
        <f>GlobBerMedDisc!AA7</f>
        <v/>
      </c>
      <c r="X23" s="152" t="s">
        <v>5144</v>
      </c>
      <c r="Y23" s="152">
        <f>GlobBerMedDisc!AB7</f>
        <v>0</v>
      </c>
      <c r="Z23" s="152" t="s">
        <v>5145</v>
      </c>
      <c r="AA23" s="152" t="str">
        <f>GlobBerMedDisc!AC7</f>
        <v/>
      </c>
      <c r="AB23" s="152" t="s">
        <v>3288</v>
      </c>
      <c r="AC23" s="152">
        <f>GlobBerMedDisc!AI7</f>
        <v>0</v>
      </c>
      <c r="AD23" s="152" t="s">
        <v>344</v>
      </c>
      <c r="AE23" s="152">
        <f>GlobBerMedDisc!AD7</f>
        <v>0</v>
      </c>
      <c r="AF23" s="152" t="s">
        <v>863</v>
      </c>
      <c r="AG23" s="152">
        <f>GlobBerMedDisc!AJ7</f>
        <v>0</v>
      </c>
      <c r="AH23" s="152" t="s">
        <v>861</v>
      </c>
      <c r="AI23" s="152">
        <f>GlobBerMedDisc!V7</f>
        <v>0</v>
      </c>
      <c r="AJ23" s="152" t="s">
        <v>865</v>
      </c>
      <c r="AK23" s="151">
        <f>GlobBerMedDisc!AM7</f>
        <v>0</v>
      </c>
    </row>
    <row r="24" spans="1:37" x14ac:dyDescent="0.2">
      <c r="A24" s="152" t="str">
        <f t="shared" si="0"/>
        <v>MedDisc.07</v>
      </c>
      <c r="B24" s="704" t="str">
        <f t="shared" si="2"/>
        <v/>
      </c>
      <c r="C24" s="704" t="str">
        <f t="shared" si="1"/>
        <v>MedDisc.07**</v>
      </c>
      <c r="D24" s="152" t="s">
        <v>5114</v>
      </c>
      <c r="E24" s="157" t="s">
        <v>337</v>
      </c>
      <c r="F24" s="152" t="s">
        <v>5142</v>
      </c>
      <c r="G24" s="152">
        <f>GlobBerMedDisc!B8</f>
        <v>0</v>
      </c>
      <c r="H24" s="152" t="s">
        <v>352</v>
      </c>
      <c r="I24" s="152">
        <f>GlobBerMedDisc!D8</f>
        <v>0</v>
      </c>
      <c r="J24" s="152" t="s">
        <v>3424</v>
      </c>
      <c r="K24" s="152">
        <f>GlobBerMedDisc!C8</f>
        <v>0</v>
      </c>
      <c r="L24" s="152" t="s">
        <v>153</v>
      </c>
      <c r="M24" s="152" t="str">
        <f>GlobBerMedDisc!AK8&amp;" "&amp;GlobBerMedDisc!AL8</f>
        <v xml:space="preserve">0 </v>
      </c>
      <c r="N24" s="152" t="s">
        <v>154</v>
      </c>
      <c r="O24" s="152" t="str">
        <f>GlobBerMedDisc!X8</f>
        <v/>
      </c>
      <c r="P24" s="152" t="s">
        <v>4083</v>
      </c>
      <c r="Q24" s="152" t="str">
        <f>GlobBerMedDisc!Y8</f>
        <v/>
      </c>
      <c r="R24" s="152" t="s">
        <v>343</v>
      </c>
      <c r="S24" s="152" t="str">
        <f>GlobBerMedDisc!Z8</f>
        <v/>
      </c>
      <c r="T24" s="152" t="s">
        <v>860</v>
      </c>
      <c r="U24" s="152" t="str">
        <f>GlobBerMedDisc!AO8</f>
        <v/>
      </c>
      <c r="V24" s="152" t="s">
        <v>5143</v>
      </c>
      <c r="W24" s="152" t="str">
        <f>GlobBerMedDisc!AA8</f>
        <v/>
      </c>
      <c r="X24" s="152" t="s">
        <v>5144</v>
      </c>
      <c r="Y24" s="152">
        <f>GlobBerMedDisc!AB8</f>
        <v>0</v>
      </c>
      <c r="Z24" s="152" t="s">
        <v>5145</v>
      </c>
      <c r="AA24" s="152" t="str">
        <f>GlobBerMedDisc!AC8</f>
        <v/>
      </c>
      <c r="AB24" s="152" t="s">
        <v>3288</v>
      </c>
      <c r="AC24" s="152">
        <f>GlobBerMedDisc!AI8</f>
        <v>0</v>
      </c>
      <c r="AD24" s="152" t="s">
        <v>344</v>
      </c>
      <c r="AE24" s="152">
        <f>GlobBerMedDisc!AD8</f>
        <v>0</v>
      </c>
      <c r="AF24" s="152" t="s">
        <v>863</v>
      </c>
      <c r="AG24" s="152">
        <f>GlobBerMedDisc!AJ8</f>
        <v>0</v>
      </c>
      <c r="AH24" s="152" t="s">
        <v>861</v>
      </c>
      <c r="AI24" s="152">
        <f>GlobBerMedDisc!V8</f>
        <v>0</v>
      </c>
      <c r="AJ24" s="152" t="s">
        <v>865</v>
      </c>
      <c r="AK24" s="151">
        <f>GlobBerMedDisc!AM8</f>
        <v>0</v>
      </c>
    </row>
    <row r="25" spans="1:37" x14ac:dyDescent="0.2">
      <c r="A25" s="152" t="str">
        <f t="shared" si="0"/>
        <v>MedDisc.08</v>
      </c>
      <c r="B25" s="704" t="str">
        <f t="shared" si="2"/>
        <v/>
      </c>
      <c r="C25" s="704" t="str">
        <f t="shared" si="1"/>
        <v>MedDisc.08**</v>
      </c>
      <c r="D25" s="152" t="s">
        <v>5114</v>
      </c>
      <c r="E25" s="157" t="s">
        <v>338</v>
      </c>
      <c r="F25" s="152" t="s">
        <v>5142</v>
      </c>
      <c r="G25" s="152">
        <f>GlobBerMedDisc!B9</f>
        <v>0</v>
      </c>
      <c r="H25" s="152" t="s">
        <v>352</v>
      </c>
      <c r="I25" s="152">
        <f>GlobBerMedDisc!D9</f>
        <v>0</v>
      </c>
      <c r="J25" s="152" t="s">
        <v>3424</v>
      </c>
      <c r="K25" s="152">
        <f>GlobBerMedDisc!C9</f>
        <v>0</v>
      </c>
      <c r="L25" s="152" t="s">
        <v>153</v>
      </c>
      <c r="M25" s="152" t="str">
        <f>GlobBerMedDisc!AK9&amp;" "&amp;GlobBerMedDisc!AL9</f>
        <v xml:space="preserve">0 </v>
      </c>
      <c r="N25" s="152" t="s">
        <v>154</v>
      </c>
      <c r="O25" s="152" t="str">
        <f>GlobBerMedDisc!X9</f>
        <v/>
      </c>
      <c r="P25" s="152" t="s">
        <v>4083</v>
      </c>
      <c r="Q25" s="152" t="str">
        <f>GlobBerMedDisc!Y9</f>
        <v/>
      </c>
      <c r="R25" s="152" t="s">
        <v>343</v>
      </c>
      <c r="S25" s="152" t="str">
        <f>GlobBerMedDisc!Z9</f>
        <v/>
      </c>
      <c r="T25" s="152" t="s">
        <v>860</v>
      </c>
      <c r="U25" s="152" t="str">
        <f>GlobBerMedDisc!AO9</f>
        <v/>
      </c>
      <c r="V25" s="152" t="s">
        <v>5143</v>
      </c>
      <c r="W25" s="152" t="str">
        <f>GlobBerMedDisc!AA9</f>
        <v/>
      </c>
      <c r="X25" s="152" t="s">
        <v>5144</v>
      </c>
      <c r="Y25" s="152">
        <f>GlobBerMedDisc!AB9</f>
        <v>0</v>
      </c>
      <c r="Z25" s="152" t="s">
        <v>5145</v>
      </c>
      <c r="AA25" s="152" t="str">
        <f>GlobBerMedDisc!AC9</f>
        <v/>
      </c>
      <c r="AB25" s="152" t="s">
        <v>3288</v>
      </c>
      <c r="AC25" s="152">
        <f>GlobBerMedDisc!AI9</f>
        <v>0</v>
      </c>
      <c r="AD25" s="152" t="s">
        <v>344</v>
      </c>
      <c r="AE25" s="152">
        <f>GlobBerMedDisc!AD9</f>
        <v>0</v>
      </c>
      <c r="AF25" s="152" t="s">
        <v>863</v>
      </c>
      <c r="AG25" s="152">
        <f>GlobBerMedDisc!AJ9</f>
        <v>0</v>
      </c>
      <c r="AH25" s="152" t="s">
        <v>861</v>
      </c>
      <c r="AI25" s="152">
        <f>GlobBerMedDisc!V9</f>
        <v>0</v>
      </c>
      <c r="AJ25" s="152" t="s">
        <v>865</v>
      </c>
      <c r="AK25" s="151">
        <f>GlobBerMedDisc!AM9</f>
        <v>0</v>
      </c>
    </row>
    <row r="26" spans="1:37" x14ac:dyDescent="0.2">
      <c r="A26" s="152" t="str">
        <f t="shared" si="0"/>
        <v>MedDisc.09</v>
      </c>
      <c r="B26" s="704" t="str">
        <f t="shared" si="2"/>
        <v/>
      </c>
      <c r="C26" s="704" t="str">
        <f t="shared" si="1"/>
        <v>MedDisc.09**</v>
      </c>
      <c r="D26" s="152" t="s">
        <v>5114</v>
      </c>
      <c r="E26" s="157" t="s">
        <v>339</v>
      </c>
      <c r="F26" s="152" t="s">
        <v>5142</v>
      </c>
      <c r="G26" s="152">
        <f>GlobBerMedDisc!B10</f>
        <v>0</v>
      </c>
      <c r="H26" s="152" t="s">
        <v>352</v>
      </c>
      <c r="I26" s="152">
        <f>GlobBerMedDisc!D10</f>
        <v>0</v>
      </c>
      <c r="J26" s="152" t="s">
        <v>3424</v>
      </c>
      <c r="K26" s="152">
        <f>GlobBerMedDisc!C10</f>
        <v>0</v>
      </c>
      <c r="L26" s="152" t="s">
        <v>153</v>
      </c>
      <c r="M26" s="152" t="str">
        <f>GlobBerMedDisc!AK10&amp;" "&amp;GlobBerMedDisc!AL10</f>
        <v xml:space="preserve">0 </v>
      </c>
      <c r="N26" s="152" t="s">
        <v>154</v>
      </c>
      <c r="O26" s="152" t="str">
        <f>GlobBerMedDisc!X10</f>
        <v/>
      </c>
      <c r="P26" s="152" t="s">
        <v>4083</v>
      </c>
      <c r="Q26" s="152" t="str">
        <f>GlobBerMedDisc!Y10</f>
        <v/>
      </c>
      <c r="R26" s="152" t="s">
        <v>343</v>
      </c>
      <c r="S26" s="152" t="str">
        <f>GlobBerMedDisc!Z10</f>
        <v/>
      </c>
      <c r="T26" s="152" t="s">
        <v>860</v>
      </c>
      <c r="U26" s="152" t="str">
        <f>GlobBerMedDisc!AO10</f>
        <v/>
      </c>
      <c r="V26" s="152" t="s">
        <v>5143</v>
      </c>
      <c r="W26" s="152" t="str">
        <f>GlobBerMedDisc!AA10</f>
        <v/>
      </c>
      <c r="X26" s="152" t="s">
        <v>5144</v>
      </c>
      <c r="Y26" s="152">
        <f>GlobBerMedDisc!AB10</f>
        <v>0</v>
      </c>
      <c r="Z26" s="152" t="s">
        <v>5145</v>
      </c>
      <c r="AA26" s="152" t="str">
        <f>GlobBerMedDisc!AC10</f>
        <v/>
      </c>
      <c r="AB26" s="152" t="s">
        <v>3288</v>
      </c>
      <c r="AC26" s="152">
        <f>GlobBerMedDisc!AI10</f>
        <v>0</v>
      </c>
      <c r="AD26" s="152" t="s">
        <v>344</v>
      </c>
      <c r="AE26" s="152">
        <f>GlobBerMedDisc!AD10</f>
        <v>0</v>
      </c>
      <c r="AF26" s="152" t="s">
        <v>863</v>
      </c>
      <c r="AG26" s="152">
        <f>GlobBerMedDisc!AJ10</f>
        <v>0</v>
      </c>
      <c r="AH26" s="152" t="s">
        <v>861</v>
      </c>
      <c r="AI26" s="152">
        <f>GlobBerMedDisc!V10</f>
        <v>0</v>
      </c>
      <c r="AJ26" s="152" t="s">
        <v>865</v>
      </c>
      <c r="AK26" s="151">
        <f>GlobBerMedDisc!AM10</f>
        <v>0</v>
      </c>
    </row>
    <row r="27" spans="1:37" x14ac:dyDescent="0.2">
      <c r="A27" s="152" t="str">
        <f t="shared" si="0"/>
        <v>MedDisc.10</v>
      </c>
      <c r="B27" s="704" t="str">
        <f t="shared" si="2"/>
        <v/>
      </c>
      <c r="C27" s="704" t="str">
        <f t="shared" si="1"/>
        <v>MedDisc.10**</v>
      </c>
      <c r="D27" s="152" t="s">
        <v>5114</v>
      </c>
      <c r="E27" s="157" t="s">
        <v>483</v>
      </c>
      <c r="F27" s="152" t="s">
        <v>5142</v>
      </c>
      <c r="G27" s="152">
        <f>GlobBerMedDisc!B11</f>
        <v>0</v>
      </c>
      <c r="H27" s="152" t="s">
        <v>352</v>
      </c>
      <c r="I27" s="152">
        <f>GlobBerMedDisc!D11</f>
        <v>0</v>
      </c>
      <c r="J27" s="152" t="s">
        <v>3424</v>
      </c>
      <c r="K27" s="152">
        <f>GlobBerMedDisc!C11</f>
        <v>0</v>
      </c>
      <c r="L27" s="152" t="s">
        <v>153</v>
      </c>
      <c r="M27" s="152" t="str">
        <f>GlobBerMedDisc!AK11&amp;" "&amp;GlobBerMedDisc!AL11</f>
        <v xml:space="preserve">0 </v>
      </c>
      <c r="N27" s="152" t="s">
        <v>154</v>
      </c>
      <c r="O27" s="152" t="str">
        <f>GlobBerMedDisc!X11</f>
        <v/>
      </c>
      <c r="P27" s="152" t="s">
        <v>4083</v>
      </c>
      <c r="Q27" s="152" t="str">
        <f>GlobBerMedDisc!Y11</f>
        <v/>
      </c>
      <c r="R27" s="152" t="s">
        <v>343</v>
      </c>
      <c r="S27" s="152" t="str">
        <f>GlobBerMedDisc!Z11</f>
        <v/>
      </c>
      <c r="T27" s="152" t="s">
        <v>860</v>
      </c>
      <c r="U27" s="152" t="str">
        <f>GlobBerMedDisc!AO11</f>
        <v/>
      </c>
      <c r="V27" s="152" t="s">
        <v>5143</v>
      </c>
      <c r="W27" s="152" t="str">
        <f>GlobBerMedDisc!AA11</f>
        <v/>
      </c>
      <c r="X27" s="152" t="s">
        <v>5144</v>
      </c>
      <c r="Y27" s="152">
        <f>GlobBerMedDisc!AB11</f>
        <v>0</v>
      </c>
      <c r="Z27" s="152" t="s">
        <v>5145</v>
      </c>
      <c r="AA27" s="152" t="str">
        <f>GlobBerMedDisc!AC11</f>
        <v/>
      </c>
      <c r="AB27" s="152" t="s">
        <v>3288</v>
      </c>
      <c r="AC27" s="152">
        <f>GlobBerMedDisc!AI11</f>
        <v>0</v>
      </c>
      <c r="AD27" s="152" t="s">
        <v>344</v>
      </c>
      <c r="AE27" s="152">
        <f>GlobBerMedDisc!AD11</f>
        <v>0</v>
      </c>
      <c r="AF27" s="152" t="s">
        <v>863</v>
      </c>
      <c r="AG27" s="152">
        <f>GlobBerMedDisc!AJ11</f>
        <v>0</v>
      </c>
      <c r="AH27" s="152" t="s">
        <v>861</v>
      </c>
      <c r="AI27" s="152">
        <f>GlobBerMedDisc!V11</f>
        <v>0</v>
      </c>
      <c r="AJ27" s="152" t="s">
        <v>865</v>
      </c>
      <c r="AK27" s="151">
        <f>GlobBerMedDisc!AM11</f>
        <v>0</v>
      </c>
    </row>
    <row r="28" spans="1:37" x14ac:dyDescent="0.2">
      <c r="A28" s="152" t="str">
        <f t="shared" si="0"/>
        <v>MedDisc.11</v>
      </c>
      <c r="B28" s="704" t="str">
        <f t="shared" si="2"/>
        <v/>
      </c>
      <c r="C28" s="704" t="str">
        <f t="shared" si="1"/>
        <v>MedDisc.11**</v>
      </c>
      <c r="D28" s="152" t="s">
        <v>5114</v>
      </c>
      <c r="E28" s="157" t="s">
        <v>484</v>
      </c>
      <c r="F28" s="152" t="s">
        <v>5142</v>
      </c>
      <c r="G28" s="152">
        <f>GlobBerMedDisc!B12</f>
        <v>0</v>
      </c>
      <c r="H28" s="152" t="s">
        <v>352</v>
      </c>
      <c r="I28" s="152">
        <f>GlobBerMedDisc!D12</f>
        <v>0</v>
      </c>
      <c r="J28" s="152" t="s">
        <v>3424</v>
      </c>
      <c r="K28" s="152">
        <f>GlobBerMedDisc!C12</f>
        <v>0</v>
      </c>
      <c r="L28" s="152" t="s">
        <v>153</v>
      </c>
      <c r="M28" s="152" t="str">
        <f>GlobBerMedDisc!AK12&amp;" "&amp;GlobBerMedDisc!AL12</f>
        <v xml:space="preserve">0 </v>
      </c>
      <c r="N28" s="152" t="s">
        <v>154</v>
      </c>
      <c r="O28" s="152" t="str">
        <f>GlobBerMedDisc!X12</f>
        <v/>
      </c>
      <c r="P28" s="152" t="s">
        <v>4083</v>
      </c>
      <c r="Q28" s="152" t="str">
        <f>GlobBerMedDisc!Y12</f>
        <v/>
      </c>
      <c r="R28" s="152" t="s">
        <v>343</v>
      </c>
      <c r="S28" s="152" t="str">
        <f>GlobBerMedDisc!Z12</f>
        <v/>
      </c>
      <c r="T28" s="152" t="s">
        <v>860</v>
      </c>
      <c r="U28" s="152" t="str">
        <f>GlobBerMedDisc!AO12</f>
        <v/>
      </c>
      <c r="V28" s="152" t="s">
        <v>5143</v>
      </c>
      <c r="W28" s="152" t="str">
        <f>GlobBerMedDisc!AA12</f>
        <v/>
      </c>
      <c r="X28" s="152" t="s">
        <v>5144</v>
      </c>
      <c r="Y28" s="152">
        <f>GlobBerMedDisc!AB12</f>
        <v>0</v>
      </c>
      <c r="Z28" s="152" t="s">
        <v>5145</v>
      </c>
      <c r="AA28" s="152" t="str">
        <f>GlobBerMedDisc!AC12</f>
        <v/>
      </c>
      <c r="AB28" s="152" t="s">
        <v>3288</v>
      </c>
      <c r="AC28" s="152">
        <f>GlobBerMedDisc!AI12</f>
        <v>0</v>
      </c>
      <c r="AD28" s="152" t="s">
        <v>344</v>
      </c>
      <c r="AE28" s="152">
        <f>GlobBerMedDisc!AD12</f>
        <v>0</v>
      </c>
      <c r="AF28" s="152" t="s">
        <v>863</v>
      </c>
      <c r="AG28" s="152">
        <f>GlobBerMedDisc!AJ12</f>
        <v>0</v>
      </c>
      <c r="AH28" s="152" t="s">
        <v>861</v>
      </c>
      <c r="AI28" s="152">
        <f>GlobBerMedDisc!V12</f>
        <v>0</v>
      </c>
      <c r="AJ28" s="152" t="s">
        <v>865</v>
      </c>
      <c r="AK28" s="151">
        <f>GlobBerMedDisc!AM12</f>
        <v>0</v>
      </c>
    </row>
    <row r="29" spans="1:37" x14ac:dyDescent="0.2">
      <c r="A29" s="152" t="str">
        <f t="shared" si="0"/>
        <v>MedDisc.12</v>
      </c>
      <c r="B29" s="704" t="str">
        <f t="shared" si="2"/>
        <v/>
      </c>
      <c r="C29" s="704" t="str">
        <f t="shared" si="1"/>
        <v>MedDisc.12**</v>
      </c>
      <c r="D29" s="152" t="s">
        <v>5114</v>
      </c>
      <c r="E29" s="157" t="s">
        <v>485</v>
      </c>
      <c r="F29" s="152" t="s">
        <v>5142</v>
      </c>
      <c r="G29" s="152">
        <f>GlobBerMedDisc!B13</f>
        <v>0</v>
      </c>
      <c r="H29" s="152" t="s">
        <v>352</v>
      </c>
      <c r="I29" s="152">
        <f>GlobBerMedDisc!D13</f>
        <v>0</v>
      </c>
      <c r="J29" s="152" t="s">
        <v>3424</v>
      </c>
      <c r="K29" s="152">
        <f>GlobBerMedDisc!C13</f>
        <v>0</v>
      </c>
      <c r="L29" s="152" t="s">
        <v>153</v>
      </c>
      <c r="M29" s="152" t="str">
        <f>GlobBerMedDisc!AK13&amp;" "&amp;GlobBerMedDisc!AL13</f>
        <v xml:space="preserve">0 </v>
      </c>
      <c r="N29" s="152" t="s">
        <v>154</v>
      </c>
      <c r="O29" s="152" t="str">
        <f>GlobBerMedDisc!X13</f>
        <v/>
      </c>
      <c r="P29" s="152" t="s">
        <v>4083</v>
      </c>
      <c r="Q29" s="152" t="str">
        <f>GlobBerMedDisc!Y13</f>
        <v/>
      </c>
      <c r="R29" s="152" t="s">
        <v>343</v>
      </c>
      <c r="S29" s="152" t="str">
        <f>GlobBerMedDisc!Z13</f>
        <v/>
      </c>
      <c r="T29" s="152" t="s">
        <v>860</v>
      </c>
      <c r="U29" s="152" t="str">
        <f>GlobBerMedDisc!AO13</f>
        <v/>
      </c>
      <c r="V29" s="152" t="s">
        <v>5143</v>
      </c>
      <c r="W29" s="152" t="str">
        <f>GlobBerMedDisc!AA13</f>
        <v/>
      </c>
      <c r="X29" s="152" t="s">
        <v>5144</v>
      </c>
      <c r="Y29" s="152">
        <f>GlobBerMedDisc!AB13</f>
        <v>0</v>
      </c>
      <c r="Z29" s="152" t="s">
        <v>5145</v>
      </c>
      <c r="AA29" s="152" t="str">
        <f>GlobBerMedDisc!AC13</f>
        <v/>
      </c>
      <c r="AB29" s="152" t="s">
        <v>3288</v>
      </c>
      <c r="AC29" s="152">
        <f>GlobBerMedDisc!AI13</f>
        <v>0</v>
      </c>
      <c r="AD29" s="152" t="s">
        <v>344</v>
      </c>
      <c r="AE29" s="152">
        <f>GlobBerMedDisc!AD13</f>
        <v>0</v>
      </c>
      <c r="AF29" s="152" t="s">
        <v>863</v>
      </c>
      <c r="AG29" s="152">
        <f>GlobBerMedDisc!AJ13</f>
        <v>0</v>
      </c>
      <c r="AH29" s="152" t="s">
        <v>861</v>
      </c>
      <c r="AI29" s="152">
        <f>GlobBerMedDisc!V13</f>
        <v>0</v>
      </c>
      <c r="AJ29" s="152" t="s">
        <v>865</v>
      </c>
      <c r="AK29" s="151">
        <f>GlobBerMedDisc!AM13</f>
        <v>0</v>
      </c>
    </row>
    <row r="30" spans="1:37" x14ac:dyDescent="0.2">
      <c r="A30" s="152" t="str">
        <f t="shared" si="0"/>
        <v>MedDisc.13</v>
      </c>
      <c r="B30" s="704" t="str">
        <f t="shared" si="2"/>
        <v/>
      </c>
      <c r="C30" s="704" t="str">
        <f t="shared" si="1"/>
        <v>MedDisc.13**</v>
      </c>
      <c r="D30" s="152" t="s">
        <v>5114</v>
      </c>
      <c r="E30" s="157" t="s">
        <v>579</v>
      </c>
      <c r="F30" s="152" t="s">
        <v>5142</v>
      </c>
      <c r="G30" s="152">
        <f>GlobBerMedDisc!B14</f>
        <v>0</v>
      </c>
      <c r="H30" s="152" t="s">
        <v>352</v>
      </c>
      <c r="I30" s="152">
        <f>GlobBerMedDisc!D14</f>
        <v>0</v>
      </c>
      <c r="J30" s="152" t="s">
        <v>3424</v>
      </c>
      <c r="K30" s="152">
        <f>GlobBerMedDisc!C14</f>
        <v>0</v>
      </c>
      <c r="L30" s="152" t="s">
        <v>153</v>
      </c>
      <c r="M30" s="152" t="str">
        <f>GlobBerMedDisc!AK14&amp;" "&amp;GlobBerMedDisc!AL14</f>
        <v xml:space="preserve">0 </v>
      </c>
      <c r="N30" s="152" t="s">
        <v>154</v>
      </c>
      <c r="O30" s="152" t="str">
        <f>GlobBerMedDisc!X14</f>
        <v/>
      </c>
      <c r="P30" s="152" t="s">
        <v>4083</v>
      </c>
      <c r="Q30" s="152" t="str">
        <f>GlobBerMedDisc!Y14</f>
        <v/>
      </c>
      <c r="R30" s="152" t="s">
        <v>343</v>
      </c>
      <c r="S30" s="152" t="str">
        <f>GlobBerMedDisc!Z14</f>
        <v/>
      </c>
      <c r="T30" s="152" t="s">
        <v>860</v>
      </c>
      <c r="U30" s="152" t="str">
        <f>GlobBerMedDisc!AO14</f>
        <v/>
      </c>
      <c r="V30" s="152" t="s">
        <v>5143</v>
      </c>
      <c r="W30" s="152" t="str">
        <f>GlobBerMedDisc!AA14</f>
        <v/>
      </c>
      <c r="X30" s="152" t="s">
        <v>5144</v>
      </c>
      <c r="Y30" s="152">
        <f>GlobBerMedDisc!AB14</f>
        <v>0</v>
      </c>
      <c r="Z30" s="152" t="s">
        <v>5145</v>
      </c>
      <c r="AA30" s="152" t="str">
        <f>GlobBerMedDisc!AC14</f>
        <v/>
      </c>
      <c r="AB30" s="152" t="s">
        <v>3288</v>
      </c>
      <c r="AC30" s="152">
        <f>GlobBerMedDisc!AI14</f>
        <v>0</v>
      </c>
      <c r="AD30" s="152" t="s">
        <v>344</v>
      </c>
      <c r="AE30" s="152">
        <f>GlobBerMedDisc!AD14</f>
        <v>0</v>
      </c>
      <c r="AF30" s="152" t="s">
        <v>863</v>
      </c>
      <c r="AG30" s="152">
        <f>GlobBerMedDisc!AJ14</f>
        <v>0</v>
      </c>
      <c r="AH30" s="152" t="s">
        <v>861</v>
      </c>
      <c r="AI30" s="152">
        <f>GlobBerMedDisc!V14</f>
        <v>0</v>
      </c>
      <c r="AJ30" s="152" t="s">
        <v>865</v>
      </c>
      <c r="AK30" s="151">
        <f>GlobBerMedDisc!AM14</f>
        <v>0</v>
      </c>
    </row>
    <row r="31" spans="1:37" x14ac:dyDescent="0.2">
      <c r="A31" s="152" t="str">
        <f t="shared" si="0"/>
        <v>MedDisc.14</v>
      </c>
      <c r="B31" s="704" t="str">
        <f t="shared" si="2"/>
        <v/>
      </c>
      <c r="C31" s="704" t="str">
        <f t="shared" si="1"/>
        <v>MedDisc.14**</v>
      </c>
      <c r="D31" s="152" t="s">
        <v>5114</v>
      </c>
      <c r="E31" s="157" t="s">
        <v>580</v>
      </c>
      <c r="F31" s="152" t="s">
        <v>5142</v>
      </c>
      <c r="G31" s="152">
        <f>GlobBerMedDisc!B15</f>
        <v>0</v>
      </c>
      <c r="H31" s="152" t="s">
        <v>352</v>
      </c>
      <c r="I31" s="152">
        <f>GlobBerMedDisc!D15</f>
        <v>0</v>
      </c>
      <c r="J31" s="152" t="s">
        <v>3424</v>
      </c>
      <c r="K31" s="152">
        <f>GlobBerMedDisc!C15</f>
        <v>0</v>
      </c>
      <c r="L31" s="152" t="s">
        <v>153</v>
      </c>
      <c r="M31" s="152" t="str">
        <f>GlobBerMedDisc!AK15&amp;" "&amp;GlobBerMedDisc!AL15</f>
        <v xml:space="preserve">0 </v>
      </c>
      <c r="N31" s="152" t="s">
        <v>154</v>
      </c>
      <c r="O31" s="152" t="str">
        <f>GlobBerMedDisc!X15</f>
        <v/>
      </c>
      <c r="P31" s="152" t="s">
        <v>4083</v>
      </c>
      <c r="Q31" s="152" t="str">
        <f>GlobBerMedDisc!Y15</f>
        <v/>
      </c>
      <c r="R31" s="152" t="s">
        <v>343</v>
      </c>
      <c r="S31" s="152" t="str">
        <f>GlobBerMedDisc!Z15</f>
        <v/>
      </c>
      <c r="T31" s="152" t="s">
        <v>860</v>
      </c>
      <c r="U31" s="152" t="str">
        <f>GlobBerMedDisc!AO15</f>
        <v/>
      </c>
      <c r="V31" s="152" t="s">
        <v>5143</v>
      </c>
      <c r="W31" s="152" t="str">
        <f>GlobBerMedDisc!AA15</f>
        <v/>
      </c>
      <c r="X31" s="152" t="s">
        <v>5144</v>
      </c>
      <c r="Y31" s="152">
        <f>GlobBerMedDisc!AB15</f>
        <v>0</v>
      </c>
      <c r="Z31" s="152" t="s">
        <v>5145</v>
      </c>
      <c r="AA31" s="152" t="str">
        <f>GlobBerMedDisc!AC15</f>
        <v/>
      </c>
      <c r="AB31" s="152" t="s">
        <v>3288</v>
      </c>
      <c r="AC31" s="152">
        <f>GlobBerMedDisc!AI15</f>
        <v>0</v>
      </c>
      <c r="AD31" s="152" t="s">
        <v>344</v>
      </c>
      <c r="AE31" s="152">
        <f>GlobBerMedDisc!AD15</f>
        <v>0</v>
      </c>
      <c r="AF31" s="152" t="s">
        <v>863</v>
      </c>
      <c r="AG31" s="152">
        <f>GlobBerMedDisc!AJ15</f>
        <v>0</v>
      </c>
      <c r="AH31" s="152" t="s">
        <v>861</v>
      </c>
      <c r="AI31" s="152">
        <f>GlobBerMedDisc!V15</f>
        <v>0</v>
      </c>
      <c r="AJ31" s="152" t="s">
        <v>865</v>
      </c>
      <c r="AK31" s="151">
        <f>GlobBerMedDisc!AM15</f>
        <v>0</v>
      </c>
    </row>
    <row r="32" spans="1:37" x14ac:dyDescent="0.2">
      <c r="A32" s="152" t="str">
        <f t="shared" si="0"/>
        <v>MedDisc.15</v>
      </c>
      <c r="B32" s="704" t="str">
        <f t="shared" si="2"/>
        <v/>
      </c>
      <c r="C32" s="704" t="str">
        <f t="shared" si="1"/>
        <v>MedDisc.15**</v>
      </c>
      <c r="D32" s="152" t="s">
        <v>5114</v>
      </c>
      <c r="E32" s="157" t="s">
        <v>819</v>
      </c>
      <c r="F32" s="152" t="s">
        <v>5142</v>
      </c>
      <c r="G32" s="152">
        <f>GlobBerMedDisc!B16</f>
        <v>0</v>
      </c>
      <c r="H32" s="152" t="s">
        <v>352</v>
      </c>
      <c r="I32" s="152">
        <f>GlobBerMedDisc!D16</f>
        <v>0</v>
      </c>
      <c r="J32" s="152" t="s">
        <v>3424</v>
      </c>
      <c r="K32" s="152">
        <f>GlobBerMedDisc!C16</f>
        <v>0</v>
      </c>
      <c r="L32" s="152" t="s">
        <v>153</v>
      </c>
      <c r="M32" s="152" t="str">
        <f>GlobBerMedDisc!AK16&amp;" "&amp;GlobBerMedDisc!AL16</f>
        <v xml:space="preserve">0 </v>
      </c>
      <c r="N32" s="152" t="s">
        <v>154</v>
      </c>
      <c r="O32" s="152" t="str">
        <f>GlobBerMedDisc!X16</f>
        <v/>
      </c>
      <c r="P32" s="152" t="s">
        <v>4083</v>
      </c>
      <c r="Q32" s="152" t="str">
        <f>GlobBerMedDisc!Y16</f>
        <v/>
      </c>
      <c r="R32" s="152" t="s">
        <v>343</v>
      </c>
      <c r="S32" s="152" t="str">
        <f>GlobBerMedDisc!Z16</f>
        <v/>
      </c>
      <c r="T32" s="152" t="s">
        <v>860</v>
      </c>
      <c r="U32" s="152" t="str">
        <f>GlobBerMedDisc!AO16</f>
        <v/>
      </c>
      <c r="V32" s="152" t="s">
        <v>5143</v>
      </c>
      <c r="W32" s="152" t="str">
        <f>GlobBerMedDisc!AA16</f>
        <v/>
      </c>
      <c r="X32" s="152" t="s">
        <v>5144</v>
      </c>
      <c r="Y32" s="152">
        <f>GlobBerMedDisc!AB16</f>
        <v>0</v>
      </c>
      <c r="Z32" s="152" t="s">
        <v>5145</v>
      </c>
      <c r="AA32" s="152" t="str">
        <f>GlobBerMedDisc!AC16</f>
        <v/>
      </c>
      <c r="AB32" s="152" t="s">
        <v>3288</v>
      </c>
      <c r="AC32" s="152">
        <f>GlobBerMedDisc!AI16</f>
        <v>0</v>
      </c>
      <c r="AD32" s="152" t="s">
        <v>344</v>
      </c>
      <c r="AE32" s="152">
        <f>GlobBerMedDisc!AD16</f>
        <v>0</v>
      </c>
      <c r="AF32" s="152" t="s">
        <v>863</v>
      </c>
      <c r="AG32" s="152">
        <f>GlobBerMedDisc!AJ16</f>
        <v>0</v>
      </c>
      <c r="AH32" s="152" t="s">
        <v>861</v>
      </c>
      <c r="AI32" s="152">
        <f>GlobBerMedDisc!V16</f>
        <v>0</v>
      </c>
      <c r="AJ32" s="152" t="s">
        <v>865</v>
      </c>
      <c r="AK32" s="151">
        <f>GlobBerMedDisc!AM16</f>
        <v>0</v>
      </c>
    </row>
    <row r="33" spans="1:37" x14ac:dyDescent="0.2">
      <c r="A33" s="152" t="str">
        <f t="shared" si="0"/>
        <v>MedDisc.16</v>
      </c>
      <c r="B33" s="704" t="str">
        <f t="shared" si="2"/>
        <v/>
      </c>
      <c r="C33" s="704" t="str">
        <f t="shared" si="1"/>
        <v>MedDisc.16**</v>
      </c>
      <c r="D33" s="152" t="s">
        <v>5114</v>
      </c>
      <c r="E33" s="157" t="s">
        <v>833</v>
      </c>
      <c r="F33" s="152" t="s">
        <v>5142</v>
      </c>
      <c r="G33" s="152">
        <f>GlobBerMedDisc!B17</f>
        <v>0</v>
      </c>
      <c r="H33" s="152" t="s">
        <v>352</v>
      </c>
      <c r="I33" s="152">
        <f>GlobBerMedDisc!D17</f>
        <v>0</v>
      </c>
      <c r="J33" s="152" t="s">
        <v>3424</v>
      </c>
      <c r="K33" s="152">
        <f>GlobBerMedDisc!C17</f>
        <v>0</v>
      </c>
      <c r="L33" s="152" t="s">
        <v>153</v>
      </c>
      <c r="M33" s="152" t="str">
        <f>GlobBerMedDisc!AK17&amp;" "&amp;GlobBerMedDisc!AL17</f>
        <v xml:space="preserve">0 </v>
      </c>
      <c r="N33" s="152" t="s">
        <v>154</v>
      </c>
      <c r="O33" s="152" t="str">
        <f>GlobBerMedDisc!X17</f>
        <v/>
      </c>
      <c r="P33" s="152" t="s">
        <v>4083</v>
      </c>
      <c r="Q33" s="152" t="str">
        <f>GlobBerMedDisc!Y17</f>
        <v/>
      </c>
      <c r="R33" s="152" t="s">
        <v>343</v>
      </c>
      <c r="S33" s="152" t="str">
        <f>GlobBerMedDisc!Z17</f>
        <v/>
      </c>
      <c r="T33" s="152" t="s">
        <v>860</v>
      </c>
      <c r="U33" s="152" t="str">
        <f>GlobBerMedDisc!AO17</f>
        <v/>
      </c>
      <c r="V33" s="152" t="s">
        <v>5143</v>
      </c>
      <c r="W33" s="152" t="str">
        <f>GlobBerMedDisc!AA17</f>
        <v/>
      </c>
      <c r="X33" s="152" t="s">
        <v>5144</v>
      </c>
      <c r="Y33" s="152">
        <f>GlobBerMedDisc!AB17</f>
        <v>0</v>
      </c>
      <c r="Z33" s="152" t="s">
        <v>5145</v>
      </c>
      <c r="AA33" s="152" t="str">
        <f>GlobBerMedDisc!AC17</f>
        <v/>
      </c>
      <c r="AB33" s="152" t="s">
        <v>3288</v>
      </c>
      <c r="AC33" s="152">
        <f>GlobBerMedDisc!AI17</f>
        <v>0</v>
      </c>
      <c r="AD33" s="152" t="s">
        <v>344</v>
      </c>
      <c r="AE33" s="152">
        <f>GlobBerMedDisc!AD17</f>
        <v>0</v>
      </c>
      <c r="AF33" s="152" t="s">
        <v>863</v>
      </c>
      <c r="AG33" s="152">
        <f>GlobBerMedDisc!AJ17</f>
        <v>0</v>
      </c>
      <c r="AH33" s="152" t="s">
        <v>861</v>
      </c>
      <c r="AI33" s="152">
        <f>GlobBerMedDisc!V17</f>
        <v>0</v>
      </c>
      <c r="AJ33" s="152" t="s">
        <v>865</v>
      </c>
      <c r="AK33" s="151">
        <f>GlobBerMedDisc!AM17</f>
        <v>0</v>
      </c>
    </row>
    <row r="34" spans="1:37" x14ac:dyDescent="0.2">
      <c r="A34" s="152" t="str">
        <f t="shared" si="0"/>
        <v>MedDisc.17</v>
      </c>
      <c r="B34" s="704" t="str">
        <f t="shared" si="2"/>
        <v/>
      </c>
      <c r="C34" s="704" t="str">
        <f t="shared" si="1"/>
        <v>MedDisc.17**</v>
      </c>
      <c r="D34" s="152" t="s">
        <v>5114</v>
      </c>
      <c r="E34" s="157" t="s">
        <v>834</v>
      </c>
      <c r="F34" s="152" t="s">
        <v>5142</v>
      </c>
      <c r="G34" s="152">
        <f>GlobBerMedDisc!B18</f>
        <v>0</v>
      </c>
      <c r="H34" s="152" t="s">
        <v>352</v>
      </c>
      <c r="I34" s="152">
        <f>GlobBerMedDisc!D18</f>
        <v>0</v>
      </c>
      <c r="J34" s="152" t="s">
        <v>3424</v>
      </c>
      <c r="K34" s="152">
        <f>GlobBerMedDisc!C18</f>
        <v>0</v>
      </c>
      <c r="L34" s="152" t="s">
        <v>153</v>
      </c>
      <c r="M34" s="152" t="str">
        <f>GlobBerMedDisc!AK18&amp;" "&amp;GlobBerMedDisc!AL18</f>
        <v xml:space="preserve">0 </v>
      </c>
      <c r="N34" s="152" t="s">
        <v>154</v>
      </c>
      <c r="O34" s="152" t="str">
        <f>GlobBerMedDisc!X18</f>
        <v/>
      </c>
      <c r="P34" s="152" t="s">
        <v>4083</v>
      </c>
      <c r="Q34" s="152" t="str">
        <f>GlobBerMedDisc!Y18</f>
        <v/>
      </c>
      <c r="R34" s="152" t="s">
        <v>343</v>
      </c>
      <c r="S34" s="152" t="str">
        <f>GlobBerMedDisc!Z18</f>
        <v/>
      </c>
      <c r="T34" s="152" t="s">
        <v>860</v>
      </c>
      <c r="U34" s="152" t="str">
        <f>GlobBerMedDisc!AO18</f>
        <v/>
      </c>
      <c r="V34" s="152" t="s">
        <v>5143</v>
      </c>
      <c r="W34" s="152" t="str">
        <f>GlobBerMedDisc!AA18</f>
        <v/>
      </c>
      <c r="X34" s="152" t="s">
        <v>5144</v>
      </c>
      <c r="Y34" s="152">
        <f>GlobBerMedDisc!AB18</f>
        <v>0</v>
      </c>
      <c r="Z34" s="152" t="s">
        <v>5145</v>
      </c>
      <c r="AA34" s="152" t="str">
        <f>GlobBerMedDisc!AC18</f>
        <v/>
      </c>
      <c r="AB34" s="152" t="s">
        <v>3288</v>
      </c>
      <c r="AC34" s="152">
        <f>GlobBerMedDisc!AI18</f>
        <v>0</v>
      </c>
      <c r="AD34" s="152" t="s">
        <v>344</v>
      </c>
      <c r="AE34" s="152">
        <f>GlobBerMedDisc!AD18</f>
        <v>0</v>
      </c>
      <c r="AF34" s="152" t="s">
        <v>863</v>
      </c>
      <c r="AG34" s="152">
        <f>GlobBerMedDisc!AJ18</f>
        <v>0</v>
      </c>
      <c r="AH34" s="152" t="s">
        <v>861</v>
      </c>
      <c r="AI34" s="152">
        <f>GlobBerMedDisc!V18</f>
        <v>0</v>
      </c>
      <c r="AJ34" s="152" t="s">
        <v>865</v>
      </c>
      <c r="AK34" s="151">
        <f>GlobBerMedDisc!AM18</f>
        <v>0</v>
      </c>
    </row>
    <row r="35" spans="1:37" x14ac:dyDescent="0.2">
      <c r="A35" s="152" t="str">
        <f t="shared" si="0"/>
        <v>MedDisc.18</v>
      </c>
      <c r="B35" s="704" t="str">
        <f t="shared" si="2"/>
        <v/>
      </c>
      <c r="C35" s="704" t="str">
        <f t="shared" si="1"/>
        <v>MedDisc.18**</v>
      </c>
      <c r="D35" s="152" t="s">
        <v>5114</v>
      </c>
      <c r="E35" s="157" t="s">
        <v>835</v>
      </c>
      <c r="F35" s="152" t="s">
        <v>5142</v>
      </c>
      <c r="G35" s="152">
        <f>GlobBerMedDisc!B19</f>
        <v>0</v>
      </c>
      <c r="H35" s="152" t="s">
        <v>352</v>
      </c>
      <c r="I35" s="152">
        <f>GlobBerMedDisc!D19</f>
        <v>0</v>
      </c>
      <c r="J35" s="152" t="s">
        <v>3424</v>
      </c>
      <c r="K35" s="152">
        <f>GlobBerMedDisc!C19</f>
        <v>0</v>
      </c>
      <c r="L35" s="152" t="s">
        <v>153</v>
      </c>
      <c r="M35" s="152" t="str">
        <f>GlobBerMedDisc!AK19&amp;" "&amp;GlobBerMedDisc!AL19</f>
        <v xml:space="preserve">0 </v>
      </c>
      <c r="N35" s="152" t="s">
        <v>154</v>
      </c>
      <c r="O35" s="152" t="str">
        <f>GlobBerMedDisc!X19</f>
        <v/>
      </c>
      <c r="P35" s="152" t="s">
        <v>4083</v>
      </c>
      <c r="Q35" s="152" t="str">
        <f>GlobBerMedDisc!Y19</f>
        <v/>
      </c>
      <c r="R35" s="152" t="s">
        <v>343</v>
      </c>
      <c r="S35" s="152" t="str">
        <f>GlobBerMedDisc!Z19</f>
        <v/>
      </c>
      <c r="T35" s="152" t="s">
        <v>860</v>
      </c>
      <c r="U35" s="152" t="str">
        <f>GlobBerMedDisc!AO19</f>
        <v/>
      </c>
      <c r="V35" s="152" t="s">
        <v>5143</v>
      </c>
      <c r="W35" s="152" t="str">
        <f>GlobBerMedDisc!AA19</f>
        <v/>
      </c>
      <c r="X35" s="152" t="s">
        <v>5144</v>
      </c>
      <c r="Y35" s="152">
        <f>GlobBerMedDisc!AB19</f>
        <v>0</v>
      </c>
      <c r="Z35" s="152" t="s">
        <v>5145</v>
      </c>
      <c r="AA35" s="152" t="str">
        <f>GlobBerMedDisc!AC19</f>
        <v/>
      </c>
      <c r="AB35" s="152" t="s">
        <v>3288</v>
      </c>
      <c r="AC35" s="152">
        <f>GlobBerMedDisc!AI19</f>
        <v>0</v>
      </c>
      <c r="AD35" s="152" t="s">
        <v>344</v>
      </c>
      <c r="AE35" s="152">
        <f>GlobBerMedDisc!AD19</f>
        <v>0</v>
      </c>
      <c r="AF35" s="152" t="s">
        <v>863</v>
      </c>
      <c r="AG35" s="152">
        <f>GlobBerMedDisc!AJ19</f>
        <v>0</v>
      </c>
      <c r="AH35" s="152" t="s">
        <v>861</v>
      </c>
      <c r="AI35" s="152">
        <f>GlobBerMedDisc!V19</f>
        <v>0</v>
      </c>
      <c r="AJ35" s="152" t="s">
        <v>865</v>
      </c>
      <c r="AK35" s="151">
        <f>GlobBerMedDisc!AM19</f>
        <v>0</v>
      </c>
    </row>
    <row r="36" spans="1:37" x14ac:dyDescent="0.2">
      <c r="A36" s="152" t="str">
        <f t="shared" si="0"/>
        <v>MedDisc.19</v>
      </c>
      <c r="B36" s="704" t="str">
        <f t="shared" si="2"/>
        <v/>
      </c>
      <c r="C36" s="704" t="str">
        <f t="shared" si="1"/>
        <v>MedDisc.19**</v>
      </c>
      <c r="D36" s="152" t="s">
        <v>5114</v>
      </c>
      <c r="E36" s="157" t="s">
        <v>836</v>
      </c>
      <c r="F36" s="152" t="s">
        <v>5142</v>
      </c>
      <c r="G36" s="152">
        <f>GlobBerMedDisc!B20</f>
        <v>0</v>
      </c>
      <c r="H36" s="152" t="s">
        <v>352</v>
      </c>
      <c r="I36" s="152">
        <f>GlobBerMedDisc!D20</f>
        <v>0</v>
      </c>
      <c r="J36" s="152" t="s">
        <v>3424</v>
      </c>
      <c r="K36" s="152">
        <f>GlobBerMedDisc!C20</f>
        <v>0</v>
      </c>
      <c r="L36" s="152" t="s">
        <v>153</v>
      </c>
      <c r="M36" s="152" t="str">
        <f>GlobBerMedDisc!AK20&amp;" "&amp;GlobBerMedDisc!AL20</f>
        <v xml:space="preserve">0 </v>
      </c>
      <c r="N36" s="152" t="s">
        <v>154</v>
      </c>
      <c r="O36" s="152" t="str">
        <f>GlobBerMedDisc!X20</f>
        <v/>
      </c>
      <c r="P36" s="152" t="s">
        <v>4083</v>
      </c>
      <c r="Q36" s="152" t="str">
        <f>GlobBerMedDisc!Y20</f>
        <v/>
      </c>
      <c r="R36" s="152" t="s">
        <v>343</v>
      </c>
      <c r="S36" s="152" t="str">
        <f>GlobBerMedDisc!Z20</f>
        <v/>
      </c>
      <c r="T36" s="152" t="s">
        <v>860</v>
      </c>
      <c r="U36" s="152" t="str">
        <f>GlobBerMedDisc!AO20</f>
        <v/>
      </c>
      <c r="V36" s="152" t="s">
        <v>5143</v>
      </c>
      <c r="W36" s="152" t="str">
        <f>GlobBerMedDisc!AA20</f>
        <v/>
      </c>
      <c r="X36" s="152" t="s">
        <v>5144</v>
      </c>
      <c r="Y36" s="152">
        <f>GlobBerMedDisc!AB20</f>
        <v>0</v>
      </c>
      <c r="Z36" s="152" t="s">
        <v>5145</v>
      </c>
      <c r="AA36" s="152" t="str">
        <f>GlobBerMedDisc!AC20</f>
        <v/>
      </c>
      <c r="AB36" s="152" t="s">
        <v>3288</v>
      </c>
      <c r="AC36" s="152">
        <f>GlobBerMedDisc!AI20</f>
        <v>0</v>
      </c>
      <c r="AD36" s="152" t="s">
        <v>344</v>
      </c>
      <c r="AE36" s="152">
        <f>GlobBerMedDisc!AD20</f>
        <v>0</v>
      </c>
      <c r="AF36" s="152" t="s">
        <v>863</v>
      </c>
      <c r="AG36" s="152">
        <f>GlobBerMedDisc!AJ20</f>
        <v>0</v>
      </c>
      <c r="AH36" s="152" t="s">
        <v>861</v>
      </c>
      <c r="AI36" s="152">
        <f>GlobBerMedDisc!V20</f>
        <v>0</v>
      </c>
      <c r="AJ36" s="152" t="s">
        <v>865</v>
      </c>
      <c r="AK36" s="151">
        <f>GlobBerMedDisc!AM20</f>
        <v>0</v>
      </c>
    </row>
    <row r="37" spans="1:37" x14ac:dyDescent="0.2">
      <c r="A37" s="152" t="str">
        <f t="shared" si="0"/>
        <v>MedDisc.20</v>
      </c>
      <c r="B37" s="704" t="str">
        <f t="shared" si="2"/>
        <v/>
      </c>
      <c r="C37" s="704" t="str">
        <f t="shared" si="1"/>
        <v>MedDisc.20**</v>
      </c>
      <c r="D37" s="152" t="s">
        <v>5114</v>
      </c>
      <c r="E37" s="157" t="s">
        <v>837</v>
      </c>
      <c r="F37" s="152" t="s">
        <v>5142</v>
      </c>
      <c r="G37" s="152">
        <f>GlobBerMedDisc!B21</f>
        <v>0</v>
      </c>
      <c r="H37" s="152" t="s">
        <v>352</v>
      </c>
      <c r="I37" s="152">
        <f>GlobBerMedDisc!D21</f>
        <v>0</v>
      </c>
      <c r="J37" s="152" t="s">
        <v>3424</v>
      </c>
      <c r="K37" s="152">
        <f>GlobBerMedDisc!C21</f>
        <v>0</v>
      </c>
      <c r="L37" s="152" t="s">
        <v>153</v>
      </c>
      <c r="M37" s="152" t="str">
        <f>GlobBerMedDisc!AK21&amp;" "&amp;GlobBerMedDisc!AL21</f>
        <v xml:space="preserve">0 </v>
      </c>
      <c r="N37" s="152" t="s">
        <v>154</v>
      </c>
      <c r="O37" s="152" t="str">
        <f>GlobBerMedDisc!X21</f>
        <v/>
      </c>
      <c r="P37" s="152" t="s">
        <v>4083</v>
      </c>
      <c r="Q37" s="152" t="str">
        <f>GlobBerMedDisc!Y21</f>
        <v/>
      </c>
      <c r="R37" s="152" t="s">
        <v>343</v>
      </c>
      <c r="S37" s="152" t="str">
        <f>GlobBerMedDisc!Z21</f>
        <v/>
      </c>
      <c r="T37" s="152" t="s">
        <v>860</v>
      </c>
      <c r="U37" s="152" t="str">
        <f>GlobBerMedDisc!AO21</f>
        <v/>
      </c>
      <c r="V37" s="152" t="s">
        <v>5143</v>
      </c>
      <c r="W37" s="152" t="str">
        <f>GlobBerMedDisc!AA21</f>
        <v/>
      </c>
      <c r="X37" s="152" t="s">
        <v>5144</v>
      </c>
      <c r="Y37" s="152">
        <f>GlobBerMedDisc!AB21</f>
        <v>0</v>
      </c>
      <c r="Z37" s="152" t="s">
        <v>5145</v>
      </c>
      <c r="AA37" s="152" t="str">
        <f>GlobBerMedDisc!AC21</f>
        <v/>
      </c>
      <c r="AB37" s="152" t="s">
        <v>3288</v>
      </c>
      <c r="AC37" s="152">
        <f>GlobBerMedDisc!AI21</f>
        <v>0</v>
      </c>
      <c r="AD37" s="152" t="s">
        <v>344</v>
      </c>
      <c r="AE37" s="152">
        <f>GlobBerMedDisc!AD21</f>
        <v>0</v>
      </c>
      <c r="AF37" s="152" t="s">
        <v>863</v>
      </c>
      <c r="AG37" s="152">
        <f>GlobBerMedDisc!AJ21</f>
        <v>0</v>
      </c>
      <c r="AH37" s="152" t="s">
        <v>861</v>
      </c>
      <c r="AI37" s="152">
        <f>GlobBerMedDisc!V21</f>
        <v>0</v>
      </c>
      <c r="AJ37" s="152" t="s">
        <v>865</v>
      </c>
      <c r="AK37" s="151">
        <f>GlobBerMedDisc!AM21</f>
        <v>0</v>
      </c>
    </row>
    <row r="38" spans="1:37" x14ac:dyDescent="0.2">
      <c r="A38" s="152" t="str">
        <f t="shared" si="0"/>
        <v>MedDisc.21</v>
      </c>
      <c r="B38" s="704" t="str">
        <f t="shared" si="2"/>
        <v/>
      </c>
      <c r="C38" s="704" t="str">
        <f t="shared" si="1"/>
        <v>MedDisc.21**</v>
      </c>
      <c r="D38" s="152" t="s">
        <v>5114</v>
      </c>
      <c r="E38" s="157" t="s">
        <v>838</v>
      </c>
      <c r="F38" s="152" t="s">
        <v>5142</v>
      </c>
      <c r="G38" s="152">
        <f>GlobBerMedDisc!B22</f>
        <v>0</v>
      </c>
      <c r="H38" s="152" t="s">
        <v>352</v>
      </c>
      <c r="I38" s="152">
        <f>GlobBerMedDisc!D22</f>
        <v>0</v>
      </c>
      <c r="J38" s="152" t="s">
        <v>3424</v>
      </c>
      <c r="K38" s="152">
        <f>GlobBerMedDisc!C22</f>
        <v>0</v>
      </c>
      <c r="L38" s="152" t="s">
        <v>153</v>
      </c>
      <c r="M38" s="152" t="str">
        <f>GlobBerMedDisc!AK22&amp;" "&amp;GlobBerMedDisc!AL22</f>
        <v xml:space="preserve">0 </v>
      </c>
      <c r="N38" s="152" t="s">
        <v>154</v>
      </c>
      <c r="O38" s="152" t="str">
        <f>GlobBerMedDisc!X22</f>
        <v/>
      </c>
      <c r="P38" s="152" t="s">
        <v>4083</v>
      </c>
      <c r="Q38" s="152" t="str">
        <f>GlobBerMedDisc!Y22</f>
        <v/>
      </c>
      <c r="R38" s="152" t="s">
        <v>343</v>
      </c>
      <c r="S38" s="152" t="str">
        <f>GlobBerMedDisc!Z22</f>
        <v/>
      </c>
      <c r="T38" s="152" t="s">
        <v>860</v>
      </c>
      <c r="U38" s="152" t="str">
        <f>GlobBerMedDisc!AO22</f>
        <v/>
      </c>
      <c r="V38" s="152" t="s">
        <v>5143</v>
      </c>
      <c r="W38" s="152" t="str">
        <f>GlobBerMedDisc!AA22</f>
        <v/>
      </c>
      <c r="X38" s="152" t="s">
        <v>5144</v>
      </c>
      <c r="Y38" s="152">
        <f>GlobBerMedDisc!AB22</f>
        <v>0</v>
      </c>
      <c r="Z38" s="152" t="s">
        <v>5145</v>
      </c>
      <c r="AA38" s="152" t="str">
        <f>GlobBerMedDisc!AC22</f>
        <v/>
      </c>
      <c r="AB38" s="152" t="s">
        <v>3288</v>
      </c>
      <c r="AC38" s="152">
        <f>GlobBerMedDisc!AI22</f>
        <v>0</v>
      </c>
      <c r="AD38" s="152" t="s">
        <v>344</v>
      </c>
      <c r="AE38" s="152">
        <f>GlobBerMedDisc!AD22</f>
        <v>0</v>
      </c>
      <c r="AF38" s="152" t="s">
        <v>863</v>
      </c>
      <c r="AG38" s="152">
        <f>GlobBerMedDisc!AJ22</f>
        <v>0</v>
      </c>
      <c r="AH38" s="152" t="s">
        <v>861</v>
      </c>
      <c r="AI38" s="152">
        <f>GlobBerMedDisc!V22</f>
        <v>0</v>
      </c>
      <c r="AJ38" s="152" t="s">
        <v>865</v>
      </c>
      <c r="AK38" s="151">
        <f>GlobBerMedDisc!AM22</f>
        <v>0</v>
      </c>
    </row>
    <row r="39" spans="1:37" x14ac:dyDescent="0.2">
      <c r="A39" s="152" t="str">
        <f t="shared" si="0"/>
        <v>MedDisc.22</v>
      </c>
      <c r="B39" s="704" t="str">
        <f t="shared" si="2"/>
        <v/>
      </c>
      <c r="C39" s="704" t="str">
        <f t="shared" si="1"/>
        <v>MedDisc.22**</v>
      </c>
      <c r="D39" s="152" t="s">
        <v>5114</v>
      </c>
      <c r="E39" s="157" t="s">
        <v>839</v>
      </c>
      <c r="F39" s="152" t="s">
        <v>5142</v>
      </c>
      <c r="G39" s="152">
        <f>GlobBerMedDisc!B23</f>
        <v>0</v>
      </c>
      <c r="H39" s="152" t="s">
        <v>352</v>
      </c>
      <c r="I39" s="152">
        <f>GlobBerMedDisc!D23</f>
        <v>0</v>
      </c>
      <c r="J39" s="152" t="s">
        <v>3424</v>
      </c>
      <c r="K39" s="152">
        <f>GlobBerMedDisc!C23</f>
        <v>0</v>
      </c>
      <c r="L39" s="152" t="s">
        <v>153</v>
      </c>
      <c r="M39" s="152" t="str">
        <f>GlobBerMedDisc!AK23&amp;" "&amp;GlobBerMedDisc!AL23</f>
        <v xml:space="preserve">0 </v>
      </c>
      <c r="N39" s="152" t="s">
        <v>154</v>
      </c>
      <c r="O39" s="152" t="str">
        <f>GlobBerMedDisc!X23</f>
        <v/>
      </c>
      <c r="P39" s="152" t="s">
        <v>4083</v>
      </c>
      <c r="Q39" s="152" t="str">
        <f>GlobBerMedDisc!Y23</f>
        <v/>
      </c>
      <c r="R39" s="152" t="s">
        <v>343</v>
      </c>
      <c r="S39" s="152" t="str">
        <f>GlobBerMedDisc!Z23</f>
        <v/>
      </c>
      <c r="T39" s="152" t="s">
        <v>860</v>
      </c>
      <c r="U39" s="152" t="str">
        <f>GlobBerMedDisc!AO23</f>
        <v/>
      </c>
      <c r="V39" s="152" t="s">
        <v>5143</v>
      </c>
      <c r="W39" s="152" t="str">
        <f>GlobBerMedDisc!AA23</f>
        <v/>
      </c>
      <c r="X39" s="152" t="s">
        <v>5144</v>
      </c>
      <c r="Y39" s="152">
        <f>GlobBerMedDisc!AB23</f>
        <v>0</v>
      </c>
      <c r="Z39" s="152" t="s">
        <v>5145</v>
      </c>
      <c r="AA39" s="152" t="str">
        <f>GlobBerMedDisc!AC23</f>
        <v/>
      </c>
      <c r="AB39" s="152" t="s">
        <v>3288</v>
      </c>
      <c r="AC39" s="152">
        <f>GlobBerMedDisc!AI23</f>
        <v>0</v>
      </c>
      <c r="AD39" s="152" t="s">
        <v>344</v>
      </c>
      <c r="AE39" s="152">
        <f>GlobBerMedDisc!AD23</f>
        <v>0</v>
      </c>
      <c r="AF39" s="152" t="s">
        <v>863</v>
      </c>
      <c r="AG39" s="152">
        <f>GlobBerMedDisc!AJ23</f>
        <v>0</v>
      </c>
      <c r="AH39" s="152" t="s">
        <v>861</v>
      </c>
      <c r="AI39" s="152">
        <f>GlobBerMedDisc!V23</f>
        <v>0</v>
      </c>
      <c r="AJ39" s="152" t="s">
        <v>865</v>
      </c>
      <c r="AK39" s="151">
        <f>GlobBerMedDisc!AM23</f>
        <v>0</v>
      </c>
    </row>
    <row r="40" spans="1:37" x14ac:dyDescent="0.2">
      <c r="A40" s="152" t="str">
        <f t="shared" si="0"/>
        <v>MedDisc.23</v>
      </c>
      <c r="B40" s="704" t="str">
        <f t="shared" si="2"/>
        <v/>
      </c>
      <c r="C40" s="704" t="str">
        <f t="shared" si="1"/>
        <v>MedDisc.23**</v>
      </c>
      <c r="D40" s="152" t="s">
        <v>5114</v>
      </c>
      <c r="E40" s="157" t="s">
        <v>840</v>
      </c>
      <c r="F40" s="152" t="s">
        <v>5142</v>
      </c>
      <c r="G40" s="152">
        <f>GlobBerMedDisc!B24</f>
        <v>0</v>
      </c>
      <c r="H40" s="152" t="s">
        <v>352</v>
      </c>
      <c r="I40" s="152">
        <f>GlobBerMedDisc!D24</f>
        <v>0</v>
      </c>
      <c r="J40" s="152" t="s">
        <v>3424</v>
      </c>
      <c r="K40" s="152">
        <f>GlobBerMedDisc!C24</f>
        <v>0</v>
      </c>
      <c r="L40" s="152" t="s">
        <v>153</v>
      </c>
      <c r="M40" s="152" t="str">
        <f>GlobBerMedDisc!AK24&amp;" "&amp;GlobBerMedDisc!AL24</f>
        <v xml:space="preserve">0 </v>
      </c>
      <c r="N40" s="152" t="s">
        <v>154</v>
      </c>
      <c r="O40" s="152" t="str">
        <f>GlobBerMedDisc!X24</f>
        <v/>
      </c>
      <c r="P40" s="152" t="s">
        <v>4083</v>
      </c>
      <c r="Q40" s="152" t="str">
        <f>GlobBerMedDisc!Y24</f>
        <v/>
      </c>
      <c r="R40" s="152" t="s">
        <v>343</v>
      </c>
      <c r="S40" s="152" t="str">
        <f>GlobBerMedDisc!Z24</f>
        <v/>
      </c>
      <c r="T40" s="152" t="s">
        <v>860</v>
      </c>
      <c r="U40" s="152" t="str">
        <f>GlobBerMedDisc!AO24</f>
        <v/>
      </c>
      <c r="V40" s="152" t="s">
        <v>5143</v>
      </c>
      <c r="W40" s="152" t="str">
        <f>GlobBerMedDisc!AA24</f>
        <v/>
      </c>
      <c r="X40" s="152" t="s">
        <v>5144</v>
      </c>
      <c r="Y40" s="152">
        <f>GlobBerMedDisc!AB24</f>
        <v>0</v>
      </c>
      <c r="Z40" s="152" t="s">
        <v>5145</v>
      </c>
      <c r="AA40" s="152" t="str">
        <f>GlobBerMedDisc!AC24</f>
        <v/>
      </c>
      <c r="AB40" s="152" t="s">
        <v>3288</v>
      </c>
      <c r="AC40" s="152">
        <f>GlobBerMedDisc!AI24</f>
        <v>0</v>
      </c>
      <c r="AD40" s="152" t="s">
        <v>344</v>
      </c>
      <c r="AE40" s="152">
        <f>GlobBerMedDisc!AD24</f>
        <v>0</v>
      </c>
      <c r="AF40" s="152" t="s">
        <v>863</v>
      </c>
      <c r="AG40" s="152">
        <f>GlobBerMedDisc!AJ24</f>
        <v>0</v>
      </c>
      <c r="AH40" s="152" t="s">
        <v>861</v>
      </c>
      <c r="AI40" s="152">
        <f>GlobBerMedDisc!V24</f>
        <v>0</v>
      </c>
      <c r="AJ40" s="152" t="s">
        <v>865</v>
      </c>
      <c r="AK40" s="151">
        <f>GlobBerMedDisc!AM24</f>
        <v>0</v>
      </c>
    </row>
    <row r="41" spans="1:37" x14ac:dyDescent="0.2">
      <c r="A41" s="152" t="str">
        <f t="shared" si="0"/>
        <v>MedDisc.24</v>
      </c>
      <c r="B41" s="704" t="str">
        <f t="shared" si="2"/>
        <v/>
      </c>
      <c r="C41" s="704" t="str">
        <f t="shared" si="1"/>
        <v>MedDisc.24**</v>
      </c>
      <c r="D41" s="152" t="s">
        <v>5114</v>
      </c>
      <c r="E41" s="157" t="s">
        <v>841</v>
      </c>
      <c r="F41" s="152" t="s">
        <v>5142</v>
      </c>
      <c r="G41" s="152">
        <f>GlobBerMedDisc!B25</f>
        <v>0</v>
      </c>
      <c r="H41" s="152" t="s">
        <v>352</v>
      </c>
      <c r="I41" s="152">
        <f>GlobBerMedDisc!D25</f>
        <v>0</v>
      </c>
      <c r="J41" s="152" t="s">
        <v>3424</v>
      </c>
      <c r="K41" s="152">
        <f>GlobBerMedDisc!C25</f>
        <v>0</v>
      </c>
      <c r="L41" s="152" t="s">
        <v>153</v>
      </c>
      <c r="M41" s="152" t="str">
        <f>GlobBerMedDisc!AK25&amp;" "&amp;GlobBerMedDisc!AL25</f>
        <v xml:space="preserve">0 </v>
      </c>
      <c r="N41" s="152" t="s">
        <v>154</v>
      </c>
      <c r="O41" s="152" t="str">
        <f>GlobBerMedDisc!X25</f>
        <v/>
      </c>
      <c r="P41" s="152" t="s">
        <v>4083</v>
      </c>
      <c r="Q41" s="152" t="str">
        <f>GlobBerMedDisc!Y25</f>
        <v/>
      </c>
      <c r="R41" s="152" t="s">
        <v>343</v>
      </c>
      <c r="S41" s="152" t="str">
        <f>GlobBerMedDisc!Z25</f>
        <v/>
      </c>
      <c r="T41" s="152" t="s">
        <v>860</v>
      </c>
      <c r="U41" s="152" t="str">
        <f>GlobBerMedDisc!AO25</f>
        <v/>
      </c>
      <c r="V41" s="152" t="s">
        <v>5143</v>
      </c>
      <c r="W41" s="152" t="str">
        <f>GlobBerMedDisc!AA25</f>
        <v/>
      </c>
      <c r="X41" s="152" t="s">
        <v>5144</v>
      </c>
      <c r="Y41" s="152">
        <f>GlobBerMedDisc!AB25</f>
        <v>0</v>
      </c>
      <c r="Z41" s="152" t="s">
        <v>5145</v>
      </c>
      <c r="AA41" s="152" t="str">
        <f>GlobBerMedDisc!AC25</f>
        <v/>
      </c>
      <c r="AB41" s="152" t="s">
        <v>3288</v>
      </c>
      <c r="AC41" s="152">
        <f>GlobBerMedDisc!AI25</f>
        <v>0</v>
      </c>
      <c r="AD41" s="152" t="s">
        <v>344</v>
      </c>
      <c r="AE41" s="152">
        <f>GlobBerMedDisc!AD25</f>
        <v>0</v>
      </c>
      <c r="AF41" s="152" t="s">
        <v>863</v>
      </c>
      <c r="AG41" s="152">
        <f>GlobBerMedDisc!AJ25</f>
        <v>0</v>
      </c>
      <c r="AH41" s="152" t="s">
        <v>861</v>
      </c>
      <c r="AI41" s="152">
        <f>GlobBerMedDisc!V25</f>
        <v>0</v>
      </c>
      <c r="AJ41" s="152" t="s">
        <v>865</v>
      </c>
      <c r="AK41" s="151">
        <f>GlobBerMedDisc!AM25</f>
        <v>0</v>
      </c>
    </row>
    <row r="42" spans="1:37" x14ac:dyDescent="0.2">
      <c r="A42" s="152" t="str">
        <f t="shared" si="0"/>
        <v>MedDisc.25</v>
      </c>
      <c r="B42" s="704" t="str">
        <f t="shared" si="2"/>
        <v/>
      </c>
      <c r="C42" s="704" t="str">
        <f t="shared" si="1"/>
        <v>MedDisc.25**</v>
      </c>
      <c r="D42" s="152" t="s">
        <v>5114</v>
      </c>
      <c r="E42" s="157" t="s">
        <v>842</v>
      </c>
      <c r="F42" s="152" t="s">
        <v>5142</v>
      </c>
      <c r="G42" s="152">
        <f>GlobBerMedDisc!B26</f>
        <v>0</v>
      </c>
      <c r="H42" s="152" t="s">
        <v>352</v>
      </c>
      <c r="I42" s="152">
        <f>GlobBerMedDisc!D26</f>
        <v>0</v>
      </c>
      <c r="J42" s="152" t="s">
        <v>3424</v>
      </c>
      <c r="K42" s="152">
        <f>GlobBerMedDisc!C26</f>
        <v>0</v>
      </c>
      <c r="L42" s="152" t="s">
        <v>153</v>
      </c>
      <c r="M42" s="152" t="str">
        <f>GlobBerMedDisc!AK26&amp;" "&amp;GlobBerMedDisc!AL26</f>
        <v xml:space="preserve">0 </v>
      </c>
      <c r="N42" s="152" t="s">
        <v>154</v>
      </c>
      <c r="O42" s="152" t="str">
        <f>GlobBerMedDisc!X26</f>
        <v/>
      </c>
      <c r="P42" s="152" t="s">
        <v>4083</v>
      </c>
      <c r="Q42" s="152" t="str">
        <f>GlobBerMedDisc!Y26</f>
        <v/>
      </c>
      <c r="R42" s="152" t="s">
        <v>343</v>
      </c>
      <c r="S42" s="152" t="str">
        <f>GlobBerMedDisc!Z26</f>
        <v/>
      </c>
      <c r="T42" s="152" t="s">
        <v>860</v>
      </c>
      <c r="U42" s="152" t="str">
        <f>GlobBerMedDisc!AO26</f>
        <v/>
      </c>
      <c r="V42" s="152" t="s">
        <v>5143</v>
      </c>
      <c r="W42" s="152" t="str">
        <f>GlobBerMedDisc!AA26</f>
        <v/>
      </c>
      <c r="X42" s="152" t="s">
        <v>5144</v>
      </c>
      <c r="Y42" s="152">
        <f>GlobBerMedDisc!AB26</f>
        <v>0</v>
      </c>
      <c r="Z42" s="152" t="s">
        <v>5145</v>
      </c>
      <c r="AA42" s="152" t="str">
        <f>GlobBerMedDisc!AC26</f>
        <v/>
      </c>
      <c r="AB42" s="152" t="s">
        <v>3288</v>
      </c>
      <c r="AC42" s="152">
        <f>GlobBerMedDisc!AI26</f>
        <v>0</v>
      </c>
      <c r="AD42" s="152" t="s">
        <v>344</v>
      </c>
      <c r="AE42" s="152">
        <f>GlobBerMedDisc!AD26</f>
        <v>0</v>
      </c>
      <c r="AF42" s="152" t="s">
        <v>863</v>
      </c>
      <c r="AG42" s="152">
        <f>GlobBerMedDisc!AJ26</f>
        <v>0</v>
      </c>
      <c r="AH42" s="152" t="s">
        <v>861</v>
      </c>
      <c r="AI42" s="152">
        <f>GlobBerMedDisc!V26</f>
        <v>0</v>
      </c>
      <c r="AJ42" s="152" t="s">
        <v>865</v>
      </c>
      <c r="AK42" s="151">
        <f>GlobBerMedDisc!AM26</f>
        <v>0</v>
      </c>
    </row>
    <row r="43" spans="1:37" x14ac:dyDescent="0.2">
      <c r="A43" s="152" t="str">
        <f t="shared" si="0"/>
        <v>MedDisc.26</v>
      </c>
      <c r="B43" s="704" t="str">
        <f t="shared" si="2"/>
        <v/>
      </c>
      <c r="C43" s="704" t="str">
        <f t="shared" si="1"/>
        <v>MedDisc.26**</v>
      </c>
      <c r="D43" s="152" t="s">
        <v>5114</v>
      </c>
      <c r="E43" s="157" t="s">
        <v>843</v>
      </c>
      <c r="F43" s="152" t="s">
        <v>5142</v>
      </c>
      <c r="G43" s="152">
        <f>GlobBerMedDisc!B27</f>
        <v>0</v>
      </c>
      <c r="H43" s="152" t="s">
        <v>352</v>
      </c>
      <c r="I43" s="152">
        <f>GlobBerMedDisc!D27</f>
        <v>0</v>
      </c>
      <c r="J43" s="152" t="s">
        <v>3424</v>
      </c>
      <c r="K43" s="152">
        <f>GlobBerMedDisc!C27</f>
        <v>0</v>
      </c>
      <c r="L43" s="152" t="s">
        <v>153</v>
      </c>
      <c r="M43" s="152" t="str">
        <f>GlobBerMedDisc!AK27&amp;" "&amp;GlobBerMedDisc!AL27</f>
        <v xml:space="preserve">0 </v>
      </c>
      <c r="N43" s="152" t="s">
        <v>154</v>
      </c>
      <c r="O43" s="152" t="str">
        <f>GlobBerMedDisc!X27</f>
        <v/>
      </c>
      <c r="P43" s="152" t="s">
        <v>4083</v>
      </c>
      <c r="Q43" s="152" t="str">
        <f>GlobBerMedDisc!Y27</f>
        <v/>
      </c>
      <c r="R43" s="152" t="s">
        <v>343</v>
      </c>
      <c r="S43" s="152" t="str">
        <f>GlobBerMedDisc!Z27</f>
        <v/>
      </c>
      <c r="T43" s="152" t="s">
        <v>860</v>
      </c>
      <c r="U43" s="152" t="str">
        <f>GlobBerMedDisc!AO27</f>
        <v/>
      </c>
      <c r="V43" s="152" t="s">
        <v>5143</v>
      </c>
      <c r="W43" s="152" t="str">
        <f>GlobBerMedDisc!AA27</f>
        <v/>
      </c>
      <c r="X43" s="152" t="s">
        <v>5144</v>
      </c>
      <c r="Y43" s="152">
        <f>GlobBerMedDisc!AB27</f>
        <v>0</v>
      </c>
      <c r="Z43" s="152" t="s">
        <v>5145</v>
      </c>
      <c r="AA43" s="152" t="str">
        <f>GlobBerMedDisc!AC27</f>
        <v/>
      </c>
      <c r="AB43" s="152" t="s">
        <v>3288</v>
      </c>
      <c r="AC43" s="152">
        <f>GlobBerMedDisc!AI27</f>
        <v>0</v>
      </c>
      <c r="AD43" s="152" t="s">
        <v>344</v>
      </c>
      <c r="AE43" s="152">
        <f>GlobBerMedDisc!AD27</f>
        <v>0</v>
      </c>
      <c r="AF43" s="152" t="s">
        <v>863</v>
      </c>
      <c r="AG43" s="152">
        <f>GlobBerMedDisc!AJ27</f>
        <v>0</v>
      </c>
      <c r="AH43" s="152" t="s">
        <v>861</v>
      </c>
      <c r="AI43" s="152">
        <f>GlobBerMedDisc!V27</f>
        <v>0</v>
      </c>
      <c r="AJ43" s="152" t="s">
        <v>865</v>
      </c>
      <c r="AK43" s="151">
        <f>GlobBerMedDisc!AM27</f>
        <v>0</v>
      </c>
    </row>
    <row r="44" spans="1:37" x14ac:dyDescent="0.2">
      <c r="A44" s="152" t="str">
        <f t="shared" si="0"/>
        <v>MedDisc.27</v>
      </c>
      <c r="B44" s="704" t="str">
        <f t="shared" si="2"/>
        <v/>
      </c>
      <c r="C44" s="704" t="str">
        <f t="shared" si="1"/>
        <v>MedDisc.27**</v>
      </c>
      <c r="D44" s="152" t="s">
        <v>5114</v>
      </c>
      <c r="E44" s="157" t="s">
        <v>844</v>
      </c>
      <c r="F44" s="152" t="s">
        <v>5142</v>
      </c>
      <c r="G44" s="152">
        <f>GlobBerMedDisc!B28</f>
        <v>0</v>
      </c>
      <c r="H44" s="152" t="s">
        <v>352</v>
      </c>
      <c r="I44" s="152">
        <f>GlobBerMedDisc!D28</f>
        <v>0</v>
      </c>
      <c r="J44" s="152" t="s">
        <v>3424</v>
      </c>
      <c r="K44" s="152">
        <f>GlobBerMedDisc!C28</f>
        <v>0</v>
      </c>
      <c r="L44" s="152" t="s">
        <v>153</v>
      </c>
      <c r="M44" s="152" t="str">
        <f>GlobBerMedDisc!AK28&amp;" "&amp;GlobBerMedDisc!AL28</f>
        <v xml:space="preserve">0 </v>
      </c>
      <c r="N44" s="152" t="s">
        <v>154</v>
      </c>
      <c r="O44" s="152" t="str">
        <f>GlobBerMedDisc!X28</f>
        <v/>
      </c>
      <c r="P44" s="152" t="s">
        <v>4083</v>
      </c>
      <c r="Q44" s="152" t="str">
        <f>GlobBerMedDisc!Y28</f>
        <v/>
      </c>
      <c r="R44" s="152" t="s">
        <v>343</v>
      </c>
      <c r="S44" s="152" t="str">
        <f>GlobBerMedDisc!Z28</f>
        <v/>
      </c>
      <c r="T44" s="152" t="s">
        <v>860</v>
      </c>
      <c r="U44" s="152" t="str">
        <f>GlobBerMedDisc!AO28</f>
        <v/>
      </c>
      <c r="V44" s="152" t="s">
        <v>5143</v>
      </c>
      <c r="W44" s="152" t="str">
        <f>GlobBerMedDisc!AA28</f>
        <v/>
      </c>
      <c r="X44" s="152" t="s">
        <v>5144</v>
      </c>
      <c r="Y44" s="152">
        <f>GlobBerMedDisc!AB28</f>
        <v>0</v>
      </c>
      <c r="Z44" s="152" t="s">
        <v>5145</v>
      </c>
      <c r="AA44" s="152" t="str">
        <f>GlobBerMedDisc!AC28</f>
        <v/>
      </c>
      <c r="AB44" s="152" t="s">
        <v>3288</v>
      </c>
      <c r="AC44" s="152">
        <f>GlobBerMedDisc!AI28</f>
        <v>0</v>
      </c>
      <c r="AD44" s="152" t="s">
        <v>344</v>
      </c>
      <c r="AE44" s="152">
        <f>GlobBerMedDisc!AD28</f>
        <v>0</v>
      </c>
      <c r="AF44" s="152" t="s">
        <v>863</v>
      </c>
      <c r="AG44" s="152">
        <f>GlobBerMedDisc!AJ28</f>
        <v>0</v>
      </c>
      <c r="AH44" s="152" t="s">
        <v>861</v>
      </c>
      <c r="AI44" s="152">
        <f>GlobBerMedDisc!V28</f>
        <v>0</v>
      </c>
      <c r="AJ44" s="152" t="s">
        <v>865</v>
      </c>
      <c r="AK44" s="151">
        <f>GlobBerMedDisc!AM28</f>
        <v>0</v>
      </c>
    </row>
    <row r="45" spans="1:37" x14ac:dyDescent="0.2">
      <c r="A45" s="152" t="str">
        <f t="shared" si="0"/>
        <v>MedDisc.28</v>
      </c>
      <c r="B45" s="704" t="str">
        <f t="shared" si="2"/>
        <v/>
      </c>
      <c r="C45" s="704" t="str">
        <f t="shared" si="1"/>
        <v>MedDisc.28**</v>
      </c>
      <c r="D45" s="152" t="s">
        <v>5114</v>
      </c>
      <c r="E45" s="157" t="s">
        <v>5115</v>
      </c>
      <c r="F45" s="152" t="s">
        <v>5142</v>
      </c>
      <c r="G45" s="152">
        <f>GlobBerMedDisc!B29</f>
        <v>0</v>
      </c>
      <c r="H45" s="152" t="s">
        <v>352</v>
      </c>
      <c r="I45" s="152">
        <f>GlobBerMedDisc!D29</f>
        <v>0</v>
      </c>
      <c r="J45" s="152" t="s">
        <v>3424</v>
      </c>
      <c r="K45" s="152">
        <f>GlobBerMedDisc!C29</f>
        <v>0</v>
      </c>
      <c r="L45" s="152" t="s">
        <v>153</v>
      </c>
      <c r="M45" s="152" t="str">
        <f>GlobBerMedDisc!AK29&amp;" "&amp;GlobBerMedDisc!AL29</f>
        <v xml:space="preserve">0 </v>
      </c>
      <c r="N45" s="152" t="s">
        <v>154</v>
      </c>
      <c r="O45" s="152" t="str">
        <f>GlobBerMedDisc!X29</f>
        <v/>
      </c>
      <c r="P45" s="152" t="s">
        <v>4083</v>
      </c>
      <c r="Q45" s="152" t="str">
        <f>GlobBerMedDisc!Y29</f>
        <v/>
      </c>
      <c r="R45" s="152" t="s">
        <v>343</v>
      </c>
      <c r="S45" s="152" t="str">
        <f>GlobBerMedDisc!Z29</f>
        <v/>
      </c>
      <c r="T45" s="152" t="s">
        <v>860</v>
      </c>
      <c r="U45" s="152" t="str">
        <f>GlobBerMedDisc!AO29</f>
        <v/>
      </c>
      <c r="V45" s="152" t="s">
        <v>5143</v>
      </c>
      <c r="W45" s="152" t="str">
        <f>GlobBerMedDisc!AA29</f>
        <v/>
      </c>
      <c r="X45" s="152" t="s">
        <v>5144</v>
      </c>
      <c r="Y45" s="152">
        <f>GlobBerMedDisc!AB29</f>
        <v>0</v>
      </c>
      <c r="Z45" s="152" t="s">
        <v>5145</v>
      </c>
      <c r="AA45" s="152" t="str">
        <f>GlobBerMedDisc!AC29</f>
        <v/>
      </c>
      <c r="AB45" s="152" t="s">
        <v>3288</v>
      </c>
      <c r="AC45" s="152">
        <f>GlobBerMedDisc!AI29</f>
        <v>0</v>
      </c>
      <c r="AD45" s="152" t="s">
        <v>344</v>
      </c>
      <c r="AE45" s="152">
        <f>GlobBerMedDisc!AD29</f>
        <v>0</v>
      </c>
      <c r="AF45" s="152" t="s">
        <v>863</v>
      </c>
      <c r="AG45" s="152">
        <f>GlobBerMedDisc!AJ29</f>
        <v>0</v>
      </c>
      <c r="AH45" s="152" t="s">
        <v>861</v>
      </c>
      <c r="AI45" s="152">
        <f>GlobBerMedDisc!V29</f>
        <v>0</v>
      </c>
      <c r="AJ45" s="152" t="s">
        <v>865</v>
      </c>
      <c r="AK45" s="151">
        <f>GlobBerMedDisc!AM29</f>
        <v>0</v>
      </c>
    </row>
    <row r="46" spans="1:37" x14ac:dyDescent="0.2">
      <c r="A46" s="152" t="str">
        <f t="shared" si="0"/>
        <v>MedDisc.29</v>
      </c>
      <c r="B46" s="704" t="str">
        <f t="shared" si="2"/>
        <v/>
      </c>
      <c r="C46" s="704" t="str">
        <f t="shared" si="1"/>
        <v>MedDisc.29**</v>
      </c>
      <c r="D46" s="152" t="s">
        <v>5114</v>
      </c>
      <c r="E46" s="157" t="s">
        <v>5116</v>
      </c>
      <c r="F46" s="152" t="s">
        <v>5142</v>
      </c>
      <c r="G46" s="152">
        <f>GlobBerMedDisc!B30</f>
        <v>0</v>
      </c>
      <c r="H46" s="152" t="s">
        <v>352</v>
      </c>
      <c r="I46" s="152">
        <f>GlobBerMedDisc!D30</f>
        <v>0</v>
      </c>
      <c r="J46" s="152" t="s">
        <v>3424</v>
      </c>
      <c r="K46" s="152">
        <f>GlobBerMedDisc!C30</f>
        <v>0</v>
      </c>
      <c r="L46" s="152" t="s">
        <v>153</v>
      </c>
      <c r="M46" s="152" t="str">
        <f>GlobBerMedDisc!AK30&amp;" "&amp;GlobBerMedDisc!AL30</f>
        <v xml:space="preserve">0 </v>
      </c>
      <c r="N46" s="152" t="s">
        <v>154</v>
      </c>
      <c r="O46" s="152" t="str">
        <f>GlobBerMedDisc!X30</f>
        <v/>
      </c>
      <c r="P46" s="152" t="s">
        <v>4083</v>
      </c>
      <c r="Q46" s="152" t="str">
        <f>GlobBerMedDisc!Y30</f>
        <v/>
      </c>
      <c r="R46" s="152" t="s">
        <v>343</v>
      </c>
      <c r="S46" s="152" t="str">
        <f>GlobBerMedDisc!Z30</f>
        <v/>
      </c>
      <c r="T46" s="152" t="s">
        <v>860</v>
      </c>
      <c r="U46" s="152" t="str">
        <f>GlobBerMedDisc!AO30</f>
        <v/>
      </c>
      <c r="V46" s="152" t="s">
        <v>5143</v>
      </c>
      <c r="W46" s="152" t="str">
        <f>GlobBerMedDisc!AA30</f>
        <v/>
      </c>
      <c r="X46" s="152" t="s">
        <v>5144</v>
      </c>
      <c r="Y46" s="152">
        <f>GlobBerMedDisc!AB30</f>
        <v>0</v>
      </c>
      <c r="Z46" s="152" t="s">
        <v>5145</v>
      </c>
      <c r="AA46" s="152" t="str">
        <f>GlobBerMedDisc!AC30</f>
        <v/>
      </c>
      <c r="AB46" s="152" t="s">
        <v>3288</v>
      </c>
      <c r="AC46" s="152">
        <f>GlobBerMedDisc!AI30</f>
        <v>0</v>
      </c>
      <c r="AD46" s="152" t="s">
        <v>344</v>
      </c>
      <c r="AE46" s="152">
        <f>GlobBerMedDisc!AD30</f>
        <v>0</v>
      </c>
      <c r="AF46" s="152" t="s">
        <v>863</v>
      </c>
      <c r="AG46" s="152">
        <f>GlobBerMedDisc!AJ30</f>
        <v>0</v>
      </c>
      <c r="AH46" s="152" t="s">
        <v>861</v>
      </c>
      <c r="AI46" s="152">
        <f>GlobBerMedDisc!V30</f>
        <v>0</v>
      </c>
      <c r="AJ46" s="152" t="s">
        <v>865</v>
      </c>
      <c r="AK46" s="151">
        <f>GlobBerMedDisc!AM30</f>
        <v>0</v>
      </c>
    </row>
    <row r="47" spans="1:37" s="151" customFormat="1" x14ac:dyDescent="0.2">
      <c r="A47" s="152" t="str">
        <f t="shared" si="0"/>
        <v>MedDisc.30</v>
      </c>
      <c r="B47" s="704" t="str">
        <f t="shared" si="2"/>
        <v/>
      </c>
      <c r="C47" s="704" t="str">
        <f t="shared" si="1"/>
        <v>MedDisc.30**</v>
      </c>
      <c r="D47" s="152" t="s">
        <v>5114</v>
      </c>
      <c r="E47" s="157" t="s">
        <v>5117</v>
      </c>
      <c r="F47" s="152" t="s">
        <v>5142</v>
      </c>
      <c r="G47" s="152">
        <f>GlobBerMedDisc!B31</f>
        <v>0</v>
      </c>
      <c r="H47" s="152" t="s">
        <v>352</v>
      </c>
      <c r="I47" s="152">
        <f>GlobBerMedDisc!D31</f>
        <v>0</v>
      </c>
      <c r="J47" s="152" t="s">
        <v>3424</v>
      </c>
      <c r="K47" s="152">
        <f>GlobBerMedDisc!C31</f>
        <v>0</v>
      </c>
      <c r="L47" s="152" t="s">
        <v>153</v>
      </c>
      <c r="M47" s="152" t="str">
        <f>GlobBerMedDisc!AK31&amp;" "&amp;GlobBerMedDisc!AL31</f>
        <v xml:space="preserve">0 </v>
      </c>
      <c r="N47" s="152" t="s">
        <v>154</v>
      </c>
      <c r="O47" s="152" t="str">
        <f>GlobBerMedDisc!X31</f>
        <v/>
      </c>
      <c r="P47" s="152" t="s">
        <v>4083</v>
      </c>
      <c r="Q47" s="152" t="str">
        <f>GlobBerMedDisc!Y31</f>
        <v/>
      </c>
      <c r="R47" s="152" t="s">
        <v>343</v>
      </c>
      <c r="S47" s="152" t="str">
        <f>GlobBerMedDisc!Z31</f>
        <v/>
      </c>
      <c r="T47" s="152" t="s">
        <v>860</v>
      </c>
      <c r="U47" s="152" t="str">
        <f>GlobBerMedDisc!AO31</f>
        <v/>
      </c>
      <c r="V47" s="152" t="s">
        <v>5143</v>
      </c>
      <c r="W47" s="152" t="str">
        <f>GlobBerMedDisc!AA31</f>
        <v/>
      </c>
      <c r="X47" s="152" t="s">
        <v>5144</v>
      </c>
      <c r="Y47" s="152">
        <f>GlobBerMedDisc!AB31</f>
        <v>0</v>
      </c>
      <c r="Z47" s="152" t="s">
        <v>5145</v>
      </c>
      <c r="AA47" s="152" t="str">
        <f>GlobBerMedDisc!AC31</f>
        <v/>
      </c>
      <c r="AB47" s="152" t="s">
        <v>3288</v>
      </c>
      <c r="AC47" s="152">
        <f>GlobBerMedDisc!AI31</f>
        <v>0</v>
      </c>
      <c r="AD47" s="152" t="s">
        <v>344</v>
      </c>
      <c r="AE47" s="152">
        <f>GlobBerMedDisc!AD31</f>
        <v>0</v>
      </c>
      <c r="AF47" s="152" t="s">
        <v>863</v>
      </c>
      <c r="AG47" s="152">
        <f>GlobBerMedDisc!AJ31</f>
        <v>0</v>
      </c>
      <c r="AH47" s="152" t="s">
        <v>861</v>
      </c>
      <c r="AI47" s="152">
        <f>GlobBerMedDisc!V31</f>
        <v>0</v>
      </c>
      <c r="AJ47" s="152" t="s">
        <v>865</v>
      </c>
      <c r="AK47" s="151">
        <f>GlobBerMedDisc!AM31</f>
        <v>0</v>
      </c>
    </row>
    <row r="48" spans="1:37" x14ac:dyDescent="0.2">
      <c r="A48" s="152" t="str">
        <f t="shared" si="0"/>
        <v>PedMedCont.01</v>
      </c>
      <c r="B48" s="704" t="str">
        <f>ConcatenateKeyValue(F48:U48,"||","^^")</f>
        <v/>
      </c>
      <c r="C48" s="704" t="str">
        <f t="shared" si="1"/>
        <v>PedMedCont.01**</v>
      </c>
      <c r="D48" s="152" t="s">
        <v>5119</v>
      </c>
      <c r="E48" s="157" t="s">
        <v>331</v>
      </c>
      <c r="F48" t="s">
        <v>254</v>
      </c>
      <c r="G48" s="151" t="str">
        <f>PedBerMedIV!AF5</f>
        <v/>
      </c>
      <c r="H48" t="s">
        <v>153</v>
      </c>
      <c r="I48" s="151" t="str">
        <f>PedBerMedIV!AG5</f>
        <v/>
      </c>
      <c r="J48" t="s">
        <v>235</v>
      </c>
      <c r="K48" s="151" t="str">
        <f>PedBerMedIV!AH5</f>
        <v/>
      </c>
      <c r="L48" t="s">
        <v>110</v>
      </c>
      <c r="M48" s="151" t="str">
        <f>PedBerMedIV!AI5</f>
        <v/>
      </c>
      <c r="N48" t="s">
        <v>42</v>
      </c>
      <c r="O48" s="151" t="str">
        <f>PedBerMedIV!AJ5</f>
        <v/>
      </c>
      <c r="P48" t="s">
        <v>255</v>
      </c>
      <c r="Q48" s="151" t="str">
        <f>PedBerMedIV!AK5&amp;" "&amp;PedBerMedIV!AL5</f>
        <v xml:space="preserve"> </v>
      </c>
      <c r="R48" t="s">
        <v>85</v>
      </c>
      <c r="S48" s="151" t="str">
        <f>PedBerMedIV!AM5</f>
        <v/>
      </c>
      <c r="T48" s="152" t="s">
        <v>418</v>
      </c>
      <c r="U48" t="str">
        <f>PedBerMedIV!AN5</f>
        <v/>
      </c>
    </row>
    <row r="49" spans="1:21" x14ac:dyDescent="0.2">
      <c r="A49" s="152" t="str">
        <f t="shared" si="0"/>
        <v>PedMedCont.02</v>
      </c>
      <c r="B49" s="704" t="str">
        <f t="shared" ref="B49:B67" si="3">ConcatenateKeyValue(F49:U49,"||","^^")</f>
        <v/>
      </c>
      <c r="C49" s="704" t="str">
        <f t="shared" si="1"/>
        <v>PedMedCont.02**</v>
      </c>
      <c r="D49" s="152" t="s">
        <v>5119</v>
      </c>
      <c r="E49" s="157" t="s">
        <v>332</v>
      </c>
      <c r="F49" s="151" t="s">
        <v>254</v>
      </c>
      <c r="G49" s="151" t="str">
        <f>PedBerMedIV!AF6</f>
        <v/>
      </c>
      <c r="H49" s="151" t="s">
        <v>153</v>
      </c>
      <c r="I49" s="151" t="str">
        <f>PedBerMedIV!AG6</f>
        <v/>
      </c>
      <c r="J49" s="151" t="s">
        <v>235</v>
      </c>
      <c r="K49" s="151" t="str">
        <f>PedBerMedIV!AH6</f>
        <v/>
      </c>
      <c r="L49" s="151" t="s">
        <v>110</v>
      </c>
      <c r="M49" s="151" t="str">
        <f>PedBerMedIV!AI6</f>
        <v/>
      </c>
      <c r="N49" s="151" t="s">
        <v>42</v>
      </c>
      <c r="O49" s="151" t="str">
        <f>PedBerMedIV!AJ6</f>
        <v/>
      </c>
      <c r="P49" s="151" t="s">
        <v>255</v>
      </c>
      <c r="Q49" s="151" t="str">
        <f>PedBerMedIV!AK6&amp;" "&amp;PedBerMedIV!AL6</f>
        <v xml:space="preserve"> </v>
      </c>
      <c r="R49" s="151" t="s">
        <v>85</v>
      </c>
      <c r="S49" s="151" t="str">
        <f>PedBerMedIV!AM6</f>
        <v/>
      </c>
      <c r="T49" s="152" t="s">
        <v>418</v>
      </c>
      <c r="U49" s="151" t="str">
        <f>PedBerMedIV!AN6</f>
        <v/>
      </c>
    </row>
    <row r="50" spans="1:21" x14ac:dyDescent="0.2">
      <c r="A50" s="152" t="str">
        <f t="shared" si="0"/>
        <v>PedMedCont.03</v>
      </c>
      <c r="B50" s="704" t="str">
        <f t="shared" si="3"/>
        <v/>
      </c>
      <c r="C50" s="704" t="str">
        <f t="shared" si="1"/>
        <v>PedMedCont.03**</v>
      </c>
      <c r="D50" s="152" t="s">
        <v>5119</v>
      </c>
      <c r="E50" s="157" t="s">
        <v>333</v>
      </c>
      <c r="F50" s="151" t="s">
        <v>254</v>
      </c>
      <c r="G50" s="151" t="str">
        <f>PedBerMedIV!AF7</f>
        <v/>
      </c>
      <c r="H50" s="151" t="s">
        <v>153</v>
      </c>
      <c r="I50" s="151" t="str">
        <f>PedBerMedIV!AG7</f>
        <v/>
      </c>
      <c r="J50" s="151" t="s">
        <v>235</v>
      </c>
      <c r="K50" s="151" t="str">
        <f>PedBerMedIV!AH7</f>
        <v/>
      </c>
      <c r="L50" s="151" t="s">
        <v>110</v>
      </c>
      <c r="M50" s="151" t="str">
        <f>PedBerMedIV!AI7</f>
        <v/>
      </c>
      <c r="N50" s="151" t="s">
        <v>42</v>
      </c>
      <c r="O50" s="151" t="str">
        <f>PedBerMedIV!AJ7</f>
        <v/>
      </c>
      <c r="P50" s="151" t="s">
        <v>255</v>
      </c>
      <c r="Q50" s="151" t="str">
        <f>PedBerMedIV!AK7&amp;" "&amp;PedBerMedIV!AL7</f>
        <v xml:space="preserve"> </v>
      </c>
      <c r="R50" s="151" t="s">
        <v>85</v>
      </c>
      <c r="S50" s="151" t="str">
        <f>PedBerMedIV!AM7</f>
        <v/>
      </c>
      <c r="T50" s="152" t="s">
        <v>418</v>
      </c>
      <c r="U50" s="151" t="str">
        <f>PedBerMedIV!AN7</f>
        <v/>
      </c>
    </row>
    <row r="51" spans="1:21" x14ac:dyDescent="0.2">
      <c r="A51" s="152" t="str">
        <f t="shared" si="0"/>
        <v>PedMedCont.04</v>
      </c>
      <c r="B51" s="704" t="str">
        <f t="shared" si="3"/>
        <v/>
      </c>
      <c r="C51" s="704" t="str">
        <f t="shared" si="1"/>
        <v>PedMedCont.04**</v>
      </c>
      <c r="D51" s="152" t="s">
        <v>5119</v>
      </c>
      <c r="E51" s="157" t="s">
        <v>334</v>
      </c>
      <c r="F51" s="151" t="s">
        <v>254</v>
      </c>
      <c r="G51" s="151" t="str">
        <f>PedBerMedIV!AF8</f>
        <v/>
      </c>
      <c r="H51" s="151" t="s">
        <v>153</v>
      </c>
      <c r="I51" s="151" t="str">
        <f>PedBerMedIV!AG8</f>
        <v/>
      </c>
      <c r="J51" s="151" t="s">
        <v>235</v>
      </c>
      <c r="K51" s="151" t="str">
        <f>PedBerMedIV!AH8</f>
        <v/>
      </c>
      <c r="L51" s="151" t="s">
        <v>110</v>
      </c>
      <c r="M51" s="151" t="str">
        <f>PedBerMedIV!AI8</f>
        <v/>
      </c>
      <c r="N51" s="151" t="s">
        <v>42</v>
      </c>
      <c r="O51" s="151" t="str">
        <f>PedBerMedIV!AJ8</f>
        <v/>
      </c>
      <c r="P51" s="151" t="s">
        <v>255</v>
      </c>
      <c r="Q51" s="151" t="str">
        <f>PedBerMedIV!AK8&amp;" "&amp;PedBerMedIV!AL8</f>
        <v xml:space="preserve"> </v>
      </c>
      <c r="R51" s="151" t="s">
        <v>85</v>
      </c>
      <c r="S51" s="151" t="str">
        <f>PedBerMedIV!AM8</f>
        <v/>
      </c>
      <c r="T51" s="152" t="s">
        <v>418</v>
      </c>
      <c r="U51" s="151" t="str">
        <f>PedBerMedIV!AN8</f>
        <v/>
      </c>
    </row>
    <row r="52" spans="1:21" x14ac:dyDescent="0.2">
      <c r="A52" s="152" t="str">
        <f t="shared" si="0"/>
        <v>PedMedCont.05</v>
      </c>
      <c r="B52" s="704" t="str">
        <f t="shared" si="3"/>
        <v/>
      </c>
      <c r="C52" s="704" t="str">
        <f t="shared" si="1"/>
        <v>PedMedCont.05**</v>
      </c>
      <c r="D52" s="152" t="s">
        <v>5119</v>
      </c>
      <c r="E52" s="157" t="s">
        <v>335</v>
      </c>
      <c r="F52" s="151" t="s">
        <v>254</v>
      </c>
      <c r="G52" s="151" t="str">
        <f>PedBerMedIV!AF9</f>
        <v/>
      </c>
      <c r="H52" s="151" t="s">
        <v>153</v>
      </c>
      <c r="I52" s="151" t="str">
        <f>PedBerMedIV!AG9</f>
        <v/>
      </c>
      <c r="J52" s="151" t="s">
        <v>235</v>
      </c>
      <c r="K52" s="151" t="str">
        <f>PedBerMedIV!AH9</f>
        <v/>
      </c>
      <c r="L52" s="151" t="s">
        <v>110</v>
      </c>
      <c r="M52" s="151" t="str">
        <f>PedBerMedIV!AI9</f>
        <v/>
      </c>
      <c r="N52" s="151" t="s">
        <v>42</v>
      </c>
      <c r="O52" s="151" t="str">
        <f>PedBerMedIV!AJ9</f>
        <v/>
      </c>
      <c r="P52" s="151" t="s">
        <v>255</v>
      </c>
      <c r="Q52" s="151" t="str">
        <f>PedBerMedIV!AK9&amp;" "&amp;PedBerMedIV!AL9</f>
        <v xml:space="preserve"> </v>
      </c>
      <c r="R52" s="151" t="s">
        <v>85</v>
      </c>
      <c r="S52" s="151" t="str">
        <f>PedBerMedIV!AM9</f>
        <v/>
      </c>
      <c r="T52" s="152" t="s">
        <v>418</v>
      </c>
      <c r="U52" s="151" t="str">
        <f>PedBerMedIV!AN9</f>
        <v/>
      </c>
    </row>
    <row r="53" spans="1:21" x14ac:dyDescent="0.2">
      <c r="A53" s="152" t="str">
        <f t="shared" si="0"/>
        <v>PedMedCont.06</v>
      </c>
      <c r="B53" s="704" t="str">
        <f t="shared" si="3"/>
        <v/>
      </c>
      <c r="C53" s="704" t="str">
        <f t="shared" si="1"/>
        <v>PedMedCont.06**</v>
      </c>
      <c r="D53" s="152" t="s">
        <v>5119</v>
      </c>
      <c r="E53" s="157" t="s">
        <v>336</v>
      </c>
      <c r="F53" s="151" t="s">
        <v>254</v>
      </c>
      <c r="G53" s="151" t="str">
        <f>PedBerMedIV!AF10</f>
        <v/>
      </c>
      <c r="H53" s="151" t="s">
        <v>153</v>
      </c>
      <c r="I53" s="151" t="str">
        <f>PedBerMedIV!AG10</f>
        <v/>
      </c>
      <c r="J53" s="151" t="s">
        <v>235</v>
      </c>
      <c r="K53" s="151" t="str">
        <f>PedBerMedIV!AH10</f>
        <v/>
      </c>
      <c r="L53" s="151" t="s">
        <v>110</v>
      </c>
      <c r="M53" s="151" t="str">
        <f>PedBerMedIV!AI10</f>
        <v/>
      </c>
      <c r="N53" s="151" t="s">
        <v>42</v>
      </c>
      <c r="O53" s="151" t="str">
        <f>PedBerMedIV!AJ10</f>
        <v/>
      </c>
      <c r="P53" s="151" t="s">
        <v>255</v>
      </c>
      <c r="Q53" s="151" t="str">
        <f>PedBerMedIV!AK10&amp;" "&amp;PedBerMedIV!AL10</f>
        <v xml:space="preserve"> </v>
      </c>
      <c r="R53" s="151" t="s">
        <v>85</v>
      </c>
      <c r="S53" s="151" t="str">
        <f>PedBerMedIV!AM10</f>
        <v/>
      </c>
      <c r="T53" s="152" t="s">
        <v>418</v>
      </c>
      <c r="U53" s="151" t="str">
        <f>PedBerMedIV!AN10</f>
        <v/>
      </c>
    </row>
    <row r="54" spans="1:21" x14ac:dyDescent="0.2">
      <c r="A54" s="152" t="str">
        <f t="shared" si="0"/>
        <v>PedMedCont.07</v>
      </c>
      <c r="B54" s="704" t="str">
        <f t="shared" si="3"/>
        <v/>
      </c>
      <c r="C54" s="704" t="str">
        <f t="shared" si="1"/>
        <v>PedMedCont.07**</v>
      </c>
      <c r="D54" s="152" t="s">
        <v>5119</v>
      </c>
      <c r="E54" s="157" t="s">
        <v>337</v>
      </c>
      <c r="F54" s="151" t="s">
        <v>254</v>
      </c>
      <c r="G54" s="151" t="str">
        <f>PedBerMedIV!AF11</f>
        <v/>
      </c>
      <c r="H54" s="151" t="s">
        <v>153</v>
      </c>
      <c r="I54" s="151" t="str">
        <f>PedBerMedIV!AG11</f>
        <v/>
      </c>
      <c r="J54" s="151" t="s">
        <v>235</v>
      </c>
      <c r="K54" s="151" t="str">
        <f>PedBerMedIV!AH11</f>
        <v/>
      </c>
      <c r="L54" s="151" t="s">
        <v>110</v>
      </c>
      <c r="M54" s="151" t="str">
        <f>PedBerMedIV!AI11</f>
        <v/>
      </c>
      <c r="N54" s="151" t="s">
        <v>42</v>
      </c>
      <c r="O54" s="151" t="str">
        <f>PedBerMedIV!AJ11</f>
        <v/>
      </c>
      <c r="P54" s="151" t="s">
        <v>255</v>
      </c>
      <c r="Q54" s="151" t="str">
        <f>PedBerMedIV!AK11&amp;" "&amp;PedBerMedIV!AL11</f>
        <v xml:space="preserve"> </v>
      </c>
      <c r="R54" s="151" t="s">
        <v>85</v>
      </c>
      <c r="S54" s="151" t="str">
        <f>PedBerMedIV!AM11</f>
        <v/>
      </c>
      <c r="T54" s="152" t="s">
        <v>418</v>
      </c>
      <c r="U54" s="151" t="str">
        <f>PedBerMedIV!AN11</f>
        <v/>
      </c>
    </row>
    <row r="55" spans="1:21" x14ac:dyDescent="0.2">
      <c r="A55" s="152" t="str">
        <f t="shared" si="0"/>
        <v>PedMedCont.08</v>
      </c>
      <c r="B55" s="704" t="str">
        <f t="shared" si="3"/>
        <v/>
      </c>
      <c r="C55" s="704" t="str">
        <f t="shared" si="1"/>
        <v>PedMedCont.08**</v>
      </c>
      <c r="D55" s="152" t="s">
        <v>5119</v>
      </c>
      <c r="E55" s="157" t="s">
        <v>338</v>
      </c>
      <c r="F55" s="151" t="s">
        <v>254</v>
      </c>
      <c r="G55" s="151" t="str">
        <f>PedBerMedIV!AF12</f>
        <v/>
      </c>
      <c r="H55" s="151" t="s">
        <v>153</v>
      </c>
      <c r="I55" s="151" t="str">
        <f>PedBerMedIV!AG12</f>
        <v/>
      </c>
      <c r="J55" s="151" t="s">
        <v>235</v>
      </c>
      <c r="K55" s="151" t="str">
        <f>PedBerMedIV!AH12</f>
        <v/>
      </c>
      <c r="L55" s="151" t="s">
        <v>110</v>
      </c>
      <c r="M55" s="151" t="str">
        <f>PedBerMedIV!AI12</f>
        <v/>
      </c>
      <c r="N55" s="151" t="s">
        <v>42</v>
      </c>
      <c r="O55" s="151" t="str">
        <f>PedBerMedIV!AJ12</f>
        <v/>
      </c>
      <c r="P55" s="151" t="s">
        <v>255</v>
      </c>
      <c r="Q55" s="151" t="str">
        <f>PedBerMedIV!AK12&amp;" "&amp;PedBerMedIV!AL12</f>
        <v xml:space="preserve"> </v>
      </c>
      <c r="R55" s="151" t="s">
        <v>85</v>
      </c>
      <c r="S55" s="151" t="str">
        <f>PedBerMedIV!AM12</f>
        <v/>
      </c>
      <c r="T55" s="152" t="s">
        <v>418</v>
      </c>
      <c r="U55" s="151" t="str">
        <f>PedBerMedIV!AN12</f>
        <v/>
      </c>
    </row>
    <row r="56" spans="1:21" x14ac:dyDescent="0.2">
      <c r="A56" s="152" t="str">
        <f t="shared" si="0"/>
        <v>PedMedCont.09</v>
      </c>
      <c r="B56" s="704" t="str">
        <f t="shared" si="3"/>
        <v/>
      </c>
      <c r="C56" s="704" t="str">
        <f t="shared" si="1"/>
        <v>PedMedCont.09**</v>
      </c>
      <c r="D56" s="152" t="s">
        <v>5119</v>
      </c>
      <c r="E56" s="157" t="s">
        <v>339</v>
      </c>
      <c r="F56" s="151" t="s">
        <v>254</v>
      </c>
      <c r="G56" s="151" t="str">
        <f>PedBerMedIV!AF13</f>
        <v/>
      </c>
      <c r="H56" s="151" t="s">
        <v>153</v>
      </c>
      <c r="I56" s="151" t="str">
        <f>PedBerMedIV!AG13</f>
        <v/>
      </c>
      <c r="J56" s="151" t="s">
        <v>235</v>
      </c>
      <c r="K56" s="151" t="str">
        <f>PedBerMedIV!AH13</f>
        <v/>
      </c>
      <c r="L56" s="151" t="s">
        <v>110</v>
      </c>
      <c r="M56" s="151" t="str">
        <f>PedBerMedIV!AI13</f>
        <v/>
      </c>
      <c r="N56" s="151" t="s">
        <v>42</v>
      </c>
      <c r="O56" s="151" t="str">
        <f>PedBerMedIV!AJ13</f>
        <v/>
      </c>
      <c r="P56" s="151" t="s">
        <v>255</v>
      </c>
      <c r="Q56" s="151" t="str">
        <f>PedBerMedIV!AK13&amp;" "&amp;PedBerMedIV!AL13</f>
        <v xml:space="preserve"> </v>
      </c>
      <c r="R56" s="151" t="s">
        <v>85</v>
      </c>
      <c r="S56" s="151" t="str">
        <f>PedBerMedIV!AM13</f>
        <v/>
      </c>
      <c r="T56" s="152" t="s">
        <v>418</v>
      </c>
      <c r="U56" s="151" t="str">
        <f>PedBerMedIV!AN13</f>
        <v/>
      </c>
    </row>
    <row r="57" spans="1:21" x14ac:dyDescent="0.2">
      <c r="A57" s="152" t="str">
        <f t="shared" si="0"/>
        <v>PedMedCont.10</v>
      </c>
      <c r="B57" s="704" t="str">
        <f t="shared" si="3"/>
        <v/>
      </c>
      <c r="C57" s="704" t="str">
        <f t="shared" si="1"/>
        <v>PedMedCont.10**</v>
      </c>
      <c r="D57" s="152" t="s">
        <v>5119</v>
      </c>
      <c r="E57" s="157" t="s">
        <v>483</v>
      </c>
      <c r="F57" s="151" t="s">
        <v>254</v>
      </c>
      <c r="G57" s="151" t="str">
        <f>PedBerMedIV!AF14</f>
        <v/>
      </c>
      <c r="H57" s="151" t="s">
        <v>153</v>
      </c>
      <c r="I57" s="151" t="str">
        <f>PedBerMedIV!AG14</f>
        <v/>
      </c>
      <c r="J57" s="151" t="s">
        <v>235</v>
      </c>
      <c r="K57" s="151" t="str">
        <f>PedBerMedIV!AH14</f>
        <v/>
      </c>
      <c r="L57" s="151" t="s">
        <v>110</v>
      </c>
      <c r="M57" s="151" t="str">
        <f>PedBerMedIV!AI14</f>
        <v/>
      </c>
      <c r="N57" s="151" t="s">
        <v>42</v>
      </c>
      <c r="O57" s="151" t="str">
        <f>PedBerMedIV!AJ14</f>
        <v/>
      </c>
      <c r="P57" s="151" t="s">
        <v>255</v>
      </c>
      <c r="Q57" s="151" t="str">
        <f>PedBerMedIV!AK14&amp;" "&amp;PedBerMedIV!AL14</f>
        <v xml:space="preserve"> </v>
      </c>
      <c r="R57" s="151" t="s">
        <v>85</v>
      </c>
      <c r="S57" s="151" t="str">
        <f>PedBerMedIV!AM14</f>
        <v/>
      </c>
      <c r="T57" s="152" t="s">
        <v>418</v>
      </c>
      <c r="U57" s="151" t="str">
        <f>PedBerMedIV!AN14</f>
        <v/>
      </c>
    </row>
    <row r="58" spans="1:21" x14ac:dyDescent="0.2">
      <c r="A58" s="152" t="str">
        <f t="shared" si="0"/>
        <v>PedMedCont.11</v>
      </c>
      <c r="B58" s="704" t="str">
        <f t="shared" si="3"/>
        <v/>
      </c>
      <c r="C58" s="704" t="str">
        <f t="shared" si="1"/>
        <v>PedMedCont.11**</v>
      </c>
      <c r="D58" s="152" t="s">
        <v>5119</v>
      </c>
      <c r="E58" s="157" t="s">
        <v>484</v>
      </c>
      <c r="F58" s="151" t="s">
        <v>254</v>
      </c>
      <c r="G58" s="151" t="str">
        <f>PedBerMedIV!AF15</f>
        <v/>
      </c>
      <c r="H58" s="151" t="s">
        <v>153</v>
      </c>
      <c r="I58" s="151" t="str">
        <f>PedBerMedIV!AG15</f>
        <v/>
      </c>
      <c r="J58" s="151" t="s">
        <v>235</v>
      </c>
      <c r="K58" s="151" t="str">
        <f>PedBerMedIV!AH15</f>
        <v/>
      </c>
      <c r="L58" s="151" t="s">
        <v>110</v>
      </c>
      <c r="M58" s="151" t="str">
        <f>PedBerMedIV!AI15</f>
        <v/>
      </c>
      <c r="N58" s="151" t="s">
        <v>42</v>
      </c>
      <c r="O58" s="151" t="str">
        <f>PedBerMedIV!AJ15</f>
        <v/>
      </c>
      <c r="P58" s="151" t="s">
        <v>255</v>
      </c>
      <c r="Q58" s="151" t="str">
        <f>PedBerMedIV!AK15&amp;" "&amp;PedBerMedIV!AL15</f>
        <v xml:space="preserve"> </v>
      </c>
      <c r="R58" s="151" t="s">
        <v>85</v>
      </c>
      <c r="S58" s="151" t="str">
        <f>PedBerMedIV!AM15</f>
        <v/>
      </c>
      <c r="T58" s="152" t="s">
        <v>418</v>
      </c>
      <c r="U58" s="151" t="str">
        <f>PedBerMedIV!AN15</f>
        <v/>
      </c>
    </row>
    <row r="59" spans="1:21" x14ac:dyDescent="0.2">
      <c r="A59" s="152" t="str">
        <f t="shared" si="0"/>
        <v>PedMedCont.12</v>
      </c>
      <c r="B59" s="704" t="str">
        <f t="shared" si="3"/>
        <v/>
      </c>
      <c r="C59" s="704" t="str">
        <f t="shared" si="1"/>
        <v>PedMedCont.12**</v>
      </c>
      <c r="D59" s="152" t="s">
        <v>5119</v>
      </c>
      <c r="E59" s="157" t="s">
        <v>485</v>
      </c>
      <c r="F59" s="151" t="s">
        <v>254</v>
      </c>
      <c r="G59" s="151" t="str">
        <f>PedBerMedIV!AF16</f>
        <v/>
      </c>
      <c r="H59" s="151" t="s">
        <v>153</v>
      </c>
      <c r="I59" s="151" t="str">
        <f>PedBerMedIV!AG16</f>
        <v/>
      </c>
      <c r="J59" s="151" t="s">
        <v>235</v>
      </c>
      <c r="K59" s="151" t="str">
        <f>PedBerMedIV!AH16</f>
        <v/>
      </c>
      <c r="L59" s="151" t="s">
        <v>110</v>
      </c>
      <c r="M59" s="151" t="str">
        <f>PedBerMedIV!AI16</f>
        <v/>
      </c>
      <c r="N59" s="151" t="s">
        <v>42</v>
      </c>
      <c r="O59" s="151" t="str">
        <f>PedBerMedIV!AJ16</f>
        <v/>
      </c>
      <c r="P59" s="151" t="s">
        <v>255</v>
      </c>
      <c r="Q59" s="151" t="str">
        <f>PedBerMedIV!AK16&amp;" "&amp;PedBerMedIV!AL16</f>
        <v xml:space="preserve"> </v>
      </c>
      <c r="R59" s="151" t="s">
        <v>85</v>
      </c>
      <c r="S59" s="151" t="str">
        <f>PedBerMedIV!AM16</f>
        <v/>
      </c>
      <c r="T59" s="152" t="s">
        <v>418</v>
      </c>
      <c r="U59" s="151" t="str">
        <f>PedBerMedIV!AN16</f>
        <v/>
      </c>
    </row>
    <row r="60" spans="1:21" x14ac:dyDescent="0.2">
      <c r="A60" s="152" t="str">
        <f t="shared" si="0"/>
        <v>PedMedCont.13</v>
      </c>
      <c r="B60" s="704" t="str">
        <f t="shared" si="3"/>
        <v/>
      </c>
      <c r="C60" s="704" t="str">
        <f t="shared" si="1"/>
        <v>PedMedCont.13**</v>
      </c>
      <c r="D60" s="152" t="s">
        <v>5119</v>
      </c>
      <c r="E60" s="157" t="s">
        <v>579</v>
      </c>
      <c r="F60" s="151" t="s">
        <v>254</v>
      </c>
      <c r="G60" s="151" t="str">
        <f>PedBerMedIV!AF17</f>
        <v/>
      </c>
      <c r="H60" s="151" t="s">
        <v>153</v>
      </c>
      <c r="I60" s="151" t="str">
        <f>PedBerMedIV!AG17</f>
        <v/>
      </c>
      <c r="J60" s="151" t="s">
        <v>235</v>
      </c>
      <c r="K60" s="151" t="str">
        <f>PedBerMedIV!AH17</f>
        <v/>
      </c>
      <c r="L60" s="151" t="s">
        <v>110</v>
      </c>
      <c r="M60" s="151" t="str">
        <f>PedBerMedIV!AI17</f>
        <v/>
      </c>
      <c r="N60" s="151" t="s">
        <v>42</v>
      </c>
      <c r="O60" s="151" t="str">
        <f>PedBerMedIV!AJ17</f>
        <v/>
      </c>
      <c r="P60" s="151" t="s">
        <v>255</v>
      </c>
      <c r="Q60" s="151" t="str">
        <f>PedBerMedIV!AK17&amp;" "&amp;PedBerMedIV!AL17</f>
        <v xml:space="preserve"> </v>
      </c>
      <c r="R60" s="151" t="s">
        <v>85</v>
      </c>
      <c r="S60" s="151" t="str">
        <f>PedBerMedIV!AM17</f>
        <v/>
      </c>
      <c r="T60" s="152" t="s">
        <v>418</v>
      </c>
      <c r="U60" s="151" t="str">
        <f>PedBerMedIV!AN17</f>
        <v/>
      </c>
    </row>
    <row r="61" spans="1:21" x14ac:dyDescent="0.2">
      <c r="A61" s="152" t="str">
        <f t="shared" si="0"/>
        <v>PedMedCont.14</v>
      </c>
      <c r="B61" s="704" t="str">
        <f t="shared" si="3"/>
        <v/>
      </c>
      <c r="C61" s="704" t="str">
        <f t="shared" si="1"/>
        <v>PedMedCont.14**</v>
      </c>
      <c r="D61" s="152" t="s">
        <v>5119</v>
      </c>
      <c r="E61" s="157" t="s">
        <v>580</v>
      </c>
      <c r="F61" s="151" t="s">
        <v>254</v>
      </c>
      <c r="G61" s="151" t="str">
        <f>PedBerMedIV!AF18</f>
        <v/>
      </c>
      <c r="H61" s="151" t="s">
        <v>153</v>
      </c>
      <c r="I61" s="151" t="str">
        <f>PedBerMedIV!AG18</f>
        <v/>
      </c>
      <c r="J61" s="151" t="s">
        <v>235</v>
      </c>
      <c r="K61" s="151" t="str">
        <f>PedBerMedIV!AH18</f>
        <v/>
      </c>
      <c r="L61" s="151" t="s">
        <v>110</v>
      </c>
      <c r="M61" s="151" t="str">
        <f>PedBerMedIV!AI18</f>
        <v/>
      </c>
      <c r="N61" s="151" t="s">
        <v>42</v>
      </c>
      <c r="O61" s="151" t="str">
        <f>PedBerMedIV!AJ18</f>
        <v/>
      </c>
      <c r="P61" s="151" t="s">
        <v>255</v>
      </c>
      <c r="Q61" s="151" t="str">
        <f>PedBerMedIV!AK18&amp;" "&amp;PedBerMedIV!AL18</f>
        <v xml:space="preserve"> </v>
      </c>
      <c r="R61" s="151" t="s">
        <v>85</v>
      </c>
      <c r="S61" s="151" t="str">
        <f>PedBerMedIV!AM18</f>
        <v/>
      </c>
      <c r="T61" s="152" t="s">
        <v>418</v>
      </c>
      <c r="U61" s="151" t="str">
        <f>PedBerMedIV!AN18</f>
        <v/>
      </c>
    </row>
    <row r="62" spans="1:21" x14ac:dyDescent="0.2">
      <c r="A62" s="152" t="str">
        <f t="shared" si="0"/>
        <v>PedMedCont.15</v>
      </c>
      <c r="B62" s="704" t="str">
        <f t="shared" si="3"/>
        <v/>
      </c>
      <c r="C62" s="704" t="str">
        <f t="shared" si="1"/>
        <v>PedMedCont.15**</v>
      </c>
      <c r="D62" s="152" t="s">
        <v>5119</v>
      </c>
      <c r="E62" s="157" t="s">
        <v>819</v>
      </c>
      <c r="F62" s="151" t="s">
        <v>254</v>
      </c>
      <c r="G62" s="151" t="str">
        <f>PedBerMedIV!AF19</f>
        <v/>
      </c>
      <c r="H62" s="151" t="s">
        <v>153</v>
      </c>
      <c r="I62" s="151" t="str">
        <f>PedBerMedIV!AG19</f>
        <v/>
      </c>
      <c r="J62" s="151" t="s">
        <v>235</v>
      </c>
      <c r="K62" s="151" t="str">
        <f>PedBerMedIV!AH19</f>
        <v/>
      </c>
      <c r="L62" s="151" t="s">
        <v>110</v>
      </c>
      <c r="M62" s="151" t="str">
        <f>PedBerMedIV!AI19</f>
        <v/>
      </c>
      <c r="N62" s="151" t="s">
        <v>42</v>
      </c>
      <c r="O62" s="151" t="str">
        <f>PedBerMedIV!AJ19</f>
        <v/>
      </c>
      <c r="P62" s="151" t="s">
        <v>255</v>
      </c>
      <c r="Q62" s="151" t="str">
        <f>PedBerMedIV!AK19&amp;" "&amp;PedBerMedIV!AL19</f>
        <v xml:space="preserve"> </v>
      </c>
      <c r="R62" s="151" t="s">
        <v>85</v>
      </c>
      <c r="S62" s="151" t="str">
        <f>PedBerMedIV!AM19</f>
        <v/>
      </c>
      <c r="T62" s="152" t="s">
        <v>418</v>
      </c>
      <c r="U62" s="151" t="str">
        <f>PedBerMedIV!AN19</f>
        <v/>
      </c>
    </row>
    <row r="63" spans="1:21" x14ac:dyDescent="0.2">
      <c r="A63" s="152" t="str">
        <f t="shared" si="0"/>
        <v>PedMedCont.16</v>
      </c>
      <c r="B63" s="704" t="str">
        <f t="shared" si="3"/>
        <v/>
      </c>
      <c r="C63" s="704" t="str">
        <f t="shared" si="1"/>
        <v>PedMedCont.16**</v>
      </c>
      <c r="D63" s="152" t="s">
        <v>5119</v>
      </c>
      <c r="E63" s="157" t="s">
        <v>833</v>
      </c>
      <c r="F63" s="151" t="s">
        <v>254</v>
      </c>
      <c r="G63" s="151" t="str">
        <f>PedBerMedIV!AF21</f>
        <v/>
      </c>
      <c r="H63" s="151" t="s">
        <v>153</v>
      </c>
      <c r="I63" s="151">
        <f>PedBerMedIV!AG21</f>
        <v>0</v>
      </c>
      <c r="J63" s="151" t="s">
        <v>235</v>
      </c>
      <c r="K63" s="151" t="str">
        <f>PedBerMedIV!AH21</f>
        <v/>
      </c>
      <c r="L63" s="151" t="s">
        <v>110</v>
      </c>
      <c r="M63" s="151" t="str">
        <f>PedBerMedIV!AI21</f>
        <v/>
      </c>
      <c r="N63" s="151" t="s">
        <v>42</v>
      </c>
      <c r="O63" s="151" t="str">
        <f>PedBerMedIV!AJ21</f>
        <v/>
      </c>
      <c r="P63" s="151" t="s">
        <v>255</v>
      </c>
      <c r="Q63" s="151" t="str">
        <f>PedBerMedIV!AK21&amp;" "&amp;PedBerMedIV!AL21</f>
        <v xml:space="preserve"> </v>
      </c>
      <c r="R63" s="151" t="s">
        <v>85</v>
      </c>
      <c r="S63" s="151" t="str">
        <f>PedBerMedIV!AM21</f>
        <v/>
      </c>
      <c r="T63" s="152" t="s">
        <v>418</v>
      </c>
      <c r="U63" s="151">
        <f>PedBerMedIV!AN21</f>
        <v>0</v>
      </c>
    </row>
    <row r="64" spans="1:21" x14ac:dyDescent="0.2">
      <c r="A64" s="152" t="str">
        <f t="shared" si="0"/>
        <v>PedMedCont.17</v>
      </c>
      <c r="B64" s="704" t="str">
        <f t="shared" si="3"/>
        <v/>
      </c>
      <c r="C64" s="704" t="str">
        <f t="shared" si="1"/>
        <v>PedMedCont.17**</v>
      </c>
      <c r="D64" s="152" t="s">
        <v>5119</v>
      </c>
      <c r="E64" s="157" t="s">
        <v>834</v>
      </c>
      <c r="F64" s="151" t="s">
        <v>254</v>
      </c>
      <c r="G64" s="151" t="str">
        <f>PedBerMedIV!AF22</f>
        <v/>
      </c>
      <c r="H64" s="151" t="s">
        <v>153</v>
      </c>
      <c r="I64" s="151">
        <f>PedBerMedIV!AG22</f>
        <v>0</v>
      </c>
      <c r="J64" s="151" t="s">
        <v>235</v>
      </c>
      <c r="K64" s="151" t="str">
        <f>PedBerMedIV!AH22</f>
        <v/>
      </c>
      <c r="L64" s="151" t="s">
        <v>110</v>
      </c>
      <c r="M64" s="151" t="str">
        <f>PedBerMedIV!AI22</f>
        <v/>
      </c>
      <c r="N64" s="151" t="s">
        <v>42</v>
      </c>
      <c r="O64" s="151" t="str">
        <f>PedBerMedIV!AJ22</f>
        <v/>
      </c>
      <c r="P64" s="151" t="s">
        <v>255</v>
      </c>
      <c r="Q64" s="151" t="str">
        <f>PedBerMedIV!AK22&amp;" "&amp;PedBerMedIV!AL22</f>
        <v xml:space="preserve"> </v>
      </c>
      <c r="R64" s="151" t="s">
        <v>85</v>
      </c>
      <c r="S64" s="151" t="str">
        <f>PedBerMedIV!AM22</f>
        <v/>
      </c>
      <c r="T64" s="152" t="s">
        <v>418</v>
      </c>
      <c r="U64" s="151">
        <f>PedBerMedIV!AN22</f>
        <v>0</v>
      </c>
    </row>
    <row r="65" spans="1:21" x14ac:dyDescent="0.2">
      <c r="A65" s="152" t="str">
        <f t="shared" si="0"/>
        <v>PedMedCont.18</v>
      </c>
      <c r="B65" s="704" t="str">
        <f t="shared" si="3"/>
        <v/>
      </c>
      <c r="C65" s="704" t="str">
        <f t="shared" si="1"/>
        <v>PedMedCont.18**</v>
      </c>
      <c r="D65" s="152" t="s">
        <v>5119</v>
      </c>
      <c r="E65" s="157" t="s">
        <v>835</v>
      </c>
      <c r="F65" s="151" t="s">
        <v>254</v>
      </c>
      <c r="G65" s="151" t="str">
        <f>PedBerMedIV!AF23</f>
        <v/>
      </c>
      <c r="H65" s="151" t="s">
        <v>153</v>
      </c>
      <c r="I65" s="151">
        <f>PedBerMedIV!AG23</f>
        <v>0</v>
      </c>
      <c r="J65" s="151" t="s">
        <v>235</v>
      </c>
      <c r="K65" s="151" t="str">
        <f>PedBerMedIV!AH23</f>
        <v/>
      </c>
      <c r="L65" s="151" t="s">
        <v>110</v>
      </c>
      <c r="M65" s="151" t="str">
        <f>PedBerMedIV!AI23</f>
        <v/>
      </c>
      <c r="N65" s="151" t="s">
        <v>42</v>
      </c>
      <c r="O65" s="151" t="str">
        <f>PedBerMedIV!AJ23</f>
        <v/>
      </c>
      <c r="P65" s="151" t="s">
        <v>255</v>
      </c>
      <c r="Q65" s="151" t="str">
        <f>PedBerMedIV!AK23&amp;" "&amp;PedBerMedIV!AL23</f>
        <v xml:space="preserve"> </v>
      </c>
      <c r="R65" s="151" t="s">
        <v>85</v>
      </c>
      <c r="S65" s="151" t="str">
        <f>PedBerMedIV!AM23</f>
        <v/>
      </c>
      <c r="T65" s="152" t="s">
        <v>418</v>
      </c>
      <c r="U65" s="151">
        <f>PedBerMedIV!AN23</f>
        <v>0</v>
      </c>
    </row>
    <row r="66" spans="1:21" s="151" customFormat="1" x14ac:dyDescent="0.2">
      <c r="A66" s="152" t="str">
        <f t="shared" ref="A66:A73" si="4">D66&amp;"."&amp;E66</f>
        <v>PedMedCont.19</v>
      </c>
      <c r="B66" s="704" t="str">
        <f t="shared" si="3"/>
        <v/>
      </c>
      <c r="C66" s="704" t="str">
        <f t="shared" si="1"/>
        <v>PedMedCont.19**</v>
      </c>
      <c r="D66" s="152" t="s">
        <v>5119</v>
      </c>
      <c r="E66" s="157" t="s">
        <v>836</v>
      </c>
      <c r="F66" s="151" t="s">
        <v>254</v>
      </c>
      <c r="G66" s="151" t="str">
        <f>PedBerMedIV!AF24</f>
        <v/>
      </c>
      <c r="H66" s="151" t="s">
        <v>153</v>
      </c>
      <c r="I66" s="151">
        <f>PedBerMedIV!AG24</f>
        <v>0</v>
      </c>
      <c r="J66" s="151" t="s">
        <v>235</v>
      </c>
      <c r="K66" s="151" t="str">
        <f>PedBerMedIV!AH24</f>
        <v/>
      </c>
      <c r="L66" s="151" t="s">
        <v>110</v>
      </c>
      <c r="M66" s="151" t="str">
        <f>PedBerMedIV!AI24</f>
        <v/>
      </c>
      <c r="N66" s="151" t="s">
        <v>42</v>
      </c>
      <c r="O66" s="151" t="str">
        <f>PedBerMedIV!AJ24</f>
        <v/>
      </c>
      <c r="P66" s="151" t="s">
        <v>255</v>
      </c>
      <c r="Q66" s="151" t="str">
        <f>PedBerMedIV!AK24&amp;" "&amp;PedBerMedIV!AL24</f>
        <v xml:space="preserve"> </v>
      </c>
      <c r="R66" s="151" t="s">
        <v>85</v>
      </c>
      <c r="S66" s="151" t="str">
        <f>PedBerMedIV!AM24</f>
        <v/>
      </c>
      <c r="T66" s="152" t="s">
        <v>418</v>
      </c>
      <c r="U66" s="151">
        <f>PedBerMedIV!AN24</f>
        <v>0</v>
      </c>
    </row>
    <row r="67" spans="1:21" x14ac:dyDescent="0.2">
      <c r="A67" s="152" t="str">
        <f t="shared" si="4"/>
        <v>PedMedCont.20</v>
      </c>
      <c r="B67" s="704" t="str">
        <f t="shared" si="3"/>
        <v/>
      </c>
      <c r="C67" s="704" t="str">
        <f t="shared" ref="C67:C130" si="5">A67&amp;"**"&amp;B67</f>
        <v>PedMedCont.20**</v>
      </c>
      <c r="D67" s="152" t="s">
        <v>5119</v>
      </c>
      <c r="E67" s="157" t="s">
        <v>837</v>
      </c>
      <c r="F67" s="151" t="s">
        <v>254</v>
      </c>
      <c r="G67" s="151" t="str">
        <f>PedBerMedIV!AF25</f>
        <v/>
      </c>
      <c r="H67" s="151" t="s">
        <v>153</v>
      </c>
      <c r="I67" s="151">
        <f>PedBerMedIV!AG25</f>
        <v>0</v>
      </c>
      <c r="J67" s="151" t="s">
        <v>235</v>
      </c>
      <c r="K67" s="151" t="str">
        <f>PedBerMedIV!AH25</f>
        <v/>
      </c>
      <c r="L67" s="151" t="s">
        <v>110</v>
      </c>
      <c r="M67" s="151" t="str">
        <f>PedBerMedIV!AI25</f>
        <v/>
      </c>
      <c r="N67" s="151" t="s">
        <v>42</v>
      </c>
      <c r="O67" s="151" t="str">
        <f>PedBerMedIV!AJ25</f>
        <v/>
      </c>
      <c r="P67" s="151" t="s">
        <v>255</v>
      </c>
      <c r="Q67" s="151" t="str">
        <f>PedBerMedIV!AK25&amp;" "&amp;PedBerMedIV!AL25</f>
        <v xml:space="preserve"> </v>
      </c>
      <c r="R67" s="151" t="s">
        <v>85</v>
      </c>
      <c r="S67" s="151" t="str">
        <f>PedBerMedIV!AM25</f>
        <v/>
      </c>
      <c r="T67" s="152" t="s">
        <v>418</v>
      </c>
      <c r="U67" s="151">
        <f>PedBerMedIV!AN25</f>
        <v>0</v>
      </c>
    </row>
    <row r="68" spans="1:21" s="151" customFormat="1" x14ac:dyDescent="0.2">
      <c r="A68" s="152" t="str">
        <f t="shared" si="4"/>
        <v>PedMedCont.Tekst</v>
      </c>
      <c r="B68" s="704" t="str">
        <f>F68</f>
        <v/>
      </c>
      <c r="C68" s="704" t="str">
        <f t="shared" si="5"/>
        <v>PedMedCont.Tekst**</v>
      </c>
      <c r="D68" s="152" t="s">
        <v>5119</v>
      </c>
      <c r="E68" s="157" t="s">
        <v>4069</v>
      </c>
      <c r="F68" s="151" t="str">
        <f>IF(_Ped_MedIV_Opm=0,"",_Ped_MedIV_Opm)</f>
        <v/>
      </c>
      <c r="T68" s="152"/>
    </row>
    <row r="69" spans="1:21" s="151" customFormat="1" x14ac:dyDescent="0.2">
      <c r="A69" s="152" t="str">
        <f t="shared" si="4"/>
        <v>PedEnt.Toeg</v>
      </c>
      <c r="B69" s="704" t="str">
        <f>PedBerEnt!K3</f>
        <v/>
      </c>
      <c r="C69" s="704" t="str">
        <f t="shared" si="5"/>
        <v>PedEnt.Toeg**</v>
      </c>
      <c r="D69" s="152" t="s">
        <v>5190</v>
      </c>
      <c r="E69" s="157" t="s">
        <v>5208</v>
      </c>
      <c r="N69" s="152"/>
    </row>
    <row r="70" spans="1:21" x14ac:dyDescent="0.2">
      <c r="A70" s="152" t="str">
        <f t="shared" si="4"/>
        <v>PedEnt.Voed</v>
      </c>
      <c r="B70" s="704" t="str">
        <f>ConcatenateKeyValue(F70:M70,"||","^^")</f>
        <v/>
      </c>
      <c r="C70" s="704" t="str">
        <f t="shared" si="5"/>
        <v>PedEnt.Voed**</v>
      </c>
      <c r="D70" s="152" t="s">
        <v>5190</v>
      </c>
      <c r="E70" s="157" t="s">
        <v>5207</v>
      </c>
      <c r="F70" s="152" t="s">
        <v>351</v>
      </c>
      <c r="G70" s="152">
        <f>PedBerEnt!K4</f>
        <v>0</v>
      </c>
      <c r="H70" s="152" t="s">
        <v>154</v>
      </c>
      <c r="I70" s="152" t="str">
        <f>PedBerEnt!H4</f>
        <v/>
      </c>
      <c r="J70" s="152" t="s">
        <v>4083</v>
      </c>
      <c r="K70" s="152" t="str">
        <f>PedBerEnt!I4</f>
        <v/>
      </c>
      <c r="L70" s="152" t="s">
        <v>5141</v>
      </c>
      <c r="M70" t="str">
        <f>PedBerEnt!J4</f>
        <v/>
      </c>
    </row>
    <row r="71" spans="1:21" x14ac:dyDescent="0.2">
      <c r="A71" s="152" t="str">
        <f t="shared" si="4"/>
        <v>PedEnt.Toev.01</v>
      </c>
      <c r="B71" s="704" t="str">
        <f t="shared" ref="B71:B73" si="6">ConcatenateKeyValue(F71:M71,"||","^^")</f>
        <v/>
      </c>
      <c r="C71" s="704" t="str">
        <f t="shared" si="5"/>
        <v>PedEnt.Toev.01**</v>
      </c>
      <c r="D71" s="152" t="s">
        <v>5190</v>
      </c>
      <c r="E71" s="157" t="s">
        <v>5191</v>
      </c>
      <c r="F71" s="152" t="s">
        <v>351</v>
      </c>
      <c r="G71" s="152">
        <f>PedBerEnt!K5</f>
        <v>0</v>
      </c>
      <c r="H71" s="152" t="s">
        <v>154</v>
      </c>
      <c r="I71" s="152" t="str">
        <f>PedBerEnt!H5</f>
        <v/>
      </c>
      <c r="J71" s="152" t="s">
        <v>4083</v>
      </c>
      <c r="K71" s="152" t="str">
        <f>PedBerEnt!I5</f>
        <v/>
      </c>
      <c r="L71" s="152" t="s">
        <v>5141</v>
      </c>
      <c r="M71" s="151" t="str">
        <f>PedBerEnt!J5</f>
        <v/>
      </c>
    </row>
    <row r="72" spans="1:21" x14ac:dyDescent="0.2">
      <c r="A72" s="152" t="str">
        <f t="shared" si="4"/>
        <v>PedEnt.Toev.02</v>
      </c>
      <c r="B72" s="704" t="str">
        <f t="shared" si="6"/>
        <v/>
      </c>
      <c r="C72" s="704" t="str">
        <f t="shared" si="5"/>
        <v>PedEnt.Toev.02**</v>
      </c>
      <c r="D72" s="152" t="s">
        <v>5190</v>
      </c>
      <c r="E72" s="157" t="s">
        <v>5192</v>
      </c>
      <c r="F72" s="152" t="s">
        <v>351</v>
      </c>
      <c r="G72" s="152">
        <f>PedBerEnt!K6</f>
        <v>0</v>
      </c>
      <c r="H72" s="152" t="s">
        <v>154</v>
      </c>
      <c r="I72" s="152" t="str">
        <f>PedBerEnt!H6</f>
        <v/>
      </c>
      <c r="J72" s="152" t="s">
        <v>4083</v>
      </c>
      <c r="K72" s="152" t="str">
        <f>PedBerEnt!I6</f>
        <v/>
      </c>
      <c r="L72" s="152" t="s">
        <v>5141</v>
      </c>
      <c r="M72" s="151" t="str">
        <f>PedBerEnt!J6</f>
        <v/>
      </c>
    </row>
    <row r="73" spans="1:21" x14ac:dyDescent="0.2">
      <c r="A73" s="152" t="str">
        <f t="shared" si="4"/>
        <v>PedEnt.Toev.03</v>
      </c>
      <c r="B73" s="704" t="str">
        <f t="shared" si="6"/>
        <v/>
      </c>
      <c r="C73" s="704" t="str">
        <f t="shared" si="5"/>
        <v>PedEnt.Toev.03**</v>
      </c>
      <c r="D73" s="152" t="s">
        <v>5190</v>
      </c>
      <c r="E73" s="157" t="s">
        <v>6944</v>
      </c>
      <c r="F73" s="152" t="s">
        <v>351</v>
      </c>
      <c r="G73" s="152">
        <f>PedBerEnt!K7</f>
        <v>0</v>
      </c>
      <c r="H73" s="152" t="s">
        <v>154</v>
      </c>
      <c r="I73" s="152" t="str">
        <f>PedBerEnt!H7</f>
        <v/>
      </c>
      <c r="J73" s="152" t="s">
        <v>4083</v>
      </c>
      <c r="K73" s="152" t="str">
        <f>PedBerEnt!I7</f>
        <v/>
      </c>
      <c r="L73" s="152" t="s">
        <v>5141</v>
      </c>
      <c r="M73" s="151" t="str">
        <f>PedBerEnt!J7</f>
        <v/>
      </c>
    </row>
    <row r="74" spans="1:21" s="151" customFormat="1" x14ac:dyDescent="0.2">
      <c r="A74" s="179" t="str">
        <f t="shared" ref="A74:A136" si="7">D74&amp;"."&amp;E74</f>
        <v>PedEnt.Opm</v>
      </c>
      <c r="B74" s="704" t="str">
        <f>IF(_Ped_Ent_Opm=0,"",_Ped_Ent_Opm)</f>
        <v/>
      </c>
      <c r="C74" s="704" t="str">
        <f t="shared" si="5"/>
        <v>PedEnt.Opm**</v>
      </c>
      <c r="D74" s="152" t="s">
        <v>5190</v>
      </c>
      <c r="E74" s="157" t="s">
        <v>344</v>
      </c>
      <c r="F74" s="152"/>
      <c r="G74" s="152"/>
      <c r="H74" s="152"/>
      <c r="I74" s="152"/>
      <c r="J74" s="152"/>
      <c r="K74" s="152"/>
      <c r="L74" s="152"/>
    </row>
    <row r="75" spans="1:21" x14ac:dyDescent="0.2">
      <c r="A75" s="179" t="str">
        <f t="shared" si="7"/>
        <v>PedTPN.SST1</v>
      </c>
      <c r="B75" s="704" t="str">
        <f t="shared" ref="B75:B81" si="8">ConcatenateKeyValue(F75:K75,"||","^^")</f>
        <v/>
      </c>
      <c r="C75" s="704" t="str">
        <f t="shared" si="5"/>
        <v>PedTPN.SST1**</v>
      </c>
      <c r="D75" s="152" t="s">
        <v>5133</v>
      </c>
      <c r="E75" s="157" t="s">
        <v>5134</v>
      </c>
      <c r="F75" s="152" t="s">
        <v>5140</v>
      </c>
      <c r="G75" s="152" t="str">
        <f>PedBerTPN!B38</f>
        <v/>
      </c>
      <c r="H75" s="152" t="s">
        <v>42</v>
      </c>
      <c r="I75" s="152" t="str">
        <f>PedBerTPN!V3</f>
        <v/>
      </c>
      <c r="J75" s="152" t="s">
        <v>5141</v>
      </c>
      <c r="K75" t="str">
        <f>PedBerTPN!X3</f>
        <v/>
      </c>
    </row>
    <row r="76" spans="1:21" x14ac:dyDescent="0.2">
      <c r="A76" s="179" t="str">
        <f t="shared" si="7"/>
        <v>PedTPN.SST2</v>
      </c>
      <c r="B76" s="704" t="str">
        <f t="shared" si="8"/>
        <v/>
      </c>
      <c r="C76" s="704" t="str">
        <f t="shared" si="5"/>
        <v>PedTPN.SST2**</v>
      </c>
      <c r="D76" s="152" t="s">
        <v>5133</v>
      </c>
      <c r="E76" s="157" t="s">
        <v>5135</v>
      </c>
      <c r="F76" s="152" t="s">
        <v>5140</v>
      </c>
      <c r="G76" s="152" t="str">
        <f>PedBerTPN!C38</f>
        <v/>
      </c>
      <c r="H76" s="152" t="s">
        <v>42</v>
      </c>
      <c r="I76" s="152" t="str">
        <f>PedBerTPN!V21</f>
        <v/>
      </c>
      <c r="J76" s="152" t="s">
        <v>5141</v>
      </c>
      <c r="K76" t="str">
        <f>PedBerTPN!X21</f>
        <v/>
      </c>
    </row>
    <row r="77" spans="1:21" x14ac:dyDescent="0.2">
      <c r="A77" s="179" t="str">
        <f t="shared" si="7"/>
        <v>PedTPN.Nutriflex</v>
      </c>
      <c r="B77" s="704" t="str">
        <f t="shared" si="8"/>
        <v/>
      </c>
      <c r="C77" s="704" t="str">
        <f t="shared" si="5"/>
        <v>PedTPN.Nutriflex**</v>
      </c>
      <c r="D77" s="152" t="s">
        <v>5133</v>
      </c>
      <c r="E77" s="157" t="s">
        <v>5136</v>
      </c>
      <c r="F77" s="152" t="s">
        <v>5140</v>
      </c>
      <c r="G77" s="152" t="str">
        <f>PedBerTPN!D38</f>
        <v/>
      </c>
      <c r="H77" s="152" t="s">
        <v>42</v>
      </c>
      <c r="I77" s="152" t="str">
        <f>PedBerTPN!V5</f>
        <v/>
      </c>
      <c r="J77" s="152" t="s">
        <v>5141</v>
      </c>
      <c r="K77" t="str">
        <f>IF(I77="","",PedBerTPN!X5)</f>
        <v/>
      </c>
    </row>
    <row r="78" spans="1:21" x14ac:dyDescent="0.2">
      <c r="A78" s="179" t="str">
        <f t="shared" si="7"/>
        <v>PedTPN.Peditrace</v>
      </c>
      <c r="B78" s="704" t="str">
        <f t="shared" si="8"/>
        <v/>
      </c>
      <c r="C78" s="704" t="str">
        <f t="shared" si="5"/>
        <v>PedTPN.Peditrace**</v>
      </c>
      <c r="D78" s="152" t="s">
        <v>5133</v>
      </c>
      <c r="E78" s="157" t="s">
        <v>234</v>
      </c>
      <c r="F78" s="152" t="s">
        <v>5140</v>
      </c>
      <c r="G78" s="152" t="str">
        <f>PedBerTPN!E$38</f>
        <v/>
      </c>
      <c r="H78" s="152" t="s">
        <v>42</v>
      </c>
      <c r="I78" s="152" t="str">
        <f>PedBerTPN!V6</f>
        <v/>
      </c>
      <c r="J78" s="152" t="s">
        <v>5141</v>
      </c>
      <c r="K78" s="151" t="str">
        <f>IF(I78="","",PedBerTPN!X6)</f>
        <v/>
      </c>
    </row>
    <row r="79" spans="1:21" x14ac:dyDescent="0.2">
      <c r="A79" s="179" t="str">
        <f t="shared" si="7"/>
        <v>PedTPN.CaMg</v>
      </c>
      <c r="B79" s="704" t="str">
        <f t="shared" si="8"/>
        <v/>
      </c>
      <c r="C79" s="704" t="str">
        <f t="shared" si="5"/>
        <v>PedTPN.CaMg**</v>
      </c>
      <c r="D79" s="152" t="s">
        <v>5133</v>
      </c>
      <c r="E79" s="157" t="s">
        <v>5137</v>
      </c>
      <c r="F79" s="152" t="s">
        <v>5140</v>
      </c>
      <c r="G79" s="152" t="str">
        <f>PedBerTPN!F$38</f>
        <v/>
      </c>
      <c r="H79" s="152" t="s">
        <v>42</v>
      </c>
      <c r="I79" s="152" t="str">
        <f>PedBerTPN!V11</f>
        <v/>
      </c>
      <c r="J79" s="152" t="s">
        <v>5141</v>
      </c>
      <c r="K79" s="151" t="str">
        <f>IF(I79="","",PedBerTPN!X11)</f>
        <v/>
      </c>
    </row>
    <row r="80" spans="1:21" x14ac:dyDescent="0.2">
      <c r="A80" s="179" t="str">
        <f t="shared" si="7"/>
        <v>PedTPN.KNaP</v>
      </c>
      <c r="B80" s="704" t="str">
        <f t="shared" si="8"/>
        <v/>
      </c>
      <c r="C80" s="704" t="str">
        <f t="shared" si="5"/>
        <v>PedTPN.KNaP**</v>
      </c>
      <c r="D80" s="152" t="s">
        <v>5133</v>
      </c>
      <c r="E80" s="157" t="s">
        <v>5138</v>
      </c>
      <c r="F80" s="152" t="s">
        <v>5140</v>
      </c>
      <c r="G80" s="152" t="str">
        <f>PedBerTPN!G$38</f>
        <v/>
      </c>
      <c r="H80" s="152" t="s">
        <v>42</v>
      </c>
      <c r="I80" s="152" t="str">
        <f>PedBerTPN!V14</f>
        <v/>
      </c>
      <c r="J80" s="152" t="s">
        <v>5141</v>
      </c>
      <c r="K80" s="151" t="str">
        <f>IF(I80="","",PedBerTPN!X14)</f>
        <v/>
      </c>
    </row>
    <row r="81" spans="1:11" x14ac:dyDescent="0.2">
      <c r="A81" s="179" t="str">
        <f t="shared" si="7"/>
        <v>PedTPN.Lipid</v>
      </c>
      <c r="B81" s="704" t="str">
        <f t="shared" si="8"/>
        <v/>
      </c>
      <c r="C81" s="704" t="str">
        <f t="shared" si="5"/>
        <v>PedTPN.Lipid**</v>
      </c>
      <c r="D81" s="152" t="s">
        <v>5133</v>
      </c>
      <c r="E81" s="157" t="s">
        <v>5139</v>
      </c>
      <c r="F81" s="152" t="s">
        <v>5140</v>
      </c>
      <c r="G81" s="152" t="str">
        <f>PedBerTPN!H$38</f>
        <v/>
      </c>
      <c r="H81" s="152" t="s">
        <v>42</v>
      </c>
      <c r="I81" s="152" t="str">
        <f>PedBerTPN!V16</f>
        <v/>
      </c>
      <c r="J81" s="152" t="s">
        <v>5141</v>
      </c>
      <c r="K81" s="151" t="str">
        <f>IF(I81="","",PedBerTPN!X16)</f>
        <v/>
      </c>
    </row>
    <row r="82" spans="1:11" x14ac:dyDescent="0.2">
      <c r="A82" s="179" t="str">
        <f t="shared" si="7"/>
        <v>PedTPN.Opm</v>
      </c>
      <c r="B82" s="704" t="str">
        <f>IF(_Ped_TPN_Opm=0,"",_Ped_TPN_Opm)</f>
        <v/>
      </c>
      <c r="C82" s="704" t="str">
        <f t="shared" si="5"/>
        <v>PedTPN.Opm**</v>
      </c>
      <c r="D82" s="152" t="s">
        <v>5133</v>
      </c>
      <c r="E82" s="157" t="s">
        <v>344</v>
      </c>
      <c r="F82" s="152"/>
      <c r="G82" s="157"/>
      <c r="H82" s="152"/>
      <c r="I82" s="152"/>
      <c r="J82" s="152"/>
    </row>
    <row r="83" spans="1:11" x14ac:dyDescent="0.2">
      <c r="A83" s="179" t="str">
        <f t="shared" si="7"/>
        <v>PedAccess.01</v>
      </c>
      <c r="B83" s="704" t="str">
        <f>IF(PedBerIVenPM!I2=0,"",PedBerIVenPM!I2)</f>
        <v/>
      </c>
      <c r="C83" s="704" t="str">
        <f t="shared" si="5"/>
        <v>PedAccess.01**</v>
      </c>
      <c r="D83" s="152" t="s">
        <v>5120</v>
      </c>
      <c r="E83" s="157" t="s">
        <v>331</v>
      </c>
    </row>
    <row r="84" spans="1:11" x14ac:dyDescent="0.2">
      <c r="A84" s="179" t="str">
        <f t="shared" si="7"/>
        <v>PedAccess.02</v>
      </c>
      <c r="B84" s="704" t="str">
        <f>IF(PedBerIVenPM!I3=0,"",PedBerIVenPM!I3)</f>
        <v/>
      </c>
      <c r="C84" s="704" t="str">
        <f t="shared" si="5"/>
        <v>PedAccess.02**</v>
      </c>
      <c r="D84" s="152" t="s">
        <v>5120</v>
      </c>
      <c r="E84" s="157" t="s">
        <v>332</v>
      </c>
    </row>
    <row r="85" spans="1:11" x14ac:dyDescent="0.2">
      <c r="A85" s="179" t="str">
        <f t="shared" si="7"/>
        <v>PedAccess.03</v>
      </c>
      <c r="B85" s="704" t="str">
        <f>IF(PedBerIVenPM!I4=0,"",PedBerIVenPM!I4)</f>
        <v/>
      </c>
      <c r="C85" s="704" t="str">
        <f t="shared" si="5"/>
        <v>PedAccess.03**</v>
      </c>
      <c r="D85" s="152" t="s">
        <v>5120</v>
      </c>
      <c r="E85" s="157" t="s">
        <v>333</v>
      </c>
    </row>
    <row r="86" spans="1:11" x14ac:dyDescent="0.2">
      <c r="A86" s="179" t="str">
        <f t="shared" si="7"/>
        <v>PedAccess.04</v>
      </c>
      <c r="B86" s="704" t="str">
        <f>IF(PedBerIVenPM!I5=0,"",PedBerIVenPM!I5)</f>
        <v/>
      </c>
      <c r="C86" s="704" t="str">
        <f t="shared" si="5"/>
        <v>PedAccess.04**</v>
      </c>
      <c r="D86" s="152" t="s">
        <v>5120</v>
      </c>
      <c r="E86" s="157" t="s">
        <v>334</v>
      </c>
    </row>
    <row r="87" spans="1:11" x14ac:dyDescent="0.2">
      <c r="A87" s="179" t="str">
        <f t="shared" si="7"/>
        <v>PedAccess.05</v>
      </c>
      <c r="B87" s="704" t="str">
        <f>IF(PedBerIVenPM!I6=0,"",PedBerIVenPM!I6)</f>
        <v/>
      </c>
      <c r="C87" s="704" t="str">
        <f t="shared" si="5"/>
        <v>PedAccess.05**</v>
      </c>
      <c r="D87" s="152" t="s">
        <v>5120</v>
      </c>
      <c r="E87" s="157" t="s">
        <v>335</v>
      </c>
    </row>
    <row r="88" spans="1:11" x14ac:dyDescent="0.2">
      <c r="A88" s="179" t="str">
        <f t="shared" si="7"/>
        <v>PedAccess.06</v>
      </c>
      <c r="B88" s="704" t="str">
        <f>IF(PedBerIVenPM!I7=0,"",PedBerIVenPM!I7)</f>
        <v/>
      </c>
      <c r="C88" s="704" t="str">
        <f t="shared" si="5"/>
        <v>PedAccess.06**</v>
      </c>
      <c r="D88" s="152" t="s">
        <v>5120</v>
      </c>
      <c r="E88" s="157" t="s">
        <v>336</v>
      </c>
    </row>
    <row r="89" spans="1:11" s="151" customFormat="1" x14ac:dyDescent="0.2">
      <c r="A89" s="179" t="str">
        <f t="shared" si="7"/>
        <v>PedAccess.Opm</v>
      </c>
      <c r="B89" s="704" t="str">
        <f>IF(PedBerIVenPM!I9=0,"",PedBerIVenPM!I9)</f>
        <v/>
      </c>
      <c r="C89" s="704" t="str">
        <f t="shared" si="5"/>
        <v>PedAccess.Opm**</v>
      </c>
      <c r="D89" s="152" t="s">
        <v>5120</v>
      </c>
      <c r="E89" s="157" t="s">
        <v>344</v>
      </c>
    </row>
    <row r="90" spans="1:11" x14ac:dyDescent="0.2">
      <c r="A90" s="179" t="str">
        <f t="shared" si="7"/>
        <v>PedPM.01</v>
      </c>
      <c r="B90" s="704" t="str">
        <f>PedBerIVenPM!I21</f>
        <v/>
      </c>
      <c r="C90" s="704" t="str">
        <f t="shared" si="5"/>
        <v>PedPM.01**</v>
      </c>
      <c r="D90" s="152" t="s">
        <v>5121</v>
      </c>
      <c r="E90" s="157" t="s">
        <v>331</v>
      </c>
    </row>
    <row r="91" spans="1:11" x14ac:dyDescent="0.2">
      <c r="A91" s="179" t="str">
        <f t="shared" si="7"/>
        <v>PedLab.Opname</v>
      </c>
      <c r="B91" s="705" t="str">
        <f>IF(PedBerLab!B39="","",PedBerLab!A39&amp;"::"&amp;PedBerLab!B39)</f>
        <v/>
      </c>
      <c r="C91" s="704" t="str">
        <f t="shared" si="5"/>
        <v>PedLab.Opname**</v>
      </c>
      <c r="D91" s="152" t="s">
        <v>5122</v>
      </c>
      <c r="E91" s="152" t="s">
        <v>293</v>
      </c>
    </row>
    <row r="92" spans="1:11" x14ac:dyDescent="0.2">
      <c r="A92" s="179" t="str">
        <f t="shared" si="7"/>
        <v>PedLab.14:00uur</v>
      </c>
      <c r="B92" s="705" t="str">
        <f>IF(PedBerLab!B40="","",PedBerLab!A40&amp;"::"&amp;PedBerLab!B40)</f>
        <v/>
      </c>
      <c r="C92" s="704" t="str">
        <f t="shared" si="5"/>
        <v>PedLab.14:00uur**</v>
      </c>
      <c r="D92" s="152" t="s">
        <v>5122</v>
      </c>
      <c r="E92" s="152" t="s">
        <v>5130</v>
      </c>
    </row>
    <row r="93" spans="1:11" x14ac:dyDescent="0.2">
      <c r="A93" s="179" t="str">
        <f t="shared" si="7"/>
        <v>PedLab.19:00uur</v>
      </c>
      <c r="B93" s="705" t="str">
        <f>IF(PedBerLab!B41="","",PedBerLab!A41&amp;"::"&amp;PedBerLab!B41)</f>
        <v/>
      </c>
      <c r="C93" s="704" t="str">
        <f t="shared" si="5"/>
        <v>PedLab.19:00uur**</v>
      </c>
      <c r="D93" s="152" t="s">
        <v>5122</v>
      </c>
      <c r="E93" s="152" t="s">
        <v>5129</v>
      </c>
    </row>
    <row r="94" spans="1:11" x14ac:dyDescent="0.2">
      <c r="A94" s="179" t="str">
        <f t="shared" si="7"/>
        <v>PedLab.24:00uur</v>
      </c>
      <c r="B94" s="705" t="str">
        <f>IF(PedBerLab!B42="","",PedBerLab!A42&amp;"::"&amp;PedBerLab!B42)</f>
        <v/>
      </c>
      <c r="C94" s="704" t="str">
        <f t="shared" si="5"/>
        <v>PedLab.24:00uur**</v>
      </c>
      <c r="D94" s="152" t="s">
        <v>5122</v>
      </c>
      <c r="E94" s="152" t="s">
        <v>5131</v>
      </c>
    </row>
    <row r="95" spans="1:11" x14ac:dyDescent="0.2">
      <c r="A95" s="179" t="str">
        <f t="shared" si="7"/>
        <v>PedLab.06:00uur</v>
      </c>
      <c r="B95" s="705" t="str">
        <f>IF(PedBerLab!B43="","",PedBerLab!A43&amp;"::"&amp;PedBerLab!B43)</f>
        <v/>
      </c>
      <c r="C95" s="704" t="str">
        <f t="shared" si="5"/>
        <v>PedLab.06:00uur**</v>
      </c>
      <c r="D95" s="152" t="s">
        <v>5122</v>
      </c>
      <c r="E95" s="152" t="s">
        <v>5132</v>
      </c>
    </row>
    <row r="96" spans="1:11" x14ac:dyDescent="0.2">
      <c r="A96" s="179" t="str">
        <f t="shared" si="7"/>
        <v>PedLab.Opm</v>
      </c>
      <c r="B96" s="704" t="str">
        <f>IF(_Ped_Lab_Opm=0,"",_Ped_Lab_Opm)</f>
        <v/>
      </c>
      <c r="C96" s="704" t="str">
        <f t="shared" si="5"/>
        <v>PedLab.Opm**</v>
      </c>
      <c r="D96" s="152" t="s">
        <v>5122</v>
      </c>
      <c r="E96" s="152" t="s">
        <v>344</v>
      </c>
    </row>
    <row r="97" spans="1:11" x14ac:dyDescent="0.2">
      <c r="A97" s="179" t="str">
        <f t="shared" si="7"/>
        <v>PedAfspr.01</v>
      </c>
      <c r="B97" s="704" t="str">
        <f>IF(PedBerAfspr!B47=0,"",PedBerAfspr!A47&amp;": "&amp;PedBerAfspr!B47)</f>
        <v xml:space="preserve">Controles: </v>
      </c>
      <c r="C97" s="704" t="str">
        <f t="shared" si="5"/>
        <v xml:space="preserve">PedAfspr.01**Controles: </v>
      </c>
      <c r="D97" s="152" t="s">
        <v>5123</v>
      </c>
      <c r="E97" s="154" t="s">
        <v>331</v>
      </c>
    </row>
    <row r="98" spans="1:11" x14ac:dyDescent="0.2">
      <c r="A98" s="179" t="str">
        <f t="shared" si="7"/>
        <v>PedAfspr.02</v>
      </c>
      <c r="B98" s="704" t="str">
        <f>IF(PedBerAfspr!B48=0,"",PedBerAfspr!A48&amp;": "&amp;PedBerAfspr!B48)</f>
        <v xml:space="preserve">Onderzoek: </v>
      </c>
      <c r="C98" s="704" t="str">
        <f t="shared" si="5"/>
        <v xml:space="preserve">PedAfspr.02**Onderzoek: </v>
      </c>
      <c r="D98" s="152" t="s">
        <v>5123</v>
      </c>
      <c r="E98" s="154" t="s">
        <v>332</v>
      </c>
    </row>
    <row r="99" spans="1:11" x14ac:dyDescent="0.2">
      <c r="A99" s="179" t="str">
        <f t="shared" si="7"/>
        <v>PedAfspr.03</v>
      </c>
      <c r="B99" s="704" t="str">
        <f>IF(PedBerAfspr!B49=0,"",PedBerAfspr!A49&amp;": "&amp;PedBerAfspr!B49)</f>
        <v xml:space="preserve">Instellingen: </v>
      </c>
      <c r="C99" s="704" t="str">
        <f t="shared" si="5"/>
        <v xml:space="preserve">PedAfspr.03**Instellingen: </v>
      </c>
      <c r="D99" s="152" t="s">
        <v>5123</v>
      </c>
      <c r="E99" s="154" t="s">
        <v>333</v>
      </c>
    </row>
    <row r="100" spans="1:11" x14ac:dyDescent="0.2">
      <c r="A100" s="179" t="str">
        <f t="shared" si="7"/>
        <v>PedAfspr.04</v>
      </c>
      <c r="B100" s="704" t="str">
        <f>IF(PedBerAfspr!B50=0,"",PedBerAfspr!A50&amp;": "&amp;PedBerAfspr!B50)</f>
        <v xml:space="preserve">Overig:  - </v>
      </c>
      <c r="C100" s="704" t="str">
        <f t="shared" si="5"/>
        <v xml:space="preserve">PedAfspr.04**Overig:  - </v>
      </c>
      <c r="D100" s="152" t="s">
        <v>5123</v>
      </c>
      <c r="E100" s="154" t="s">
        <v>334</v>
      </c>
    </row>
    <row r="101" spans="1:11" x14ac:dyDescent="0.2">
      <c r="A101" s="179" t="str">
        <f t="shared" si="7"/>
        <v>PedIntake.Energie</v>
      </c>
      <c r="B101" s="704" t="str">
        <f>PedBerTot!M3</f>
        <v>0 kcal/kg</v>
      </c>
      <c r="C101" s="704" t="str">
        <f t="shared" si="5"/>
        <v>PedIntake.Energie**0 kcal/kg</v>
      </c>
      <c r="D101" s="152" t="s">
        <v>5124</v>
      </c>
      <c r="E101" s="289" t="s">
        <v>409</v>
      </c>
    </row>
    <row r="102" spans="1:11" x14ac:dyDescent="0.2">
      <c r="A102" s="179" t="str">
        <f t="shared" si="7"/>
        <v>PedIntake.Vocht</v>
      </c>
      <c r="B102" s="704" t="str">
        <f>PedBerTot!M4</f>
        <v>0 ml/kg</v>
      </c>
      <c r="C102" s="704" t="str">
        <f t="shared" si="5"/>
        <v>PedIntake.Vocht**0 ml/kg</v>
      </c>
      <c r="D102" s="152" t="s">
        <v>5124</v>
      </c>
      <c r="E102" s="289" t="s">
        <v>5125</v>
      </c>
      <c r="K102" s="152"/>
    </row>
    <row r="103" spans="1:11" x14ac:dyDescent="0.2">
      <c r="A103" s="179" t="str">
        <f t="shared" si="7"/>
        <v>PedIntake.Glucose</v>
      </c>
      <c r="B103" s="704" t="str">
        <f>PedBerTot!M5</f>
        <v>0 gram/kg</v>
      </c>
      <c r="C103" s="704" t="str">
        <f t="shared" si="5"/>
        <v>PedIntake.Glucose**0 gram/kg</v>
      </c>
      <c r="D103" s="152" t="s">
        <v>5124</v>
      </c>
      <c r="E103" s="289" t="s">
        <v>415</v>
      </c>
      <c r="F103" s="151"/>
      <c r="G103" s="151"/>
      <c r="H103" s="151"/>
      <c r="I103" s="151"/>
      <c r="K103" s="152"/>
    </row>
    <row r="104" spans="1:11" x14ac:dyDescent="0.2">
      <c r="A104" s="179" t="str">
        <f t="shared" si="7"/>
        <v>PedIntake.Eiwit</v>
      </c>
      <c r="B104" s="704" t="str">
        <f>PedBerTot!M6</f>
        <v>0 gram/kg</v>
      </c>
      <c r="C104" s="704" t="str">
        <f t="shared" si="5"/>
        <v>PedIntake.Eiwit**0 gram/kg</v>
      </c>
      <c r="D104" s="152" t="s">
        <v>5124</v>
      </c>
      <c r="E104" s="289" t="s">
        <v>164</v>
      </c>
      <c r="F104" s="151"/>
      <c r="G104" s="151"/>
      <c r="H104" s="151"/>
      <c r="I104" s="151"/>
      <c r="K104" s="152"/>
    </row>
    <row r="105" spans="1:11" x14ac:dyDescent="0.2">
      <c r="A105" s="179" t="str">
        <f t="shared" si="7"/>
        <v>PedIntake.Lipid</v>
      </c>
      <c r="B105" s="704" t="str">
        <f>PedBerTot!M7</f>
        <v>0 gram/kg</v>
      </c>
      <c r="C105" s="704" t="str">
        <f t="shared" si="5"/>
        <v>PedIntake.Lipid**0 gram/kg</v>
      </c>
      <c r="D105" s="152" t="s">
        <v>5124</v>
      </c>
      <c r="E105" s="289" t="s">
        <v>5139</v>
      </c>
      <c r="F105" s="151"/>
      <c r="G105" s="151"/>
      <c r="H105" s="151"/>
      <c r="I105" s="151"/>
      <c r="K105" s="152"/>
    </row>
    <row r="106" spans="1:11" x14ac:dyDescent="0.2">
      <c r="A106" s="179" t="str">
        <f t="shared" si="7"/>
        <v>PedIntake.Natrium</v>
      </c>
      <c r="B106" s="704" t="str">
        <f>PedBerTot!M8</f>
        <v>0 mmol/kg</v>
      </c>
      <c r="C106" s="704" t="str">
        <f t="shared" si="5"/>
        <v>PedIntake.Natrium**0 mmol/kg</v>
      </c>
      <c r="D106" s="152" t="s">
        <v>5124</v>
      </c>
      <c r="E106" s="289" t="s">
        <v>122</v>
      </c>
      <c r="F106" s="151"/>
      <c r="G106" s="151"/>
      <c r="H106" s="151"/>
      <c r="I106" s="151"/>
      <c r="K106" s="152"/>
    </row>
    <row r="107" spans="1:11" x14ac:dyDescent="0.2">
      <c r="A107" s="179" t="str">
        <f t="shared" si="7"/>
        <v>PedIntake.Kalium</v>
      </c>
      <c r="B107" s="704" t="str">
        <f>PedBerTot!M9</f>
        <v>0 mmol/kg</v>
      </c>
      <c r="C107" s="704" t="str">
        <f t="shared" si="5"/>
        <v>PedIntake.Kalium**0 mmol/kg</v>
      </c>
      <c r="D107" s="152" t="s">
        <v>5124</v>
      </c>
      <c r="E107" s="152" t="s">
        <v>209</v>
      </c>
      <c r="F107" s="151"/>
      <c r="G107" s="151"/>
      <c r="H107" s="151"/>
      <c r="I107" s="151"/>
    </row>
    <row r="108" spans="1:11" x14ac:dyDescent="0.2">
      <c r="A108" s="179" t="str">
        <f t="shared" si="7"/>
        <v>PedIntake.Chloor</v>
      </c>
      <c r="B108" s="704" t="str">
        <f>PedBerTot!M10</f>
        <v>0 mmol/kg</v>
      </c>
      <c r="C108" s="704" t="str">
        <f t="shared" si="5"/>
        <v>PedIntake.Chloor**0 mmol/kg</v>
      </c>
      <c r="D108" s="152" t="s">
        <v>5124</v>
      </c>
      <c r="E108" s="152" t="s">
        <v>416</v>
      </c>
      <c r="F108" s="151"/>
      <c r="G108" s="151"/>
      <c r="H108" s="151"/>
      <c r="I108" s="151"/>
    </row>
    <row r="109" spans="1:11" x14ac:dyDescent="0.2">
      <c r="A109" s="179" t="str">
        <f t="shared" si="7"/>
        <v>PedIntake.Calcium</v>
      </c>
      <c r="B109" s="704" t="str">
        <f>PedBerTot!M11</f>
        <v>0 mmol/kg</v>
      </c>
      <c r="C109" s="704" t="str">
        <f t="shared" si="5"/>
        <v>PedIntake.Calcium**0 mmol/kg</v>
      </c>
      <c r="D109" s="152" t="s">
        <v>5124</v>
      </c>
      <c r="E109" s="152" t="s">
        <v>166</v>
      </c>
    </row>
    <row r="110" spans="1:11" x14ac:dyDescent="0.2">
      <c r="A110" s="179" t="str">
        <f t="shared" si="7"/>
        <v>PedIntake.Fosfaat</v>
      </c>
      <c r="B110" s="704" t="str">
        <f>PedBerTot!M12</f>
        <v>0 mmol/kg</v>
      </c>
      <c r="C110" s="704" t="str">
        <f t="shared" si="5"/>
        <v>PedIntake.Fosfaat**0 mmol/kg</v>
      </c>
      <c r="D110" s="152" t="s">
        <v>5124</v>
      </c>
      <c r="E110" s="152" t="s">
        <v>167</v>
      </c>
    </row>
    <row r="111" spans="1:11" x14ac:dyDescent="0.2">
      <c r="A111" s="179" t="str">
        <f t="shared" si="7"/>
        <v>PedIntake.Magnesium</v>
      </c>
      <c r="B111" s="704" t="str">
        <f>PedBerTot!M13</f>
        <v>0 mmol/kg</v>
      </c>
      <c r="C111" s="704" t="str">
        <f t="shared" si="5"/>
        <v>PedIntake.Magnesium**0 mmol/kg</v>
      </c>
      <c r="D111" s="152" t="s">
        <v>5124</v>
      </c>
      <c r="E111" s="152" t="s">
        <v>240</v>
      </c>
    </row>
    <row r="112" spans="1:11" x14ac:dyDescent="0.2">
      <c r="A112" s="179" t="str">
        <f t="shared" si="7"/>
        <v>PedIntake.Ijzer</v>
      </c>
      <c r="B112" s="704" t="str">
        <f>PedBerTot!M14</f>
        <v>0 mmol/kg</v>
      </c>
      <c r="C112" s="704" t="str">
        <f t="shared" si="5"/>
        <v>PedIntake.Ijzer**0 mmol/kg</v>
      </c>
      <c r="D112" s="152" t="s">
        <v>5124</v>
      </c>
      <c r="E112" s="152" t="s">
        <v>5128</v>
      </c>
      <c r="F112" s="151"/>
      <c r="G112" s="151"/>
      <c r="H112" s="151"/>
      <c r="I112" s="151"/>
    </row>
    <row r="113" spans="1:25" s="151" customFormat="1" x14ac:dyDescent="0.2">
      <c r="A113" s="179" t="str">
        <f t="shared" si="7"/>
        <v>PedIntake.Vitamine D</v>
      </c>
      <c r="B113" s="704" t="str">
        <f>PedBerTot!M15</f>
        <v>0 IE</v>
      </c>
      <c r="C113" s="704" t="str">
        <f t="shared" si="5"/>
        <v>PedIntake.Vitamine D**0 IE</v>
      </c>
      <c r="D113" s="152" t="s">
        <v>5124</v>
      </c>
      <c r="E113" s="152" t="s">
        <v>5127</v>
      </c>
    </row>
    <row r="114" spans="1:25" s="151" customFormat="1" x14ac:dyDescent="0.2">
      <c r="A114" s="179" t="str">
        <f t="shared" si="7"/>
        <v>NeoEnt.Extra</v>
      </c>
      <c r="B114" s="704" t="str">
        <f>IF(Var_Neo_InfB_Ent_Extra=2,"Nee",IF(Var_Neo_InfB_Ent_Extra=1,"Ja",""))</f>
        <v>Nee</v>
      </c>
      <c r="C114" s="704" t="str">
        <f t="shared" si="5"/>
        <v>NeoEnt.Extra**Nee</v>
      </c>
      <c r="D114" s="152" t="s">
        <v>5204</v>
      </c>
      <c r="E114" s="152" t="s">
        <v>5146</v>
      </c>
    </row>
    <row r="115" spans="1:25" s="151" customFormat="1" x14ac:dyDescent="0.2">
      <c r="A115" s="179" t="str">
        <f t="shared" si="7"/>
        <v>NeoEnt.Voed.01</v>
      </c>
      <c r="B115" s="704" t="str">
        <f>ConcatenateKeyValue(F115:K115,"||","^^")</f>
        <v/>
      </c>
      <c r="C115" s="704" t="str">
        <f t="shared" si="5"/>
        <v>NeoEnt.Voed.01**</v>
      </c>
      <c r="D115" s="152" t="s">
        <v>5204</v>
      </c>
      <c r="E115" s="157" t="s">
        <v>5193</v>
      </c>
      <c r="F115" s="152" t="s">
        <v>351</v>
      </c>
      <c r="G115" s="152" t="str">
        <f>NeoBerInfB!P9</f>
        <v/>
      </c>
      <c r="H115" s="152" t="s">
        <v>154</v>
      </c>
      <c r="I115" s="152" t="str">
        <f>IF(NeoBerInfB!F9&gt;0,NeoBerInfB!F9&amp;" dd","")</f>
        <v/>
      </c>
      <c r="J115" s="152" t="s">
        <v>4083</v>
      </c>
      <c r="K115" s="152" t="str">
        <f>NeoBerInfB!O9</f>
        <v/>
      </c>
    </row>
    <row r="116" spans="1:25" s="151" customFormat="1" x14ac:dyDescent="0.2">
      <c r="A116" s="179" t="str">
        <f t="shared" si="7"/>
        <v>NeoEnt.Voed.02</v>
      </c>
      <c r="B116" s="704" t="str">
        <f t="shared" ref="B116:B126" si="9">ConcatenateKeyValue(F116:K116,"||","^^")</f>
        <v/>
      </c>
      <c r="C116" s="704" t="str">
        <f t="shared" si="5"/>
        <v>NeoEnt.Voed.02**</v>
      </c>
      <c r="D116" s="152" t="s">
        <v>5204</v>
      </c>
      <c r="E116" s="157" t="s">
        <v>5194</v>
      </c>
      <c r="F116" s="152" t="s">
        <v>351</v>
      </c>
      <c r="G116" s="152" t="str">
        <f>NeoBerInfB!P9</f>
        <v/>
      </c>
      <c r="H116" s="152" t="s">
        <v>154</v>
      </c>
      <c r="I116" s="152" t="str">
        <f>IF(NeoBerInfB!F10&gt;0,NeoBerInfB!F10&amp;" dd","")</f>
        <v/>
      </c>
      <c r="J116" s="152" t="s">
        <v>4083</v>
      </c>
      <c r="K116" s="152" t="str">
        <f>NeoBerInfB!O10</f>
        <v/>
      </c>
    </row>
    <row r="117" spans="1:25" s="151" customFormat="1" x14ac:dyDescent="0.2">
      <c r="A117" s="179" t="str">
        <f t="shared" si="7"/>
        <v>NeoEnt.ToevMM.01</v>
      </c>
      <c r="B117" s="704" t="str">
        <f t="shared" si="9"/>
        <v/>
      </c>
      <c r="C117" s="704" t="str">
        <f t="shared" si="5"/>
        <v>NeoEnt.ToevMM.01**</v>
      </c>
      <c r="D117" s="152" t="s">
        <v>5204</v>
      </c>
      <c r="E117" s="157" t="s">
        <v>5195</v>
      </c>
      <c r="F117" s="152" t="s">
        <v>351</v>
      </c>
      <c r="G117" s="152" t="str">
        <f>IF(I117&lt;&gt;"","BMF","")</f>
        <v/>
      </c>
      <c r="H117" s="152" t="s">
        <v>5150</v>
      </c>
      <c r="I117" s="152" t="str">
        <f>IF(NeoBerInfB!M11&gt;0,NeoBerInfB!M11,"")</f>
        <v/>
      </c>
      <c r="J117" s="152" t="s">
        <v>4083</v>
      </c>
      <c r="K117" s="152" t="str">
        <f>IF(G117&lt;&gt;"", NeoBerInfB!O11,"")</f>
        <v/>
      </c>
    </row>
    <row r="118" spans="1:25" s="151" customFormat="1" x14ac:dyDescent="0.2">
      <c r="A118" s="179" t="str">
        <f t="shared" si="7"/>
        <v>NeoEnt.ToevMM.02</v>
      </c>
      <c r="B118" s="704" t="str">
        <f t="shared" si="9"/>
        <v/>
      </c>
      <c r="C118" s="704" t="str">
        <f t="shared" si="5"/>
        <v>NeoEnt.ToevMM.02**</v>
      </c>
      <c r="D118" s="152" t="s">
        <v>5204</v>
      </c>
      <c r="E118" s="157" t="s">
        <v>5196</v>
      </c>
      <c r="F118" s="152" t="s">
        <v>351</v>
      </c>
      <c r="G118" s="152" t="str">
        <f>NeoBerInfB!P12</f>
        <v/>
      </c>
      <c r="H118" s="152" t="s">
        <v>5150</v>
      </c>
      <c r="I118" s="152" t="str">
        <f>IF(NeoBerInfB!M12&gt;0,NeoBerInfB!M12,"")</f>
        <v/>
      </c>
      <c r="J118" s="152" t="s">
        <v>4083</v>
      </c>
      <c r="K118" s="152" t="str">
        <f>NeoBerInfB!O12</f>
        <v/>
      </c>
    </row>
    <row r="119" spans="1:25" s="151" customFormat="1" x14ac:dyDescent="0.2">
      <c r="A119" s="179" t="str">
        <f t="shared" si="7"/>
        <v>NeoEnt.ToevMM.03</v>
      </c>
      <c r="B119" s="704" t="str">
        <f t="shared" si="9"/>
        <v/>
      </c>
      <c r="C119" s="704" t="str">
        <f t="shared" si="5"/>
        <v>NeoEnt.ToevMM.03**</v>
      </c>
      <c r="D119" s="152" t="s">
        <v>5204</v>
      </c>
      <c r="E119" s="157" t="s">
        <v>5197</v>
      </c>
      <c r="F119" s="152" t="s">
        <v>351</v>
      </c>
      <c r="G119" s="152" t="str">
        <f>NeoBerInfB!P13</f>
        <v/>
      </c>
      <c r="H119" s="152" t="s">
        <v>5150</v>
      </c>
      <c r="I119" s="152" t="str">
        <f>IF(NeoBerInfB!M13&gt;0,NeoBerInfB!M13,"")</f>
        <v/>
      </c>
      <c r="J119" s="152" t="s">
        <v>4083</v>
      </c>
      <c r="K119" s="152" t="str">
        <f>NeoBerInfB!O13</f>
        <v/>
      </c>
    </row>
    <row r="120" spans="1:25" x14ac:dyDescent="0.2">
      <c r="A120" s="179" t="str">
        <f t="shared" si="7"/>
        <v>NeoEnt.ToevMM.04</v>
      </c>
      <c r="B120" s="704" t="str">
        <f t="shared" si="9"/>
        <v/>
      </c>
      <c r="C120" s="704" t="str">
        <f t="shared" si="5"/>
        <v>NeoEnt.ToevMM.04**</v>
      </c>
      <c r="D120" s="152" t="s">
        <v>5204</v>
      </c>
      <c r="E120" s="157" t="s">
        <v>5198</v>
      </c>
      <c r="F120" s="152" t="s">
        <v>351</v>
      </c>
      <c r="G120" s="152" t="str">
        <f>NeoBerInfB!P14</f>
        <v/>
      </c>
      <c r="H120" s="152" t="s">
        <v>5150</v>
      </c>
      <c r="I120" s="152" t="str">
        <f>IF(NeoBerInfB!M14&gt;0,NeoBerInfB!M14,"")</f>
        <v/>
      </c>
      <c r="J120" s="152" t="s">
        <v>4083</v>
      </c>
      <c r="K120" s="152" t="str">
        <f>NeoBerInfB!O14</f>
        <v/>
      </c>
      <c r="L120" s="151"/>
      <c r="M120" s="151"/>
    </row>
    <row r="121" spans="1:25" x14ac:dyDescent="0.2">
      <c r="A121" s="179" t="str">
        <f t="shared" si="7"/>
        <v>NeoEnt.ToevMM.05</v>
      </c>
      <c r="B121" s="704" t="str">
        <f t="shared" si="9"/>
        <v/>
      </c>
      <c r="C121" s="704" t="str">
        <f t="shared" si="5"/>
        <v>NeoEnt.ToevMM.05**</v>
      </c>
      <c r="D121" s="152" t="s">
        <v>5204</v>
      </c>
      <c r="E121" s="157" t="s">
        <v>5199</v>
      </c>
      <c r="F121" s="152" t="s">
        <v>351</v>
      </c>
      <c r="G121" s="152" t="str">
        <f>NeoBerInfB!P15</f>
        <v/>
      </c>
      <c r="H121" s="152" t="s">
        <v>5150</v>
      </c>
      <c r="I121" s="152" t="str">
        <f>IF(NeoBerInfB!M15&gt;0,NeoBerInfB!M15,"")</f>
        <v/>
      </c>
      <c r="J121" s="152" t="s">
        <v>4083</v>
      </c>
      <c r="K121" s="152" t="str">
        <f>NeoBerInfB!O15</f>
        <v/>
      </c>
      <c r="L121" s="151"/>
    </row>
    <row r="122" spans="1:25" x14ac:dyDescent="0.2">
      <c r="A122" s="179" t="str">
        <f t="shared" si="7"/>
        <v>NeoEnt.ToevKV.01</v>
      </c>
      <c r="B122" s="704" t="str">
        <f t="shared" si="9"/>
        <v/>
      </c>
      <c r="C122" s="704" t="str">
        <f t="shared" si="5"/>
        <v>NeoEnt.ToevKV.01**</v>
      </c>
      <c r="D122" s="152" t="s">
        <v>5204</v>
      </c>
      <c r="E122" s="157" t="s">
        <v>5200</v>
      </c>
      <c r="F122" s="152" t="s">
        <v>351</v>
      </c>
      <c r="G122" s="152" t="str">
        <f>NeoBerInfB!P16</f>
        <v/>
      </c>
      <c r="H122" s="152" t="s">
        <v>5150</v>
      </c>
      <c r="I122" s="152" t="str">
        <f>IF(NeoBerInfB!M16&gt;0,NeoBerInfB!M16,"")</f>
        <v/>
      </c>
      <c r="J122" s="152" t="s">
        <v>4083</v>
      </c>
      <c r="K122" s="152" t="str">
        <f>NeoBerInfB!O16</f>
        <v/>
      </c>
      <c r="L122" s="151"/>
    </row>
    <row r="123" spans="1:25" s="151" customFormat="1" x14ac:dyDescent="0.2">
      <c r="A123" s="179" t="str">
        <f t="shared" si="7"/>
        <v>NeoEnt.ToevKV.02</v>
      </c>
      <c r="B123" s="704" t="str">
        <f t="shared" si="9"/>
        <v/>
      </c>
      <c r="C123" s="704" t="str">
        <f t="shared" si="5"/>
        <v>NeoEnt.ToevKV.02**</v>
      </c>
      <c r="D123" s="152" t="s">
        <v>5204</v>
      </c>
      <c r="E123" s="157" t="s">
        <v>5201</v>
      </c>
      <c r="F123" s="152" t="s">
        <v>351</v>
      </c>
      <c r="G123" s="152" t="str">
        <f>NeoBerInfB!P17</f>
        <v/>
      </c>
      <c r="H123" s="152" t="s">
        <v>5150</v>
      </c>
      <c r="I123" s="152" t="str">
        <f>IF(NeoBerInfB!M17&gt;0,NeoBerInfB!M17,"")</f>
        <v/>
      </c>
      <c r="J123" s="152" t="s">
        <v>4083</v>
      </c>
      <c r="K123" s="152" t="str">
        <f>NeoBerInfB!O17</f>
        <v/>
      </c>
      <c r="M123"/>
    </row>
    <row r="124" spans="1:25" s="151" customFormat="1" x14ac:dyDescent="0.2">
      <c r="A124" s="179" t="str">
        <f t="shared" si="7"/>
        <v>NeoEnt.ToevKV.03</v>
      </c>
      <c r="B124" s="704" t="str">
        <f t="shared" si="9"/>
        <v/>
      </c>
      <c r="C124" s="704" t="str">
        <f t="shared" si="5"/>
        <v>NeoEnt.ToevKV.03**</v>
      </c>
      <c r="D124" s="152" t="s">
        <v>5204</v>
      </c>
      <c r="E124" s="157" t="s">
        <v>5202</v>
      </c>
      <c r="F124" s="152" t="s">
        <v>351</v>
      </c>
      <c r="G124" s="152" t="str">
        <f>NeoBerInfB!P18</f>
        <v/>
      </c>
      <c r="H124" s="152" t="s">
        <v>5150</v>
      </c>
      <c r="I124" s="152" t="str">
        <f>IF(NeoBerInfB!M18&gt;0,NeoBerInfB!M18,"")</f>
        <v/>
      </c>
      <c r="J124" s="152" t="s">
        <v>4083</v>
      </c>
      <c r="K124" s="152" t="str">
        <f>NeoBerInfB!O18</f>
        <v/>
      </c>
    </row>
    <row r="125" spans="1:25" x14ac:dyDescent="0.2">
      <c r="A125" s="179" t="str">
        <f t="shared" si="7"/>
        <v>NeoEnt.ToevKV.04</v>
      </c>
      <c r="B125" s="704" t="str">
        <f t="shared" si="9"/>
        <v/>
      </c>
      <c r="C125" s="704" t="str">
        <f t="shared" si="5"/>
        <v>NeoEnt.ToevKV.04**</v>
      </c>
      <c r="D125" s="152" t="s">
        <v>5204</v>
      </c>
      <c r="E125" s="157" t="s">
        <v>5203</v>
      </c>
      <c r="F125" s="152" t="s">
        <v>351</v>
      </c>
      <c r="G125" s="152" t="str">
        <f>NeoBerInfB!P19</f>
        <v/>
      </c>
      <c r="H125" s="152" t="s">
        <v>5150</v>
      </c>
      <c r="I125" s="152" t="str">
        <f>IF(NeoBerInfB!M19&gt;0,NeoBerInfB!M19,"")</f>
        <v/>
      </c>
      <c r="J125" s="152" t="s">
        <v>4083</v>
      </c>
      <c r="K125" s="152" t="str">
        <f>NeoBerInfB!O19</f>
        <v/>
      </c>
      <c r="L125" s="151"/>
      <c r="M125" s="151"/>
    </row>
    <row r="126" spans="1:25" x14ac:dyDescent="0.2">
      <c r="A126" s="179" t="str">
        <f t="shared" si="7"/>
        <v>NeoArtLijn.01</v>
      </c>
      <c r="B126" s="704" t="str">
        <f t="shared" si="9"/>
        <v/>
      </c>
      <c r="C126" s="704" t="str">
        <f t="shared" si="5"/>
        <v>NeoArtLijn.01**</v>
      </c>
      <c r="D126" s="152" t="s">
        <v>5147</v>
      </c>
      <c r="E126" s="157" t="s">
        <v>331</v>
      </c>
      <c r="F126" s="152" t="s">
        <v>351</v>
      </c>
      <c r="G126" s="152" t="str">
        <f>IF(I126="","",NeoBerInfB!A22)</f>
        <v/>
      </c>
      <c r="H126" s="152" t="s">
        <v>42</v>
      </c>
      <c r="I126" s="152" t="str">
        <f>IF(Var_Neo_InfB_Cont_ArtLijn=0,"", Var_Neo_InfB_Cont_ArtLijn/10&amp;" ml/uur")</f>
        <v/>
      </c>
      <c r="J126" s="152" t="s">
        <v>5146</v>
      </c>
      <c r="K126" t="str">
        <f>IF(Var_Neo_InfB_Cont_VochtExtra_01,"Extra", "")</f>
        <v/>
      </c>
    </row>
    <row r="127" spans="1:25" s="151" customFormat="1" x14ac:dyDescent="0.2">
      <c r="A127" s="179" t="str">
        <f t="shared" si="7"/>
        <v>NeoMedCont.01</v>
      </c>
      <c r="B127" s="704" t="str">
        <f>ConcatenateKeyValue(F127:Y127,"||","^^")</f>
        <v/>
      </c>
      <c r="C127" s="704" t="str">
        <f t="shared" si="5"/>
        <v>NeoMedCont.01**</v>
      </c>
      <c r="D127" s="152" t="s">
        <v>5148</v>
      </c>
      <c r="E127" s="157" t="s">
        <v>331</v>
      </c>
      <c r="F127" s="151" t="s">
        <v>254</v>
      </c>
      <c r="G127" s="151" t="str">
        <f>IF(NeoBerInfB!J23=0,"",NeoBerInfB!J23)</f>
        <v/>
      </c>
      <c r="H127" s="151" t="s">
        <v>153</v>
      </c>
      <c r="I127" s="151" t="str">
        <f>IF(NeoBerInfB!J23="","",NeoBerInfB!M23)</f>
        <v/>
      </c>
      <c r="J127" s="151" t="s">
        <v>235</v>
      </c>
      <c r="K127" s="151" t="str">
        <f>IF(G127="","",NeoBerInfB!O23)</f>
        <v/>
      </c>
      <c r="L127" s="151" t="s">
        <v>110</v>
      </c>
      <c r="M127" s="151" t="str">
        <f>IF(G127="","",NeoBerInfB!P23)</f>
        <v/>
      </c>
      <c r="N127" s="151" t="s">
        <v>42</v>
      </c>
      <c r="O127" s="151" t="str">
        <f>IF(G127="","",NeoBerInfB!Q23)</f>
        <v/>
      </c>
      <c r="P127" s="151" t="s">
        <v>255</v>
      </c>
      <c r="Q127" s="151" t="str">
        <f>IF(G127="","",NeoBerInfB!G23&amp;" "&amp;NeoBerInfB!R23)</f>
        <v/>
      </c>
      <c r="R127" s="151" t="s">
        <v>85</v>
      </c>
      <c r="S127" s="151" t="str">
        <f>IF(G127="","",NeoBerInfB!AL23&amp;" ml")</f>
        <v/>
      </c>
      <c r="T127" s="152" t="s">
        <v>418</v>
      </c>
      <c r="U127" s="152" t="str">
        <f>IF(G127="","",NeoBerInfB!S23)</f>
        <v/>
      </c>
      <c r="V127" s="152" t="s">
        <v>5146</v>
      </c>
      <c r="W127" s="152" t="str">
        <f>IF(AND(G127&lt;&gt;"",NeoBerInfB!I23),"Extra","")</f>
        <v/>
      </c>
      <c r="X127" s="152" t="s">
        <v>5145</v>
      </c>
      <c r="Y127" s="151" t="str">
        <f>IF(G127="","",NeoBerInfB!Z23)</f>
        <v/>
      </c>
    </row>
    <row r="128" spans="1:25" x14ac:dyDescent="0.2">
      <c r="A128" s="179" t="str">
        <f t="shared" si="7"/>
        <v>NeoMedCont.02</v>
      </c>
      <c r="B128" s="704" t="str">
        <f t="shared" ref="B128:B136" si="10">ConcatenateKeyValue(F128:Y128,"||","^^")</f>
        <v/>
      </c>
      <c r="C128" s="704" t="str">
        <f t="shared" si="5"/>
        <v>NeoMedCont.02**</v>
      </c>
      <c r="D128" s="152" t="s">
        <v>5148</v>
      </c>
      <c r="E128" s="157" t="s">
        <v>332</v>
      </c>
      <c r="F128" s="151" t="s">
        <v>254</v>
      </c>
      <c r="G128" s="151" t="str">
        <f>IF(NeoBerInfB!J24=0,"",NeoBerInfB!J24)</f>
        <v/>
      </c>
      <c r="H128" s="151" t="s">
        <v>153</v>
      </c>
      <c r="I128" s="151" t="str">
        <f>IF(NeoBerInfB!J24="","",NeoBerInfB!M24)</f>
        <v/>
      </c>
      <c r="J128" s="151" t="s">
        <v>235</v>
      </c>
      <c r="K128" s="151" t="str">
        <f>IF(G128="","",NeoBerInfB!O24)</f>
        <v/>
      </c>
      <c r="L128" s="151" t="s">
        <v>110</v>
      </c>
      <c r="M128" s="151" t="str">
        <f>IF(G128="","",NeoBerInfB!P24)</f>
        <v/>
      </c>
      <c r="N128" s="151" t="s">
        <v>42</v>
      </c>
      <c r="O128" s="151" t="str">
        <f>IF(G128="","",NeoBerInfB!Q24)</f>
        <v/>
      </c>
      <c r="P128" s="151" t="s">
        <v>255</v>
      </c>
      <c r="Q128" s="151" t="str">
        <f>IF(G128="","",NeoBerInfB!G24&amp;" "&amp;NeoBerInfB!R24)</f>
        <v/>
      </c>
      <c r="R128" s="151" t="s">
        <v>85</v>
      </c>
      <c r="S128" s="151" t="str">
        <f>IF(G128="","",NeoBerInfB!AL24&amp;" ml")</f>
        <v/>
      </c>
      <c r="T128" s="152" t="s">
        <v>418</v>
      </c>
      <c r="U128" s="152" t="str">
        <f>IF(G128="","",NeoBerInfB!S24)</f>
        <v/>
      </c>
      <c r="V128" s="152" t="s">
        <v>5146</v>
      </c>
      <c r="W128" s="152" t="str">
        <f>IF(AND(G128&lt;&gt;"",NeoBerInfB!I24),"Extra","")</f>
        <v/>
      </c>
      <c r="X128" s="152" t="s">
        <v>5145</v>
      </c>
      <c r="Y128" s="151" t="str">
        <f>IF(G128="","",NeoBerInfB!Z24)</f>
        <v/>
      </c>
    </row>
    <row r="129" spans="1:25" x14ac:dyDescent="0.2">
      <c r="A129" s="179" t="str">
        <f t="shared" si="7"/>
        <v>NeoMedCont.03</v>
      </c>
      <c r="B129" s="704" t="str">
        <f t="shared" si="10"/>
        <v/>
      </c>
      <c r="C129" s="704" t="str">
        <f t="shared" si="5"/>
        <v>NeoMedCont.03**</v>
      </c>
      <c r="D129" s="152" t="s">
        <v>5148</v>
      </c>
      <c r="E129" s="157" t="s">
        <v>333</v>
      </c>
      <c r="F129" s="151" t="s">
        <v>254</v>
      </c>
      <c r="G129" s="151" t="str">
        <f>IF(NeoBerInfB!J25=0,"",NeoBerInfB!J25)</f>
        <v/>
      </c>
      <c r="H129" s="151" t="s">
        <v>153</v>
      </c>
      <c r="I129" s="151" t="str">
        <f>IF(NeoBerInfB!J25="","",NeoBerInfB!M25)</f>
        <v/>
      </c>
      <c r="J129" s="151" t="s">
        <v>235</v>
      </c>
      <c r="K129" s="151" t="str">
        <f>IF(G129="","",NeoBerInfB!O25)</f>
        <v/>
      </c>
      <c r="L129" s="151" t="s">
        <v>110</v>
      </c>
      <c r="M129" s="151" t="str">
        <f>IF(G129="","",NeoBerInfB!P25)</f>
        <v/>
      </c>
      <c r="N129" s="151" t="s">
        <v>42</v>
      </c>
      <c r="O129" s="151" t="str">
        <f>IF(G129="","",NeoBerInfB!Q25)</f>
        <v/>
      </c>
      <c r="P129" s="151" t="s">
        <v>255</v>
      </c>
      <c r="Q129" s="151" t="str">
        <f>IF(G129="","",NeoBerInfB!G25&amp;" "&amp;NeoBerInfB!R25)</f>
        <v/>
      </c>
      <c r="R129" s="151" t="s">
        <v>85</v>
      </c>
      <c r="S129" s="151" t="str">
        <f>IF(G129="","",NeoBerInfB!AL25&amp;" ml")</f>
        <v/>
      </c>
      <c r="T129" s="152" t="s">
        <v>418</v>
      </c>
      <c r="U129" s="152" t="str">
        <f>IF(G129="","",NeoBerInfB!S25)</f>
        <v/>
      </c>
      <c r="V129" s="152" t="s">
        <v>5146</v>
      </c>
      <c r="W129" s="152" t="str">
        <f>IF(AND(G129&lt;&gt;"",NeoBerInfB!I25),"Extra","")</f>
        <v/>
      </c>
      <c r="X129" s="152" t="s">
        <v>5145</v>
      </c>
      <c r="Y129" s="151" t="str">
        <f>IF(G129="","",NeoBerInfB!Z25)</f>
        <v/>
      </c>
    </row>
    <row r="130" spans="1:25" x14ac:dyDescent="0.2">
      <c r="A130" s="179" t="str">
        <f t="shared" si="7"/>
        <v>NeoMedCont.04</v>
      </c>
      <c r="B130" s="704" t="str">
        <f t="shared" si="10"/>
        <v/>
      </c>
      <c r="C130" s="704" t="str">
        <f t="shared" si="5"/>
        <v>NeoMedCont.04**</v>
      </c>
      <c r="D130" s="152" t="s">
        <v>5148</v>
      </c>
      <c r="E130" s="157" t="s">
        <v>334</v>
      </c>
      <c r="F130" s="151" t="s">
        <v>254</v>
      </c>
      <c r="G130" s="151" t="str">
        <f>IF(NeoBerInfB!J26=0,"",NeoBerInfB!J26)</f>
        <v/>
      </c>
      <c r="H130" s="151" t="s">
        <v>153</v>
      </c>
      <c r="I130" s="151" t="str">
        <f>IF(NeoBerInfB!J26="","",NeoBerInfB!M26)</f>
        <v/>
      </c>
      <c r="J130" s="151" t="s">
        <v>235</v>
      </c>
      <c r="K130" s="151" t="str">
        <f>IF(G130="","",NeoBerInfB!O26)</f>
        <v/>
      </c>
      <c r="L130" s="151" t="s">
        <v>110</v>
      </c>
      <c r="M130" s="151" t="str">
        <f>IF(G130="","",NeoBerInfB!P26)</f>
        <v/>
      </c>
      <c r="N130" s="151" t="s">
        <v>42</v>
      </c>
      <c r="O130" s="151" t="str">
        <f>IF(G130="","",NeoBerInfB!Q26)</f>
        <v/>
      </c>
      <c r="P130" s="151" t="s">
        <v>255</v>
      </c>
      <c r="Q130" s="151" t="str">
        <f>IF(G130="","",NeoBerInfB!G26&amp;" "&amp;NeoBerInfB!R26)</f>
        <v/>
      </c>
      <c r="R130" s="151" t="s">
        <v>85</v>
      </c>
      <c r="S130" s="151" t="str">
        <f>IF(G130="","",NeoBerInfB!AL26&amp;" ml")</f>
        <v/>
      </c>
      <c r="T130" s="152" t="s">
        <v>418</v>
      </c>
      <c r="U130" s="152" t="str">
        <f>IF(G130="","",NeoBerInfB!S26)</f>
        <v/>
      </c>
      <c r="V130" s="152" t="s">
        <v>5146</v>
      </c>
      <c r="W130" s="152" t="str">
        <f>IF(AND(G130&lt;&gt;"",NeoBerInfB!I26),"Extra","")</f>
        <v/>
      </c>
      <c r="X130" s="152" t="s">
        <v>5145</v>
      </c>
      <c r="Y130" s="151" t="str">
        <f>IF(G130="","",NeoBerInfB!Z26)</f>
        <v/>
      </c>
    </row>
    <row r="131" spans="1:25" s="151" customFormat="1" x14ac:dyDescent="0.2">
      <c r="A131" s="179" t="str">
        <f t="shared" si="7"/>
        <v>NeoMedCont.05</v>
      </c>
      <c r="B131" s="704" t="str">
        <f t="shared" si="10"/>
        <v/>
      </c>
      <c r="C131" s="704" t="str">
        <f t="shared" ref="C131:C170" si="11">A131&amp;"**"&amp;B131</f>
        <v>NeoMedCont.05**</v>
      </c>
      <c r="D131" s="152" t="s">
        <v>5148</v>
      </c>
      <c r="E131" s="157" t="s">
        <v>335</v>
      </c>
      <c r="F131" s="151" t="s">
        <v>254</v>
      </c>
      <c r="G131" s="151" t="str">
        <f>IF(NeoBerInfB!J27=0,"",NeoBerInfB!J27)</f>
        <v/>
      </c>
      <c r="H131" s="151" t="s">
        <v>153</v>
      </c>
      <c r="I131" s="151" t="str">
        <f>IF(NeoBerInfB!J27="","",NeoBerInfB!M27)</f>
        <v/>
      </c>
      <c r="J131" s="151" t="s">
        <v>235</v>
      </c>
      <c r="K131" s="151" t="str">
        <f>IF(G131="","",NeoBerInfB!O27)</f>
        <v/>
      </c>
      <c r="L131" s="151" t="s">
        <v>110</v>
      </c>
      <c r="M131" s="151" t="str">
        <f>IF(G131="","",NeoBerInfB!P27)</f>
        <v/>
      </c>
      <c r="N131" s="151" t="s">
        <v>42</v>
      </c>
      <c r="O131" s="151" t="str">
        <f>IF(G131="","",NeoBerInfB!Q27)</f>
        <v/>
      </c>
      <c r="P131" s="151" t="s">
        <v>255</v>
      </c>
      <c r="Q131" s="151" t="str">
        <f>IF(G131="","",NeoBerInfB!G27&amp;" "&amp;NeoBerInfB!R27)</f>
        <v/>
      </c>
      <c r="R131" s="151" t="s">
        <v>85</v>
      </c>
      <c r="S131" s="151" t="str">
        <f>IF(G131="","",NeoBerInfB!AL27&amp;" ml")</f>
        <v/>
      </c>
      <c r="T131" s="152" t="s">
        <v>418</v>
      </c>
      <c r="U131" s="152" t="str">
        <f>IF(G131="","",NeoBerInfB!S27)</f>
        <v/>
      </c>
      <c r="V131" s="152" t="s">
        <v>5146</v>
      </c>
      <c r="W131" s="152" t="str">
        <f>IF(AND(G131&lt;&gt;"",NeoBerInfB!I27),"Extra","")</f>
        <v/>
      </c>
      <c r="X131" s="152" t="s">
        <v>5145</v>
      </c>
      <c r="Y131" s="151" t="str">
        <f>IF(G131="","",NeoBerInfB!Z27)</f>
        <v/>
      </c>
    </row>
    <row r="132" spans="1:25" x14ac:dyDescent="0.2">
      <c r="A132" s="179" t="str">
        <f t="shared" si="7"/>
        <v>NeoMedCont.06</v>
      </c>
      <c r="B132" s="704" t="str">
        <f t="shared" si="10"/>
        <v/>
      </c>
      <c r="C132" s="704" t="str">
        <f t="shared" si="11"/>
        <v>NeoMedCont.06**</v>
      </c>
      <c r="D132" s="152" t="s">
        <v>5148</v>
      </c>
      <c r="E132" s="157" t="s">
        <v>336</v>
      </c>
      <c r="F132" s="151" t="s">
        <v>254</v>
      </c>
      <c r="G132" s="151" t="str">
        <f>IF(NeoBerInfB!J28=0,"",NeoBerInfB!J28)</f>
        <v/>
      </c>
      <c r="H132" s="151" t="s">
        <v>153</v>
      </c>
      <c r="I132" s="151" t="str">
        <f>IF(NeoBerInfB!J28="","",NeoBerInfB!M28)</f>
        <v/>
      </c>
      <c r="J132" s="151" t="s">
        <v>235</v>
      </c>
      <c r="K132" s="151" t="str">
        <f>IF(G132="","",NeoBerInfB!O28)</f>
        <v/>
      </c>
      <c r="L132" s="151" t="s">
        <v>110</v>
      </c>
      <c r="M132" s="151" t="str">
        <f>IF(G132="","",NeoBerInfB!P28)</f>
        <v/>
      </c>
      <c r="N132" s="151" t="s">
        <v>42</v>
      </c>
      <c r="O132" s="151" t="str">
        <f>IF(G132="","",NeoBerInfB!Q28)</f>
        <v/>
      </c>
      <c r="P132" s="151" t="s">
        <v>255</v>
      </c>
      <c r="Q132" s="151" t="str">
        <f>IF(G132="","",NeoBerInfB!G28&amp;" "&amp;NeoBerInfB!R28)</f>
        <v/>
      </c>
      <c r="R132" s="151" t="s">
        <v>85</v>
      </c>
      <c r="S132" s="151" t="str">
        <f>IF(G132="","",NeoBerInfB!AL28&amp;" ml")</f>
        <v/>
      </c>
      <c r="T132" s="152" t="s">
        <v>418</v>
      </c>
      <c r="U132" s="152" t="str">
        <f>IF(G132="","",NeoBerInfB!S28)</f>
        <v/>
      </c>
      <c r="V132" s="152" t="s">
        <v>5146</v>
      </c>
      <c r="W132" s="152" t="str">
        <f>IF(AND(G132&lt;&gt;"",NeoBerInfB!I28),"Extra","")</f>
        <v/>
      </c>
      <c r="X132" s="152" t="s">
        <v>5145</v>
      </c>
      <c r="Y132" s="151" t="str">
        <f>IF(G132="","",NeoBerInfB!Z28)</f>
        <v/>
      </c>
    </row>
    <row r="133" spans="1:25" x14ac:dyDescent="0.2">
      <c r="A133" s="179" t="str">
        <f t="shared" si="7"/>
        <v>NeoMedCont.07</v>
      </c>
      <c r="B133" s="704" t="str">
        <f t="shared" si="10"/>
        <v/>
      </c>
      <c r="C133" s="704" t="str">
        <f t="shared" si="11"/>
        <v>NeoMedCont.07**</v>
      </c>
      <c r="D133" s="152" t="s">
        <v>5148</v>
      </c>
      <c r="E133" s="157" t="s">
        <v>337</v>
      </c>
      <c r="F133" s="151" t="s">
        <v>254</v>
      </c>
      <c r="G133" s="151" t="str">
        <f>IF(NeoBerInfB!J29=0,"",NeoBerInfB!J29)</f>
        <v/>
      </c>
      <c r="H133" s="151" t="s">
        <v>153</v>
      </c>
      <c r="I133" s="151" t="str">
        <f>IF(NeoBerInfB!J29="","",NeoBerInfB!M29)</f>
        <v/>
      </c>
      <c r="J133" s="151" t="s">
        <v>235</v>
      </c>
      <c r="K133" s="151" t="str">
        <f>IF(G133="","",NeoBerInfB!O29)</f>
        <v/>
      </c>
      <c r="L133" s="151" t="s">
        <v>110</v>
      </c>
      <c r="M133" s="151" t="str">
        <f>IF(G133="","",NeoBerInfB!P29)</f>
        <v/>
      </c>
      <c r="N133" s="151" t="s">
        <v>42</v>
      </c>
      <c r="O133" s="151" t="str">
        <f>IF(G133="","",NeoBerInfB!Q29)</f>
        <v/>
      </c>
      <c r="P133" s="151" t="s">
        <v>255</v>
      </c>
      <c r="Q133" s="151" t="str">
        <f>IF(G133="","",NeoBerInfB!G29&amp;" "&amp;NeoBerInfB!R29)</f>
        <v/>
      </c>
      <c r="R133" s="151" t="s">
        <v>85</v>
      </c>
      <c r="S133" s="151" t="str">
        <f>IF(G133="","",NeoBerInfB!AL29&amp;" ml")</f>
        <v/>
      </c>
      <c r="T133" s="152" t="s">
        <v>418</v>
      </c>
      <c r="U133" s="152" t="str">
        <f>IF(G133="","",NeoBerInfB!S29)</f>
        <v/>
      </c>
      <c r="V133" s="152" t="s">
        <v>5146</v>
      </c>
      <c r="W133" s="152" t="str">
        <f>IF(AND(G133&lt;&gt;"",NeoBerInfB!I29),"Extra","")</f>
        <v/>
      </c>
      <c r="X133" s="152" t="s">
        <v>5145</v>
      </c>
      <c r="Y133" s="151" t="str">
        <f>IF(G133="","",NeoBerInfB!Z29)</f>
        <v/>
      </c>
    </row>
    <row r="134" spans="1:25" x14ac:dyDescent="0.2">
      <c r="A134" s="179" t="str">
        <f t="shared" si="7"/>
        <v>NeoMedCont.08</v>
      </c>
      <c r="B134" s="704" t="str">
        <f t="shared" si="10"/>
        <v/>
      </c>
      <c r="C134" s="704" t="str">
        <f t="shared" si="11"/>
        <v>NeoMedCont.08**</v>
      </c>
      <c r="D134" s="152" t="s">
        <v>5148</v>
      </c>
      <c r="E134" s="157" t="s">
        <v>338</v>
      </c>
      <c r="F134" s="151" t="s">
        <v>254</v>
      </c>
      <c r="G134" s="151" t="str">
        <f>IF(NeoBerInfB!J30=0,"",NeoBerInfB!J30)</f>
        <v/>
      </c>
      <c r="H134" s="151" t="s">
        <v>153</v>
      </c>
      <c r="I134" s="151" t="str">
        <f>IF(NeoBerInfB!J30="","",NeoBerInfB!M30)</f>
        <v/>
      </c>
      <c r="J134" s="151" t="s">
        <v>235</v>
      </c>
      <c r="K134" s="151" t="str">
        <f>IF(G134="","",NeoBerInfB!O30)</f>
        <v/>
      </c>
      <c r="L134" s="151" t="s">
        <v>110</v>
      </c>
      <c r="M134" s="151" t="str">
        <f>IF(G134="","",NeoBerInfB!P30)</f>
        <v/>
      </c>
      <c r="N134" s="151" t="s">
        <v>42</v>
      </c>
      <c r="O134" s="151" t="str">
        <f>IF(G134="","",NeoBerInfB!Q30)</f>
        <v/>
      </c>
      <c r="P134" s="151" t="s">
        <v>255</v>
      </c>
      <c r="Q134" s="151" t="str">
        <f>IF(G134="","",NeoBerInfB!G30&amp;" "&amp;NeoBerInfB!R30)</f>
        <v/>
      </c>
      <c r="R134" s="151" t="s">
        <v>85</v>
      </c>
      <c r="S134" s="151" t="str">
        <f>IF(G134="","",NeoBerInfB!AL30&amp;" ml")</f>
        <v/>
      </c>
      <c r="T134" s="152" t="s">
        <v>418</v>
      </c>
      <c r="U134" s="152" t="str">
        <f>IF(G134="","",NeoBerInfB!S30)</f>
        <v/>
      </c>
      <c r="V134" s="152" t="s">
        <v>5146</v>
      </c>
      <c r="W134" s="152" t="str">
        <f>IF(AND(G134&lt;&gt;"",NeoBerInfB!I30),"Extra","")</f>
        <v/>
      </c>
      <c r="X134" s="152" t="s">
        <v>5145</v>
      </c>
      <c r="Y134" s="151" t="str">
        <f>IF(G134="","",NeoBerInfB!Z30)</f>
        <v/>
      </c>
    </row>
    <row r="135" spans="1:25" x14ac:dyDescent="0.2">
      <c r="A135" s="179" t="str">
        <f t="shared" si="7"/>
        <v>NeoMedCont.09</v>
      </c>
      <c r="B135" s="704" t="str">
        <f t="shared" si="10"/>
        <v/>
      </c>
      <c r="C135" s="704" t="str">
        <f t="shared" si="11"/>
        <v>NeoMedCont.09**</v>
      </c>
      <c r="D135" s="152" t="s">
        <v>5148</v>
      </c>
      <c r="E135" s="157" t="s">
        <v>339</v>
      </c>
      <c r="F135" s="151" t="s">
        <v>254</v>
      </c>
      <c r="G135" s="151" t="str">
        <f>IF(NeoBerInfB!J31=0,"",NeoBerInfB!J31)</f>
        <v/>
      </c>
      <c r="H135" s="151" t="s">
        <v>153</v>
      </c>
      <c r="I135" s="151" t="str">
        <f>IF(NeoBerInfB!J31="","",NeoBerInfB!M31)</f>
        <v/>
      </c>
      <c r="J135" s="151" t="s">
        <v>235</v>
      </c>
      <c r="K135" s="151" t="str">
        <f>IF(G135="","",NeoBerInfB!O31)</f>
        <v/>
      </c>
      <c r="L135" s="151" t="s">
        <v>110</v>
      </c>
      <c r="M135" s="151" t="str">
        <f>IF(G135="","",NeoBerInfB!P31)</f>
        <v/>
      </c>
      <c r="N135" s="151" t="s">
        <v>42</v>
      </c>
      <c r="O135" s="151" t="str">
        <f>IF(G135="","",NeoBerInfB!Q31)</f>
        <v/>
      </c>
      <c r="P135" s="151" t="s">
        <v>255</v>
      </c>
      <c r="Q135" s="151" t="str">
        <f>IF(G135="","",NeoBerInfB!G31&amp;" "&amp;NeoBerInfB!R31)</f>
        <v/>
      </c>
      <c r="R135" s="151" t="s">
        <v>85</v>
      </c>
      <c r="S135" s="151" t="str">
        <f>IF(G135="","",NeoBerInfB!AL31&amp;" ml")</f>
        <v/>
      </c>
      <c r="T135" s="152" t="s">
        <v>418</v>
      </c>
      <c r="U135" s="152" t="str">
        <f>IF(G135="","",NeoBerInfB!S31)</f>
        <v/>
      </c>
      <c r="V135" s="152" t="s">
        <v>5146</v>
      </c>
      <c r="W135" s="152" t="str">
        <f>IF(AND(G135&lt;&gt;"",NeoBerInfB!I31),"Extra","")</f>
        <v/>
      </c>
      <c r="X135" s="152" t="s">
        <v>5145</v>
      </c>
      <c r="Y135" s="151" t="str">
        <f>IF(G135="","",NeoBerInfB!Z31)</f>
        <v/>
      </c>
    </row>
    <row r="136" spans="1:25" x14ac:dyDescent="0.2">
      <c r="A136" s="179" t="str">
        <f t="shared" si="7"/>
        <v>NeoMedCont.10</v>
      </c>
      <c r="B136" s="704" t="str">
        <f t="shared" si="10"/>
        <v/>
      </c>
      <c r="C136" s="704" t="str">
        <f t="shared" si="11"/>
        <v>NeoMedCont.10**</v>
      </c>
      <c r="D136" s="152" t="s">
        <v>5148</v>
      </c>
      <c r="E136" s="157" t="s">
        <v>483</v>
      </c>
      <c r="F136" s="151" t="s">
        <v>254</v>
      </c>
      <c r="G136" s="151" t="str">
        <f>IF(NeoBerInfB!J32=0,"",NeoBerInfB!J32)</f>
        <v/>
      </c>
      <c r="H136" s="151" t="s">
        <v>153</v>
      </c>
      <c r="I136" s="151" t="str">
        <f>IF(NeoBerInfB!J32="","",NeoBerInfB!M32)</f>
        <v/>
      </c>
      <c r="J136" s="151" t="s">
        <v>235</v>
      </c>
      <c r="K136" s="151" t="str">
        <f>IF(G136="","",NeoBerInfB!O32)</f>
        <v/>
      </c>
      <c r="L136" s="151" t="s">
        <v>110</v>
      </c>
      <c r="M136" s="151" t="str">
        <f>IF(G136="","",NeoBerInfB!P32)</f>
        <v/>
      </c>
      <c r="N136" s="151" t="s">
        <v>42</v>
      </c>
      <c r="O136" s="151" t="str">
        <f>IF(G136="","",NeoBerInfB!Q32)</f>
        <v/>
      </c>
      <c r="P136" s="151" t="s">
        <v>255</v>
      </c>
      <c r="Q136" s="151" t="str">
        <f>IF(G136="","",NeoBerInfB!G32&amp;" "&amp;NeoBerInfB!R32)</f>
        <v/>
      </c>
      <c r="R136" s="151" t="s">
        <v>85</v>
      </c>
      <c r="S136" s="151" t="str">
        <f>IF(G136="","",NeoBerInfB!AL32&amp;" ml")</f>
        <v/>
      </c>
      <c r="T136" s="152" t="s">
        <v>418</v>
      </c>
      <c r="U136" s="152" t="str">
        <f>IF(G136="","",NeoBerInfB!S32)</f>
        <v/>
      </c>
      <c r="V136" s="152" t="s">
        <v>5146</v>
      </c>
      <c r="W136" s="152" t="str">
        <f>IF(AND(G136&lt;&gt;"",NeoBerInfB!I32),"Extra","")</f>
        <v/>
      </c>
      <c r="X136" s="152" t="s">
        <v>5145</v>
      </c>
      <c r="Y136" s="151" t="str">
        <f>IF(G136="","",NeoBerInfB!Z32)</f>
        <v/>
      </c>
    </row>
    <row r="137" spans="1:25" s="151" customFormat="1" x14ac:dyDescent="0.2">
      <c r="A137" s="179" t="str">
        <f t="shared" ref="A137:A170" si="12">D137&amp;"."&amp;E137</f>
        <v>NeoMedCont.Tekst.01</v>
      </c>
      <c r="B137" s="704">
        <f>NeoBerInfB!B36</f>
        <v>0</v>
      </c>
      <c r="C137" s="704" t="str">
        <f t="shared" si="11"/>
        <v>NeoMedCont.Tekst.01**0</v>
      </c>
      <c r="D137" s="152" t="s">
        <v>5148</v>
      </c>
      <c r="E137" s="157" t="s">
        <v>5205</v>
      </c>
      <c r="F137"/>
      <c r="H137"/>
      <c r="J137"/>
      <c r="L137"/>
      <c r="M137"/>
      <c r="N137"/>
    </row>
    <row r="138" spans="1:25" s="151" customFormat="1" x14ac:dyDescent="0.2">
      <c r="A138" s="179" t="str">
        <f t="shared" si="12"/>
        <v>NeoMedCont.Tekst.02</v>
      </c>
      <c r="B138" s="704">
        <f>NeoBerInfB!B37</f>
        <v>0</v>
      </c>
      <c r="C138" s="704" t="str">
        <f t="shared" si="11"/>
        <v>NeoMedCont.Tekst.02**0</v>
      </c>
      <c r="D138" s="152" t="s">
        <v>5148</v>
      </c>
      <c r="E138" s="157" t="s">
        <v>5206</v>
      </c>
      <c r="F138"/>
      <c r="H138"/>
      <c r="J138"/>
      <c r="L138"/>
    </row>
    <row r="139" spans="1:25" x14ac:dyDescent="0.2">
      <c r="A139" s="179" t="str">
        <f t="shared" si="12"/>
        <v>NeoZijLijn.01</v>
      </c>
      <c r="B139" s="704" t="str">
        <f>ConcatenateKeyValue(F139:M139,"||","^^")</f>
        <v>Volume^^0 mL</v>
      </c>
      <c r="C139" s="704" t="str">
        <f t="shared" si="11"/>
        <v>NeoZijLijn.01**Volume^^0 mL</v>
      </c>
      <c r="D139" s="152" t="s">
        <v>5149</v>
      </c>
      <c r="E139" s="157" t="s">
        <v>331</v>
      </c>
      <c r="F139" s="152" t="s">
        <v>110</v>
      </c>
      <c r="G139" s="152" t="str">
        <f>NeoBerInfB!P33</f>
        <v/>
      </c>
      <c r="H139" s="152" t="s">
        <v>42</v>
      </c>
      <c r="I139" s="152" t="str">
        <f>NeoBerInfB!Q33</f>
        <v/>
      </c>
      <c r="J139" s="152" t="s">
        <v>235</v>
      </c>
      <c r="K139" s="152" t="str">
        <f>NeoBerInfB!AL33&amp;" mL"</f>
        <v>0 mL</v>
      </c>
      <c r="L139" s="152" t="s">
        <v>5146</v>
      </c>
      <c r="M139" s="152" t="str">
        <f>IF(AND(G139&lt;&gt;"",Var_Neo_InfB_Cont_VochtExtra_12), "Extra","")</f>
        <v/>
      </c>
      <c r="N139" s="151"/>
    </row>
    <row r="140" spans="1:25" x14ac:dyDescent="0.2">
      <c r="A140" s="179" t="str">
        <f t="shared" si="12"/>
        <v>NeoZijLijn.02</v>
      </c>
      <c r="B140" s="704" t="str">
        <f t="shared" ref="B140:B141" si="13">ConcatenateKeyValue(F140:M140,"||","^^")</f>
        <v>Volume^^0 mL</v>
      </c>
      <c r="C140" s="704" t="str">
        <f t="shared" si="11"/>
        <v>NeoZijLijn.02**Volume^^0 mL</v>
      </c>
      <c r="D140" s="152" t="s">
        <v>5149</v>
      </c>
      <c r="E140" s="157" t="s">
        <v>332</v>
      </c>
      <c r="F140" s="152" t="s">
        <v>110</v>
      </c>
      <c r="G140" s="152" t="str">
        <f>NeoBerInfB!P34</f>
        <v/>
      </c>
      <c r="H140" s="152" t="s">
        <v>42</v>
      </c>
      <c r="I140" s="152" t="str">
        <f>NeoBerInfB!Q34</f>
        <v/>
      </c>
      <c r="J140" s="152" t="s">
        <v>235</v>
      </c>
      <c r="K140" s="152" t="str">
        <f>NeoBerInfB!AL34&amp;" mL"</f>
        <v>0 mL</v>
      </c>
      <c r="L140" s="152" t="s">
        <v>5146</v>
      </c>
      <c r="M140" s="152" t="str">
        <f>IF(AND(G140&lt;&gt;"",Var_Neo_InfB_Cont_VochtExtra_12), "Extra","")</f>
        <v/>
      </c>
    </row>
    <row r="141" spans="1:25" x14ac:dyDescent="0.2">
      <c r="A141" s="179" t="str">
        <f t="shared" si="12"/>
        <v>NeoZijLijn.03</v>
      </c>
      <c r="B141" s="704" t="str">
        <f t="shared" si="13"/>
        <v>Volume^^0 mL</v>
      </c>
      <c r="C141" s="704" t="str">
        <f t="shared" si="11"/>
        <v>NeoZijLijn.03**Volume^^0 mL</v>
      </c>
      <c r="D141" s="152" t="s">
        <v>5149</v>
      </c>
      <c r="E141" s="157" t="s">
        <v>333</v>
      </c>
      <c r="F141" s="152" t="s">
        <v>110</v>
      </c>
      <c r="G141" s="152" t="str">
        <f>NeoBerInfB!P35</f>
        <v/>
      </c>
      <c r="H141" s="152" t="s">
        <v>42</v>
      </c>
      <c r="I141" s="152" t="str">
        <f>NeoBerInfB!Q35</f>
        <v/>
      </c>
      <c r="J141" s="152" t="s">
        <v>235</v>
      </c>
      <c r="K141" s="152" t="str">
        <f>NeoBerInfB!AL35&amp;" mL"</f>
        <v>0 mL</v>
      </c>
      <c r="L141" s="152" t="s">
        <v>5146</v>
      </c>
      <c r="M141" s="152" t="str">
        <f>IF(AND(G141&lt;&gt;"",Var_Neo_InfB_Cont_VochtExtra_12), "Extra","")</f>
        <v/>
      </c>
    </row>
    <row r="142" spans="1:25" x14ac:dyDescent="0.2">
      <c r="A142" s="179" t="str">
        <f t="shared" si="12"/>
        <v>NeoTPN.Lipid</v>
      </c>
      <c r="B142" s="704" t="str">
        <f>ConcatenateKeyValue(F142:K142,"||","^^")</f>
        <v/>
      </c>
      <c r="C142" s="704" t="str">
        <f t="shared" si="11"/>
        <v>NeoTPN.Lipid**</v>
      </c>
      <c r="D142" s="152" t="s">
        <v>5151</v>
      </c>
      <c r="E142" s="152" t="s">
        <v>5139</v>
      </c>
      <c r="F142" s="152" t="s">
        <v>351</v>
      </c>
      <c r="G142" s="152" t="str">
        <f>IF(I142="","",NeoBerInfB!P40)</f>
        <v/>
      </c>
      <c r="H142" s="152" t="s">
        <v>42</v>
      </c>
      <c r="I142" s="152" t="str">
        <f>NeoBerInfB!Q40</f>
        <v/>
      </c>
      <c r="J142" s="152" t="s">
        <v>235</v>
      </c>
      <c r="K142" s="152" t="str">
        <f>IF(G142="","",NeoBerInfB!AL40&amp;" ml")</f>
        <v/>
      </c>
      <c r="L142" s="152"/>
    </row>
    <row r="143" spans="1:25" x14ac:dyDescent="0.2">
      <c r="A143" s="179" t="str">
        <f t="shared" si="12"/>
        <v>NeoTPN.SST</v>
      </c>
      <c r="B143" s="704" t="str">
        <f>ConcatenateKeyValue(F143:K143,"||","^^")</f>
        <v/>
      </c>
      <c r="C143" s="704" t="str">
        <f t="shared" si="11"/>
        <v>NeoTPN.SST**</v>
      </c>
      <c r="D143" s="152" t="s">
        <v>5151</v>
      </c>
      <c r="E143" s="152" t="s">
        <v>5152</v>
      </c>
      <c r="F143" s="152" t="s">
        <v>5140</v>
      </c>
      <c r="G143" s="152" t="str">
        <f>NeoBerInfB!O69</f>
        <v/>
      </c>
      <c r="H143" s="152" t="s">
        <v>42</v>
      </c>
      <c r="I143" s="152" t="str">
        <f>IF(G143="","",NeoBerInfB!Q41)</f>
        <v/>
      </c>
      <c r="J143" s="152" t="s">
        <v>5141</v>
      </c>
      <c r="K143" s="152" t="str">
        <f>IF(G143="","",NeoBerInfB!AL50&amp;" ml")</f>
        <v/>
      </c>
    </row>
    <row r="144" spans="1:25" x14ac:dyDescent="0.2">
      <c r="A144" s="179" t="str">
        <f t="shared" si="12"/>
        <v>NeoIntake.Vocht</v>
      </c>
      <c r="B144" s="704" t="str">
        <f>NeoBerInfB!AL58</f>
        <v/>
      </c>
      <c r="C144" s="704" t="str">
        <f t="shared" si="11"/>
        <v>NeoIntake.Vocht**</v>
      </c>
      <c r="D144" s="152" t="s">
        <v>482</v>
      </c>
      <c r="E144" s="289" t="s">
        <v>5125</v>
      </c>
    </row>
    <row r="145" spans="1:16" x14ac:dyDescent="0.2">
      <c r="A145" s="179" t="str">
        <f t="shared" si="12"/>
        <v>NeoIntake.Energy</v>
      </c>
      <c r="B145" s="704" t="str">
        <f>NeoBerInfB!AU58</f>
        <v/>
      </c>
      <c r="C145" s="704" t="str">
        <f t="shared" si="11"/>
        <v>NeoIntake.Energy**</v>
      </c>
      <c r="D145" s="152" t="s">
        <v>482</v>
      </c>
      <c r="E145" s="289" t="s">
        <v>5126</v>
      </c>
    </row>
    <row r="146" spans="1:16" x14ac:dyDescent="0.2">
      <c r="A146" s="179" t="str">
        <f t="shared" si="12"/>
        <v>NeoIntake.Glucose</v>
      </c>
      <c r="B146" s="704" t="str">
        <f>NeoBerInfB!AS58</f>
        <v/>
      </c>
      <c r="C146" s="704" t="str">
        <f t="shared" si="11"/>
        <v>NeoIntake.Glucose**</v>
      </c>
      <c r="D146" s="152" t="s">
        <v>482</v>
      </c>
      <c r="E146" s="289" t="s">
        <v>415</v>
      </c>
    </row>
    <row r="147" spans="1:16" x14ac:dyDescent="0.2">
      <c r="A147" s="179" t="str">
        <f t="shared" si="12"/>
        <v>NeoIntake.Eiwit</v>
      </c>
      <c r="B147" s="704" t="str">
        <f>NeoBerInfB!AR58</f>
        <v/>
      </c>
      <c r="C147" s="704" t="str">
        <f t="shared" si="11"/>
        <v>NeoIntake.Eiwit**</v>
      </c>
      <c r="D147" s="152" t="s">
        <v>482</v>
      </c>
      <c r="E147" s="289" t="s">
        <v>164</v>
      </c>
    </row>
    <row r="148" spans="1:16" x14ac:dyDescent="0.2">
      <c r="A148" s="179" t="str">
        <f t="shared" si="12"/>
        <v>NeoIntake.Vet</v>
      </c>
      <c r="B148" s="704" t="str">
        <f>NeoBerInfB!AT58</f>
        <v/>
      </c>
      <c r="C148" s="704" t="str">
        <f t="shared" si="11"/>
        <v>NeoIntake.Vet**</v>
      </c>
      <c r="D148" s="152" t="s">
        <v>482</v>
      </c>
      <c r="E148" s="289" t="s">
        <v>165</v>
      </c>
    </row>
    <row r="149" spans="1:16" x14ac:dyDescent="0.2">
      <c r="A149" s="179" t="str">
        <f t="shared" si="12"/>
        <v>NeoIntake.Vitamine D</v>
      </c>
      <c r="B149" s="705" t="str">
        <f>NeoBerInfB!AW58</f>
        <v/>
      </c>
      <c r="C149" s="704" t="str">
        <f t="shared" si="11"/>
        <v>NeoIntake.Vitamine D**</v>
      </c>
      <c r="D149" s="152" t="s">
        <v>482</v>
      </c>
      <c r="E149" s="289" t="s">
        <v>5127</v>
      </c>
    </row>
    <row r="150" spans="1:16" x14ac:dyDescent="0.2">
      <c r="A150" s="179" t="str">
        <f t="shared" si="12"/>
        <v>NeoIntake.IJzer</v>
      </c>
      <c r="B150" s="705" t="str">
        <f>NeoBerInfB!AX58</f>
        <v/>
      </c>
      <c r="C150" s="704" t="str">
        <f t="shared" si="11"/>
        <v>NeoIntake.IJzer**</v>
      </c>
      <c r="D150" s="152" t="s">
        <v>482</v>
      </c>
      <c r="E150" s="152" t="s">
        <v>7137</v>
      </c>
      <c r="O150" s="151"/>
      <c r="P150" s="152"/>
    </row>
    <row r="151" spans="1:16" x14ac:dyDescent="0.2">
      <c r="A151" s="179" t="str">
        <f t="shared" si="12"/>
        <v>NeoIntake.Natrium</v>
      </c>
      <c r="B151" s="705" t="str">
        <f>NeoBerInfB!AM58</f>
        <v/>
      </c>
      <c r="C151" s="704" t="str">
        <f t="shared" si="11"/>
        <v>NeoIntake.Natrium**</v>
      </c>
      <c r="D151" s="152" t="s">
        <v>482</v>
      </c>
      <c r="E151" s="152" t="s">
        <v>122</v>
      </c>
      <c r="O151" s="151"/>
      <c r="P151" s="152"/>
    </row>
    <row r="152" spans="1:16" x14ac:dyDescent="0.2">
      <c r="A152" s="179" t="str">
        <f t="shared" si="12"/>
        <v>NeoIntake.Chloor</v>
      </c>
      <c r="B152" s="705" t="str">
        <f>NeoBerInfB!AV58</f>
        <v/>
      </c>
      <c r="C152" s="704" t="str">
        <f t="shared" si="11"/>
        <v>NeoIntake.Chloor**</v>
      </c>
      <c r="D152" s="152" t="s">
        <v>482</v>
      </c>
      <c r="E152" s="152" t="s">
        <v>416</v>
      </c>
      <c r="O152" s="151"/>
      <c r="P152" s="152"/>
    </row>
    <row r="153" spans="1:16" x14ac:dyDescent="0.2">
      <c r="A153" s="179" t="str">
        <f t="shared" si="12"/>
        <v>NeoIntake.Calcium</v>
      </c>
      <c r="B153" s="705" t="str">
        <f>NeoBerInfB!AO58</f>
        <v/>
      </c>
      <c r="C153" s="704" t="str">
        <f t="shared" si="11"/>
        <v>NeoIntake.Calcium**</v>
      </c>
      <c r="D153" s="152" t="s">
        <v>482</v>
      </c>
      <c r="E153" s="152" t="s">
        <v>166</v>
      </c>
      <c r="O153" s="151"/>
    </row>
    <row r="154" spans="1:16" x14ac:dyDescent="0.2">
      <c r="A154" s="179" t="str">
        <f t="shared" si="12"/>
        <v>NeoIntake.Magnesium</v>
      </c>
      <c r="B154" s="705" t="str">
        <f>NeoBerInfB!AP58</f>
        <v/>
      </c>
      <c r="C154" s="704" t="str">
        <f t="shared" si="11"/>
        <v>NeoIntake.Magnesium**</v>
      </c>
      <c r="D154" s="152" t="s">
        <v>482</v>
      </c>
      <c r="E154" s="152" t="s">
        <v>240</v>
      </c>
      <c r="O154" s="151"/>
    </row>
    <row r="155" spans="1:16" x14ac:dyDescent="0.2">
      <c r="A155" s="179" t="str">
        <f t="shared" si="12"/>
        <v>NeoIntake.Fosfaat</v>
      </c>
      <c r="B155" s="705" t="str">
        <f>NeoBerInfB!AQ58</f>
        <v/>
      </c>
      <c r="C155" s="704" t="str">
        <f t="shared" si="11"/>
        <v>NeoIntake.Fosfaat**</v>
      </c>
      <c r="D155" s="152" t="s">
        <v>482</v>
      </c>
      <c r="E155" s="152" t="s">
        <v>167</v>
      </c>
      <c r="O155" s="151"/>
    </row>
    <row r="156" spans="1:16" x14ac:dyDescent="0.2">
      <c r="A156" s="179" t="str">
        <f t="shared" si="12"/>
        <v>NeoLab.Opname</v>
      </c>
      <c r="B156" s="705" t="str">
        <f>IF(NeoGuiInfB!F62="","",E156&amp;"::"&amp;NeoGuiInfB!F62)</f>
        <v/>
      </c>
      <c r="C156" s="704" t="str">
        <f t="shared" si="11"/>
        <v>NeoLab.Opname**</v>
      </c>
      <c r="D156" s="152" t="s">
        <v>5153</v>
      </c>
      <c r="E156" t="s">
        <v>293</v>
      </c>
      <c r="O156" s="151"/>
    </row>
    <row r="157" spans="1:16" x14ac:dyDescent="0.2">
      <c r="A157" s="179" t="str">
        <f t="shared" si="12"/>
        <v>NeoLab.12:00uur</v>
      </c>
      <c r="B157" s="705" t="str">
        <f>IF(NeoGuiInfB!F63="","",E157&amp;"::"&amp;NeoGuiInfB!F63)</f>
        <v/>
      </c>
      <c r="C157" s="704" t="str">
        <f t="shared" si="11"/>
        <v>NeoLab.12:00uur**</v>
      </c>
      <c r="D157" s="152" t="s">
        <v>5153</v>
      </c>
      <c r="E157" s="152" t="s">
        <v>5154</v>
      </c>
      <c r="O157" s="152"/>
    </row>
    <row r="158" spans="1:16" x14ac:dyDescent="0.2">
      <c r="A158" s="179" t="str">
        <f t="shared" si="12"/>
        <v>NeoLab.16:00uur</v>
      </c>
      <c r="B158" s="705" t="str">
        <f>IF(NeoGuiInfB!F64="","",E158&amp;"::"&amp;NeoGuiInfB!F64)</f>
        <v/>
      </c>
      <c r="C158" s="704" t="str">
        <f t="shared" si="11"/>
        <v>NeoLab.16:00uur**</v>
      </c>
      <c r="D158" s="152" t="s">
        <v>5153</v>
      </c>
      <c r="E158" s="152" t="s">
        <v>5155</v>
      </c>
      <c r="O158" s="152"/>
    </row>
    <row r="159" spans="1:16" x14ac:dyDescent="0.2">
      <c r="A159" s="179" t="str">
        <f t="shared" si="12"/>
        <v>NeoLab.20:00uur</v>
      </c>
      <c r="B159" s="705" t="str">
        <f>IF(NeoGuiInfB!F65="","",E159&amp;"::"&amp;NeoGuiInfB!F65)</f>
        <v/>
      </c>
      <c r="C159" s="704" t="str">
        <f t="shared" si="11"/>
        <v>NeoLab.20:00uur**</v>
      </c>
      <c r="D159" s="152" t="s">
        <v>5153</v>
      </c>
      <c r="E159" s="152" t="s">
        <v>5156</v>
      </c>
      <c r="O159" s="152"/>
    </row>
    <row r="160" spans="1:16" x14ac:dyDescent="0.2">
      <c r="A160" s="179" t="str">
        <f t="shared" si="12"/>
        <v>NeoLab.24:00uur</v>
      </c>
      <c r="B160" s="705" t="str">
        <f>IF(NeoGuiInfB!F66="","",E160&amp;"::"&amp;NeoGuiInfB!F66)</f>
        <v/>
      </c>
      <c r="C160" s="704" t="str">
        <f t="shared" si="11"/>
        <v>NeoLab.24:00uur**</v>
      </c>
      <c r="D160" s="152" t="s">
        <v>5153</v>
      </c>
      <c r="E160" s="152" t="s">
        <v>5131</v>
      </c>
    </row>
    <row r="161" spans="1:15" x14ac:dyDescent="0.2">
      <c r="A161" s="179" t="str">
        <f t="shared" si="12"/>
        <v>NeoLab.04:00uur</v>
      </c>
      <c r="B161" s="705" t="str">
        <f>IF(NeoGuiInfB!F67="","",E161&amp;"::"&amp;NeoGuiInfB!F67)</f>
        <v/>
      </c>
      <c r="C161" s="704" t="str">
        <f t="shared" si="11"/>
        <v>NeoLab.04:00uur**</v>
      </c>
      <c r="D161" s="152" t="s">
        <v>5153</v>
      </c>
      <c r="E161" s="152" t="s">
        <v>5157</v>
      </c>
    </row>
    <row r="162" spans="1:15" x14ac:dyDescent="0.2">
      <c r="A162" s="179" t="str">
        <f t="shared" si="12"/>
        <v>NeoLab.Zat 08:00uur</v>
      </c>
      <c r="B162" s="705" t="str">
        <f>IF(NeoGuiInfB!F68="","",E162&amp;"::"&amp;NeoGuiInfB!F68)</f>
        <v/>
      </c>
      <c r="C162" s="704" t="str">
        <f t="shared" si="11"/>
        <v>NeoLab.Zat 08:00uur**</v>
      </c>
      <c r="D162" s="152" t="s">
        <v>5153</v>
      </c>
      <c r="E162" s="152" t="s">
        <v>5158</v>
      </c>
    </row>
    <row r="163" spans="1:15" x14ac:dyDescent="0.2">
      <c r="A163" s="179" t="str">
        <f t="shared" si="12"/>
        <v>NeoLab.Zon 08:00uur</v>
      </c>
      <c r="B163" s="705" t="str">
        <f>IF(NeoGuiInfB!F69="","",E163&amp;"::"&amp;NeoGuiInfB!F69)</f>
        <v/>
      </c>
      <c r="C163" s="704" t="str">
        <f t="shared" si="11"/>
        <v>NeoLab.Zon 08:00uur**</v>
      </c>
      <c r="D163" s="152" t="s">
        <v>5153</v>
      </c>
      <c r="E163" s="152" t="s">
        <v>5185</v>
      </c>
    </row>
    <row r="164" spans="1:15" x14ac:dyDescent="0.2">
      <c r="A164" s="179" t="str">
        <f t="shared" si="12"/>
        <v>NeoLab.Mnd 08:00uur</v>
      </c>
      <c r="B164" s="705" t="str">
        <f>IF(NeoGuiInfB!F70="","",E164&amp;"::"&amp;NeoGuiInfB!F70)</f>
        <v/>
      </c>
      <c r="C164" s="704" t="str">
        <f t="shared" si="11"/>
        <v>NeoLab.Mnd 08:00uur**</v>
      </c>
      <c r="D164" s="152" t="s">
        <v>5153</v>
      </c>
      <c r="E164" s="152" t="s">
        <v>5184</v>
      </c>
    </row>
    <row r="165" spans="1:15" x14ac:dyDescent="0.2">
      <c r="A165" s="179" t="str">
        <f t="shared" si="12"/>
        <v>NeoLab.Opmerking</v>
      </c>
      <c r="B165" s="704" t="str">
        <f>IF(_Neo_Lab_Opm=0,"",_Neo_Lab_Opm)</f>
        <v/>
      </c>
      <c r="C165" s="704" t="str">
        <f t="shared" si="11"/>
        <v>NeoLab.Opmerking**</v>
      </c>
      <c r="D165" s="152" t="s">
        <v>5153</v>
      </c>
      <c r="E165" s="152" t="s">
        <v>181</v>
      </c>
    </row>
    <row r="166" spans="1:15" x14ac:dyDescent="0.2">
      <c r="A166" s="179" t="str">
        <f t="shared" si="12"/>
        <v>NeoAfspr.01</v>
      </c>
      <c r="B166" s="704" t="str">
        <f>IF(NeoGuiAfspr!D45="","",NeoGuiAfspr!C45&amp;": "&amp;NeoGuiAfspr!D45)</f>
        <v/>
      </c>
      <c r="C166" s="704" t="str">
        <f t="shared" si="11"/>
        <v>NeoAfspr.01**</v>
      </c>
      <c r="D166" s="152" t="s">
        <v>5159</v>
      </c>
      <c r="E166" s="154" t="s">
        <v>331</v>
      </c>
    </row>
    <row r="167" spans="1:15" x14ac:dyDescent="0.2">
      <c r="A167" s="179" t="str">
        <f t="shared" si="12"/>
        <v>NeoAfspr.02</v>
      </c>
      <c r="B167" s="704" t="str">
        <f>IF(NeoGuiAfspr!D46="","",NeoGuiAfspr!C46&amp;": "&amp;NeoGuiAfspr!D46)</f>
        <v/>
      </c>
      <c r="C167" s="704" t="str">
        <f t="shared" si="11"/>
        <v>NeoAfspr.02**</v>
      </c>
      <c r="D167" s="152" t="s">
        <v>5159</v>
      </c>
      <c r="E167" s="154" t="s">
        <v>332</v>
      </c>
    </row>
    <row r="168" spans="1:15" x14ac:dyDescent="0.2">
      <c r="A168" s="179" t="str">
        <f t="shared" si="12"/>
        <v>NeoAfspr.03</v>
      </c>
      <c r="B168" s="704" t="str">
        <f>IF(NeoGuiAfspr!D47="","",NeoGuiAfspr!C47&amp;": "&amp;NeoGuiAfspr!D47)</f>
        <v/>
      </c>
      <c r="C168" s="704" t="str">
        <f t="shared" si="11"/>
        <v>NeoAfspr.03**</v>
      </c>
      <c r="D168" s="152" t="s">
        <v>5159</v>
      </c>
      <c r="E168" s="154" t="s">
        <v>333</v>
      </c>
      <c r="O168" s="151"/>
    </row>
    <row r="169" spans="1:15" x14ac:dyDescent="0.2">
      <c r="A169" s="179" t="str">
        <f t="shared" si="12"/>
        <v>NeoAfspr.04</v>
      </c>
      <c r="B169" s="704" t="str">
        <f>IF(NeoGuiAfspr!D48="","",NeoGuiAfspr!C48&amp;": "&amp;NeoGuiAfspr!D48)</f>
        <v/>
      </c>
      <c r="C169" s="704" t="str">
        <f t="shared" si="11"/>
        <v>NeoAfspr.04**</v>
      </c>
      <c r="D169" s="152" t="s">
        <v>5159</v>
      </c>
      <c r="E169" s="154" t="s">
        <v>334</v>
      </c>
    </row>
    <row r="170" spans="1:15" x14ac:dyDescent="0.2">
      <c r="A170" s="179" t="str">
        <f t="shared" si="12"/>
        <v>NeoAfspr.05</v>
      </c>
      <c r="B170" s="704" t="str">
        <f>IF(NeoGuiAfspr!D49="","",NeoGuiAfspr!C49&amp;": "&amp;NeoGuiAfspr!D49)</f>
        <v/>
      </c>
      <c r="C170" s="704" t="str">
        <f t="shared" si="11"/>
        <v>NeoAfspr.05**</v>
      </c>
      <c r="D170" s="152" t="s">
        <v>5159</v>
      </c>
      <c r="E170" s="154" t="s">
        <v>335</v>
      </c>
    </row>
    <row r="175" spans="1:15" x14ac:dyDescent="0.2">
      <c r="B175" s="152"/>
      <c r="C175" s="152"/>
    </row>
    <row r="176" spans="1:15" x14ac:dyDescent="0.2">
      <c r="B176" s="152"/>
      <c r="C176" s="152"/>
    </row>
    <row r="177" spans="1:3" x14ac:dyDescent="0.2">
      <c r="B177" s="152"/>
      <c r="C177" s="152"/>
    </row>
    <row r="178" spans="1:3" x14ac:dyDescent="0.2">
      <c r="B178" s="152"/>
      <c r="C178" s="152"/>
    </row>
    <row r="179" spans="1:3" x14ac:dyDescent="0.2">
      <c r="A179" s="152"/>
      <c r="B179" s="152"/>
      <c r="C179" s="152"/>
    </row>
    <row r="180" spans="1:3" x14ac:dyDescent="0.2">
      <c r="B180" s="152"/>
      <c r="C180" s="152"/>
    </row>
    <row r="181" spans="1:3" x14ac:dyDescent="0.2">
      <c r="B181" s="152"/>
      <c r="C181" s="152"/>
    </row>
    <row r="182" spans="1:3" x14ac:dyDescent="0.2">
      <c r="A182" s="152"/>
      <c r="B182" s="152"/>
      <c r="C182" s="152"/>
    </row>
    <row r="183" spans="1:3" x14ac:dyDescent="0.2">
      <c r="A183" s="152"/>
      <c r="B183" s="152"/>
      <c r="C183" s="152"/>
    </row>
    <row r="184" spans="1:3" x14ac:dyDescent="0.2">
      <c r="A184" s="152"/>
      <c r="B184" s="152"/>
      <c r="C184" s="152"/>
    </row>
    <row r="185" spans="1:3" x14ac:dyDescent="0.2">
      <c r="B185" s="152"/>
      <c r="C185" s="152"/>
    </row>
    <row r="186" spans="1:3" x14ac:dyDescent="0.2">
      <c r="B186" s="152"/>
      <c r="C186" s="152"/>
    </row>
    <row r="187" spans="1:3" x14ac:dyDescent="0.2">
      <c r="B187" s="152"/>
      <c r="C187" s="152"/>
    </row>
    <row r="188" spans="1:3" x14ac:dyDescent="0.2">
      <c r="A188" s="152"/>
      <c r="B188" s="152"/>
      <c r="C188" s="152"/>
    </row>
    <row r="189" spans="1:3" x14ac:dyDescent="0.2">
      <c r="A189" s="152"/>
      <c r="B189" s="152"/>
      <c r="C189" s="152"/>
    </row>
    <row r="190" spans="1:3" x14ac:dyDescent="0.2">
      <c r="B190" s="152"/>
      <c r="C190" s="152"/>
    </row>
    <row r="191" spans="1:3" x14ac:dyDescent="0.2">
      <c r="B191" s="152"/>
      <c r="C191" s="152"/>
    </row>
    <row r="192" spans="1:3" x14ac:dyDescent="0.2">
      <c r="B192" s="152"/>
      <c r="C192" s="152"/>
    </row>
    <row r="193" spans="1:4" x14ac:dyDescent="0.2">
      <c r="B193" s="152"/>
      <c r="C193" s="152"/>
    </row>
    <row r="194" spans="1:4" x14ac:dyDescent="0.2">
      <c r="B194" s="152"/>
      <c r="C194" s="152"/>
    </row>
    <row r="195" spans="1:4" x14ac:dyDescent="0.2">
      <c r="B195" s="152"/>
      <c r="C195" s="152"/>
    </row>
    <row r="196" spans="1:4" x14ac:dyDescent="0.2">
      <c r="B196" s="152"/>
      <c r="C196" s="152"/>
    </row>
    <row r="197" spans="1:4" x14ac:dyDescent="0.2">
      <c r="B197" s="152"/>
      <c r="C197" s="152"/>
    </row>
    <row r="198" spans="1:4" x14ac:dyDescent="0.2">
      <c r="B198" s="152"/>
      <c r="C198" s="152"/>
    </row>
    <row r="199" spans="1:4" s="151" customFormat="1" x14ac:dyDescent="0.2">
      <c r="A199"/>
      <c r="B199" s="152"/>
      <c r="C199" s="152"/>
    </row>
    <row r="200" spans="1:4" x14ac:dyDescent="0.2">
      <c r="B200" s="152"/>
      <c r="C200" s="152"/>
      <c r="D200" s="152"/>
    </row>
    <row r="201" spans="1:4" x14ac:dyDescent="0.2">
      <c r="B201" s="152"/>
      <c r="C201" s="152"/>
      <c r="D201" s="195"/>
    </row>
    <row r="202" spans="1:4" x14ac:dyDescent="0.2">
      <c r="B202" s="152"/>
      <c r="C202" s="152"/>
      <c r="D202" s="195"/>
    </row>
    <row r="203" spans="1:4" x14ac:dyDescent="0.2">
      <c r="B203" s="152"/>
      <c r="C203" s="152"/>
      <c r="D203" s="195"/>
    </row>
    <row r="204" spans="1:4" x14ac:dyDescent="0.2">
      <c r="B204" s="152"/>
      <c r="C204" s="152"/>
      <c r="D204" s="702"/>
    </row>
    <row r="205" spans="1:4" x14ac:dyDescent="0.2">
      <c r="B205" s="152"/>
      <c r="C205" s="152"/>
      <c r="D205" s="195"/>
    </row>
    <row r="206" spans="1:4" x14ac:dyDescent="0.2">
      <c r="B206" s="152"/>
      <c r="C206" s="152"/>
      <c r="D206" s="195"/>
    </row>
    <row r="207" spans="1:4" x14ac:dyDescent="0.2">
      <c r="B207" s="152"/>
      <c r="C207" s="152"/>
      <c r="D207" s="195"/>
    </row>
    <row r="208" spans="1:4" x14ac:dyDescent="0.2">
      <c r="B208" s="152"/>
      <c r="C208" s="152"/>
      <c r="D208" s="195"/>
    </row>
    <row r="209" spans="2:4" x14ac:dyDescent="0.2">
      <c r="B209" s="152"/>
      <c r="C209" s="152"/>
      <c r="D209" s="369"/>
    </row>
    <row r="211" spans="2:4" x14ac:dyDescent="0.2">
      <c r="B211" s="152"/>
      <c r="C211" s="152"/>
      <c r="D211" s="152"/>
    </row>
    <row r="212" spans="2:4" x14ac:dyDescent="0.2">
      <c r="B212" s="152"/>
      <c r="C212" s="152"/>
      <c r="D212" s="195"/>
    </row>
    <row r="213" spans="2:4" x14ac:dyDescent="0.2">
      <c r="B213" s="152"/>
      <c r="C213" s="152"/>
      <c r="D213" s="195"/>
    </row>
    <row r="214" spans="2:4" x14ac:dyDescent="0.2">
      <c r="B214" s="152"/>
      <c r="C214" s="152"/>
      <c r="D214" s="152"/>
    </row>
    <row r="215" spans="2:4" x14ac:dyDescent="0.2">
      <c r="B215" s="152"/>
      <c r="C215" s="152"/>
      <c r="D215" s="152"/>
    </row>
    <row r="216" spans="2:4" x14ac:dyDescent="0.2">
      <c r="B216" s="152"/>
      <c r="C216" s="152"/>
      <c r="D216" s="152"/>
    </row>
    <row r="217" spans="2:4" x14ac:dyDescent="0.2">
      <c r="B217" s="152"/>
      <c r="C217" s="152"/>
      <c r="D217" s="152"/>
    </row>
    <row r="218" spans="2:4" x14ac:dyDescent="0.2">
      <c r="B218" s="152"/>
      <c r="C218" s="152"/>
      <c r="D218" s="152"/>
    </row>
    <row r="219" spans="2:4" x14ac:dyDescent="0.2">
      <c r="B219" s="152"/>
      <c r="C219" s="152"/>
      <c r="D219" s="151"/>
    </row>
    <row r="220" spans="2:4" x14ac:dyDescent="0.2">
      <c r="B220" s="152"/>
      <c r="C220" s="152"/>
      <c r="D220" s="152"/>
    </row>
    <row r="221" spans="2:4" x14ac:dyDescent="0.2">
      <c r="B221" s="152"/>
      <c r="C221" s="152"/>
    </row>
    <row r="222" spans="2:4" x14ac:dyDescent="0.2">
      <c r="B222" s="152"/>
      <c r="C222" s="152"/>
      <c r="D222" s="151"/>
    </row>
    <row r="223" spans="2:4" x14ac:dyDescent="0.2">
      <c r="B223" s="152"/>
      <c r="C223" s="152"/>
      <c r="D223" s="151"/>
    </row>
    <row r="224" spans="2:4" x14ac:dyDescent="0.2">
      <c r="B224" s="152"/>
      <c r="C224" s="152"/>
      <c r="D224" s="151"/>
    </row>
    <row r="225" spans="2:4" x14ac:dyDescent="0.2">
      <c r="B225" s="152"/>
      <c r="C225" s="152"/>
      <c r="D225" s="151"/>
    </row>
    <row r="226" spans="2:4" x14ac:dyDescent="0.2">
      <c r="B226" s="152"/>
      <c r="C226" s="152"/>
      <c r="D226" s="151"/>
    </row>
    <row r="227" spans="2:4" x14ac:dyDescent="0.2">
      <c r="B227" s="152"/>
      <c r="C227" s="152"/>
      <c r="D227" s="151"/>
    </row>
    <row r="228" spans="2:4" x14ac:dyDescent="0.2">
      <c r="B228" s="152"/>
      <c r="C228" s="152"/>
      <c r="D228" s="151"/>
    </row>
    <row r="229" spans="2:4" x14ac:dyDescent="0.2">
      <c r="B229" s="152"/>
      <c r="C229" s="152"/>
      <c r="D229" s="151"/>
    </row>
    <row r="230" spans="2:4" x14ac:dyDescent="0.2">
      <c r="B230" s="152"/>
      <c r="C230" s="152"/>
      <c r="D230" s="151"/>
    </row>
    <row r="231" spans="2:4" x14ac:dyDescent="0.2">
      <c r="B231" s="152"/>
      <c r="C231" s="152"/>
      <c r="D231" s="151"/>
    </row>
    <row r="232" spans="2:4" x14ac:dyDescent="0.2">
      <c r="B232" s="152"/>
      <c r="C232" s="152"/>
      <c r="D232" s="151"/>
    </row>
    <row r="233" spans="2:4" x14ac:dyDescent="0.2">
      <c r="B233" s="152"/>
      <c r="C233" s="152"/>
      <c r="D233" s="151"/>
    </row>
    <row r="234" spans="2:4" x14ac:dyDescent="0.2">
      <c r="B234" s="152"/>
      <c r="C234" s="152"/>
      <c r="D234" s="151"/>
    </row>
    <row r="235" spans="2:4" x14ac:dyDescent="0.2">
      <c r="B235" s="152"/>
      <c r="C235" s="152"/>
      <c r="D235" s="151"/>
    </row>
    <row r="236" spans="2:4" x14ac:dyDescent="0.2">
      <c r="B236" s="152"/>
      <c r="C236" s="152"/>
      <c r="D236" s="151"/>
    </row>
    <row r="237" spans="2:4" x14ac:dyDescent="0.2">
      <c r="B237" s="152"/>
      <c r="C237" s="152"/>
      <c r="D237" s="151"/>
    </row>
    <row r="238" spans="2:4" x14ac:dyDescent="0.2">
      <c r="B238" s="152"/>
      <c r="C238" s="152"/>
      <c r="D238" s="151"/>
    </row>
    <row r="239" spans="2:4" x14ac:dyDescent="0.2">
      <c r="B239" s="152"/>
      <c r="C239" s="152"/>
      <c r="D239" s="151"/>
    </row>
    <row r="240" spans="2:4" x14ac:dyDescent="0.2">
      <c r="B240" s="152"/>
      <c r="C240" s="152"/>
      <c r="D240" s="151"/>
    </row>
    <row r="241" spans="2:4" x14ac:dyDescent="0.2">
      <c r="B241" s="152"/>
      <c r="C241" s="152"/>
      <c r="D241" s="151"/>
    </row>
    <row r="242" spans="2:4" x14ac:dyDescent="0.2">
      <c r="B242" s="152"/>
      <c r="C242" s="152"/>
      <c r="D242" s="151"/>
    </row>
    <row r="243" spans="2:4" x14ac:dyDescent="0.2">
      <c r="B243" s="152"/>
      <c r="C243" s="152"/>
      <c r="D243" s="151"/>
    </row>
    <row r="244" spans="2:4" x14ac:dyDescent="0.2">
      <c r="B244" s="152"/>
      <c r="C244" s="152"/>
      <c r="D244" s="151"/>
    </row>
    <row r="245" spans="2:4" x14ac:dyDescent="0.2">
      <c r="B245" s="152"/>
      <c r="C245" s="152"/>
      <c r="D245" s="151"/>
    </row>
    <row r="246" spans="2:4" x14ac:dyDescent="0.2">
      <c r="B246" s="152"/>
      <c r="C246" s="152"/>
      <c r="D246" s="151"/>
    </row>
    <row r="263" spans="4:4" x14ac:dyDescent="0.2">
      <c r="D263" s="151"/>
    </row>
    <row r="264" spans="4:4" x14ac:dyDescent="0.2">
      <c r="D264" s="151"/>
    </row>
    <row r="296" spans="4:4" x14ac:dyDescent="0.2">
      <c r="D296" s="151"/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  <outlinePr showOutlineSymbols="0"/>
  </sheetPr>
  <dimension ref="A1:H2009"/>
  <sheetViews>
    <sheetView showZeros="0" showOutlineSymbols="0" zoomScaleNormal="100" workbookViewId="0">
      <pane xSplit="1" ySplit="1" topLeftCell="B1289" activePane="bottomRight" state="frozen"/>
      <selection activeCell="C22" sqref="C22"/>
      <selection pane="topRight" activeCell="C22" sqref="C22"/>
      <selection pane="bottomLeft" activeCell="C22" sqref="C22"/>
      <selection pane="bottomRight" activeCell="B1533" sqref="B1533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4" max="4" width="51" customWidth="1"/>
    <col min="6" max="6" width="18.5703125" customWidth="1"/>
  </cols>
  <sheetData>
    <row r="1" spans="1:6" x14ac:dyDescent="0.2">
      <c r="A1" s="179" t="s">
        <v>114</v>
      </c>
      <c r="B1" t="s">
        <v>115</v>
      </c>
      <c r="C1" s="152" t="s">
        <v>1727</v>
      </c>
      <c r="D1" s="152" t="s">
        <v>7886</v>
      </c>
    </row>
    <row r="2" spans="1:6" x14ac:dyDescent="0.2">
      <c r="A2" s="151" t="s">
        <v>884</v>
      </c>
      <c r="B2" s="151" t="str">
        <f>IF(ISBLANK(PatDetails!$B$1),"",PatDetails!$B$1)</f>
        <v/>
      </c>
      <c r="C2" s="289"/>
      <c r="D2" t="str">
        <f>A2&amp;"##"&amp;B2</f>
        <v>__0_PatNum##</v>
      </c>
    </row>
    <row r="3" spans="1:6" x14ac:dyDescent="0.2">
      <c r="A3" s="151" t="s">
        <v>885</v>
      </c>
      <c r="B3" s="151" t="str">
        <f>IF(ISBLANK(PatDetails!$B$2),"",PatDetails!$B$2)</f>
        <v/>
      </c>
      <c r="C3" s="289"/>
      <c r="D3" s="151" t="str">
        <f t="shared" ref="D3:D66" si="0">A3&amp;"##"&amp;B3</f>
        <v>__1_Bed##</v>
      </c>
    </row>
    <row r="4" spans="1:6" x14ac:dyDescent="0.2">
      <c r="A4" s="151" t="s">
        <v>886</v>
      </c>
      <c r="B4" s="151" t="str">
        <f>IF(ISBLANK(PatDetails!$B$3),"",PatDetails!$B$3)</f>
        <v/>
      </c>
      <c r="C4" s="289"/>
      <c r="D4" s="151" t="str">
        <f t="shared" si="0"/>
        <v>__2_AchterNaam##</v>
      </c>
    </row>
    <row r="5" spans="1:6" x14ac:dyDescent="0.2">
      <c r="A5" s="151" t="s">
        <v>887</v>
      </c>
      <c r="B5" s="151" t="str">
        <f>IF(ISBLANK(PatDetails!$B$4),"",PatDetails!$B$4)</f>
        <v/>
      </c>
      <c r="C5" s="289"/>
      <c r="D5" s="151" t="str">
        <f t="shared" si="0"/>
        <v>__3_VoorNaam##</v>
      </c>
    </row>
    <row r="6" spans="1:6" x14ac:dyDescent="0.2">
      <c r="A6" s="151" t="s">
        <v>888</v>
      </c>
      <c r="B6" s="11">
        <f>IF(ISBLANK(PatDetails!$B$5),"",PatDetails!$B$5)</f>
        <v>1462</v>
      </c>
      <c r="C6" s="43">
        <f>EmptyDate()</f>
        <v>1462</v>
      </c>
      <c r="D6" s="151" t="str">
        <f t="shared" si="0"/>
        <v>__4_GebDatum##1462</v>
      </c>
      <c r="E6" s="43"/>
    </row>
    <row r="7" spans="1:6" x14ac:dyDescent="0.2">
      <c r="A7" s="151" t="s">
        <v>5073</v>
      </c>
      <c r="B7" s="151" t="str">
        <f>IF(ISBLANK(GlobBerLab!$B$10),"",GlobBerLab!$B$10)</f>
        <v/>
      </c>
      <c r="C7" s="43"/>
      <c r="D7" s="151" t="str">
        <f t="shared" si="0"/>
        <v>_Glob_Lab_ALAT##</v>
      </c>
    </row>
    <row r="8" spans="1:6" x14ac:dyDescent="0.2">
      <c r="A8" s="151" t="s">
        <v>5074</v>
      </c>
      <c r="B8" s="151" t="str">
        <f>IF(ISBLANK(GlobBerLab!$B$12),"",GlobBerLab!$B$12)</f>
        <v/>
      </c>
      <c r="C8" s="43"/>
      <c r="D8" s="151" t="str">
        <f t="shared" si="0"/>
        <v>_Glob_Lab_Albumine##</v>
      </c>
    </row>
    <row r="9" spans="1:6" x14ac:dyDescent="0.2">
      <c r="A9" s="151" t="s">
        <v>5075</v>
      </c>
      <c r="B9" s="151" t="str">
        <f>IF(ISBLANK(GlobBerLab!$B$9),"",GlobBerLab!$B$9)</f>
        <v/>
      </c>
      <c r="C9" s="43"/>
      <c r="D9" s="151" t="str">
        <f t="shared" si="0"/>
        <v>_Glob_Lab_ASAT##</v>
      </c>
    </row>
    <row r="10" spans="1:6" x14ac:dyDescent="0.2">
      <c r="A10" s="151" t="s">
        <v>5076</v>
      </c>
      <c r="B10" s="151" t="str">
        <f>IF(ISBLANK(GlobBerLab!$B$4),"",GlobBerLab!$B$4)</f>
        <v/>
      </c>
      <c r="C10" s="43"/>
      <c r="D10" s="151" t="str">
        <f t="shared" si="0"/>
        <v>_Glob_Lab_Calcium##</v>
      </c>
    </row>
    <row r="11" spans="1:6" x14ac:dyDescent="0.2">
      <c r="A11" s="151" t="s">
        <v>5077</v>
      </c>
      <c r="B11" s="151" t="str">
        <f>IF(ISBLANK(GlobBerLab!$B$3),"",GlobBerLab!$B$3)</f>
        <v/>
      </c>
      <c r="C11" s="43"/>
      <c r="D11" s="151" t="str">
        <f t="shared" si="0"/>
        <v>_Glob_Lab_Chloride##</v>
      </c>
    </row>
    <row r="12" spans="1:6" x14ac:dyDescent="0.2">
      <c r="A12" s="151" t="s">
        <v>5078</v>
      </c>
      <c r="B12" s="151" t="str">
        <f>IF(ISBLANK(GlobBerLab!$B$8),"",GlobBerLab!$B$8)</f>
        <v/>
      </c>
      <c r="C12" s="43"/>
      <c r="D12" s="151" t="str">
        <f t="shared" si="0"/>
        <v>_Glob_Lab_Creatinine##</v>
      </c>
    </row>
    <row r="13" spans="1:6" x14ac:dyDescent="0.2">
      <c r="A13" s="151" t="s">
        <v>5079</v>
      </c>
      <c r="B13" s="151" t="str">
        <f>IF(ISBLANK(GlobBerLab!$B$6),"",GlobBerLab!$B$6)</f>
        <v/>
      </c>
      <c r="C13" s="43"/>
      <c r="D13" s="151" t="str">
        <f t="shared" si="0"/>
        <v>_Glob_Lab_Fosfaat##</v>
      </c>
      <c r="F13" s="151"/>
    </row>
    <row r="14" spans="1:6" x14ac:dyDescent="0.2">
      <c r="A14" s="151" t="s">
        <v>5080</v>
      </c>
      <c r="B14" s="151" t="str">
        <f>IF(ISBLANK(GlobBerLab!$B$7),"",GlobBerLab!$B$7)</f>
        <v/>
      </c>
      <c r="C14" s="43"/>
      <c r="D14" s="151" t="str">
        <f t="shared" si="0"/>
        <v>_Glob_Lab_Glucose##</v>
      </c>
    </row>
    <row r="15" spans="1:6" x14ac:dyDescent="0.2">
      <c r="A15" s="151" t="s">
        <v>5081</v>
      </c>
      <c r="B15" s="151" t="str">
        <f>IF(ISBLANK(GlobBerLab!$B$14),"",GlobBerLab!$B$14)</f>
        <v/>
      </c>
      <c r="C15" s="43"/>
      <c r="D15" s="151" t="str">
        <f t="shared" si="0"/>
        <v>_Glob_Lab_Ijzer##</v>
      </c>
    </row>
    <row r="16" spans="1:6" x14ac:dyDescent="0.2">
      <c r="A16" s="151" t="s">
        <v>5082</v>
      </c>
      <c r="B16" s="151" t="str">
        <f>IF(ISBLANK(GlobBerLab!$B$2),"",GlobBerLab!$B$2)</f>
        <v/>
      </c>
      <c r="C16" s="43"/>
      <c r="D16" s="151" t="str">
        <f t="shared" si="0"/>
        <v>_Glob_Lab_Kalium##</v>
      </c>
    </row>
    <row r="17" spans="1:4" x14ac:dyDescent="0.2">
      <c r="A17" s="151" t="s">
        <v>5083</v>
      </c>
      <c r="B17" s="151" t="str">
        <f>IF(ISBLANK(GlobBerLab!$B$11),"",GlobBerLab!$B$11)</f>
        <v/>
      </c>
      <c r="C17" s="43"/>
      <c r="D17" s="151" t="str">
        <f t="shared" si="0"/>
        <v>_Glob_Lab_LDH##</v>
      </c>
    </row>
    <row r="18" spans="1:4" x14ac:dyDescent="0.2">
      <c r="A18" s="151" t="s">
        <v>5084</v>
      </c>
      <c r="B18" s="151" t="str">
        <f>IF(ISBLANK(GlobBerLab!$B$5),"",GlobBerLab!$B$5)</f>
        <v/>
      </c>
      <c r="C18" s="43"/>
      <c r="D18" s="151" t="str">
        <f t="shared" si="0"/>
        <v>_Glob_Lab_Magnesium##</v>
      </c>
    </row>
    <row r="19" spans="1:4" x14ac:dyDescent="0.2">
      <c r="A19" s="151" t="s">
        <v>5085</v>
      </c>
      <c r="B19" s="151" t="str">
        <f>IF(ISBLANK(GlobBerLab!$B$1),"",GlobBerLab!$B$1)</f>
        <v/>
      </c>
      <c r="C19" s="43"/>
      <c r="D19" s="151" t="str">
        <f t="shared" si="0"/>
        <v>_Glob_Lab_Natrium##</v>
      </c>
    </row>
    <row r="20" spans="1:4" x14ac:dyDescent="0.2">
      <c r="A20" s="151" t="s">
        <v>5086</v>
      </c>
      <c r="B20" s="151" t="str">
        <f>IF(ISBLANK(GlobBerLab!$B$13),"",GlobBerLab!$B$13)</f>
        <v/>
      </c>
      <c r="C20" s="43"/>
      <c r="D20" s="151" t="str">
        <f t="shared" si="0"/>
        <v>_Glob_Lab_Triglyceriden##</v>
      </c>
    </row>
    <row r="21" spans="1:4" x14ac:dyDescent="0.2">
      <c r="A21" s="151" t="s">
        <v>1728</v>
      </c>
      <c r="B21" t="str">
        <f>IF(ISBLANK(GlobBerMedDisc!$AJ$2),"",GlobBerMedDisc!$AJ$2)</f>
        <v/>
      </c>
      <c r="C21" s="289"/>
      <c r="D21" s="151" t="str">
        <f t="shared" si="0"/>
        <v>_Glob_MedDisc_ATC_01##</v>
      </c>
    </row>
    <row r="22" spans="1:4" x14ac:dyDescent="0.2">
      <c r="A22" s="151" t="s">
        <v>1729</v>
      </c>
      <c r="B22" t="str">
        <f>IF(ISBLANK(GlobBerMedDisc!$AJ$3),"",GlobBerMedDisc!$AJ$3)</f>
        <v/>
      </c>
      <c r="C22" s="289"/>
      <c r="D22" s="151" t="str">
        <f t="shared" si="0"/>
        <v>_Glob_MedDisc_ATC_02##</v>
      </c>
    </row>
    <row r="23" spans="1:4" x14ac:dyDescent="0.2">
      <c r="A23" s="151" t="s">
        <v>1730</v>
      </c>
      <c r="B23" t="str">
        <f>IF(ISBLANK(GlobBerMedDisc!$AJ$4),"",GlobBerMedDisc!$AJ$4)</f>
        <v/>
      </c>
      <c r="C23" s="289"/>
      <c r="D23" s="151" t="str">
        <f t="shared" si="0"/>
        <v>_Glob_MedDisc_ATC_03##</v>
      </c>
    </row>
    <row r="24" spans="1:4" x14ac:dyDescent="0.2">
      <c r="A24" s="151" t="s">
        <v>1731</v>
      </c>
      <c r="B24" t="str">
        <f>IF(ISBLANK(GlobBerMedDisc!$AJ$5),"",GlobBerMedDisc!$AJ$5)</f>
        <v/>
      </c>
      <c r="C24" s="289"/>
      <c r="D24" s="151" t="str">
        <f t="shared" si="0"/>
        <v>_Glob_MedDisc_ATC_04##</v>
      </c>
    </row>
    <row r="25" spans="1:4" x14ac:dyDescent="0.2">
      <c r="A25" s="151" t="s">
        <v>1732</v>
      </c>
      <c r="B25" t="str">
        <f>IF(ISBLANK(GlobBerMedDisc!$AJ$6),"",GlobBerMedDisc!$AJ$6)</f>
        <v/>
      </c>
      <c r="C25" s="289"/>
      <c r="D25" s="151" t="str">
        <f t="shared" si="0"/>
        <v>_Glob_MedDisc_ATC_05##</v>
      </c>
    </row>
    <row r="26" spans="1:4" x14ac:dyDescent="0.2">
      <c r="A26" s="151" t="s">
        <v>1733</v>
      </c>
      <c r="B26" t="str">
        <f>IF(ISBLANK(GlobBerMedDisc!$AJ$7),"",GlobBerMedDisc!$AJ$7)</f>
        <v/>
      </c>
      <c r="C26" s="289"/>
      <c r="D26" s="151" t="str">
        <f t="shared" si="0"/>
        <v>_Glob_MedDisc_ATC_06##</v>
      </c>
    </row>
    <row r="27" spans="1:4" x14ac:dyDescent="0.2">
      <c r="A27" s="151" t="s">
        <v>1734</v>
      </c>
      <c r="B27" t="str">
        <f>IF(ISBLANK(GlobBerMedDisc!$AJ$8),"",GlobBerMedDisc!$AJ$8)</f>
        <v/>
      </c>
      <c r="C27" s="289"/>
      <c r="D27" s="151" t="str">
        <f t="shared" si="0"/>
        <v>_Glob_MedDisc_ATC_07##</v>
      </c>
    </row>
    <row r="28" spans="1:4" x14ac:dyDescent="0.2">
      <c r="A28" s="151" t="s">
        <v>1735</v>
      </c>
      <c r="B28" t="str">
        <f>IF(ISBLANK(GlobBerMedDisc!$AJ$9),"",GlobBerMedDisc!$AJ$9)</f>
        <v/>
      </c>
      <c r="C28" s="289"/>
      <c r="D28" s="151" t="str">
        <f t="shared" si="0"/>
        <v>_Glob_MedDisc_ATC_08##</v>
      </c>
    </row>
    <row r="29" spans="1:4" x14ac:dyDescent="0.2">
      <c r="A29" s="151" t="s">
        <v>1736</v>
      </c>
      <c r="B29" t="str">
        <f>IF(ISBLANK(GlobBerMedDisc!$AJ$10),"",GlobBerMedDisc!$AJ$10)</f>
        <v/>
      </c>
      <c r="C29" s="289"/>
      <c r="D29" s="151" t="str">
        <f t="shared" si="0"/>
        <v>_Glob_MedDisc_ATC_09##</v>
      </c>
    </row>
    <row r="30" spans="1:4" x14ac:dyDescent="0.2">
      <c r="A30" s="151" t="s">
        <v>1737</v>
      </c>
      <c r="B30" t="str">
        <f>IF(ISBLANK(GlobBerMedDisc!$AJ$11),"",GlobBerMedDisc!$AJ$11)</f>
        <v/>
      </c>
      <c r="C30" s="289"/>
      <c r="D30" s="151" t="str">
        <f t="shared" si="0"/>
        <v>_Glob_MedDisc_ATC_10##</v>
      </c>
    </row>
    <row r="31" spans="1:4" x14ac:dyDescent="0.2">
      <c r="A31" s="151" t="s">
        <v>1738</v>
      </c>
      <c r="B31" t="str">
        <f>IF(ISBLANK(GlobBerMedDisc!$AJ$12),"",GlobBerMedDisc!$AJ$12)</f>
        <v/>
      </c>
      <c r="C31" s="289"/>
      <c r="D31" s="151" t="str">
        <f t="shared" si="0"/>
        <v>_Glob_MedDisc_ATC_11##</v>
      </c>
    </row>
    <row r="32" spans="1:4" x14ac:dyDescent="0.2">
      <c r="A32" s="151" t="s">
        <v>1739</v>
      </c>
      <c r="B32" t="str">
        <f>IF(ISBLANK(GlobBerMedDisc!$AJ$13),"",GlobBerMedDisc!$AJ$13)</f>
        <v/>
      </c>
      <c r="C32" s="289"/>
      <c r="D32" s="151" t="str">
        <f t="shared" si="0"/>
        <v>_Glob_MedDisc_ATC_12##</v>
      </c>
    </row>
    <row r="33" spans="1:6" x14ac:dyDescent="0.2">
      <c r="A33" s="151" t="s">
        <v>1740</v>
      </c>
      <c r="B33" t="str">
        <f>IF(ISBLANK(GlobBerMedDisc!$AJ$14),"",GlobBerMedDisc!$AJ$14)</f>
        <v/>
      </c>
      <c r="C33" s="289"/>
      <c r="D33" s="151" t="str">
        <f t="shared" si="0"/>
        <v>_Glob_MedDisc_ATC_13##</v>
      </c>
    </row>
    <row r="34" spans="1:6" x14ac:dyDescent="0.2">
      <c r="A34" s="151" t="s">
        <v>1741</v>
      </c>
      <c r="B34" t="str">
        <f>IF(ISBLANK(GlobBerMedDisc!$AJ$15),"",GlobBerMedDisc!$AJ$15)</f>
        <v/>
      </c>
      <c r="C34" s="289"/>
      <c r="D34" s="151" t="str">
        <f t="shared" si="0"/>
        <v>_Glob_MedDisc_ATC_14##</v>
      </c>
    </row>
    <row r="35" spans="1:6" x14ac:dyDescent="0.2">
      <c r="A35" s="151" t="s">
        <v>1742</v>
      </c>
      <c r="B35" t="str">
        <f>IF(ISBLANK(GlobBerMedDisc!$AJ$16),"",GlobBerMedDisc!$AJ$16)</f>
        <v/>
      </c>
      <c r="C35" s="289"/>
      <c r="D35" s="151" t="str">
        <f t="shared" si="0"/>
        <v>_Glob_MedDisc_ATC_15##</v>
      </c>
    </row>
    <row r="36" spans="1:6" x14ac:dyDescent="0.2">
      <c r="A36" s="151" t="s">
        <v>1743</v>
      </c>
      <c r="B36" t="str">
        <f>IF(ISBLANK(GlobBerMedDisc!$AJ$17),"",GlobBerMedDisc!$AJ$17)</f>
        <v/>
      </c>
      <c r="C36" s="289"/>
      <c r="D36" s="151" t="str">
        <f t="shared" si="0"/>
        <v>_Glob_MedDisc_ATC_16##</v>
      </c>
    </row>
    <row r="37" spans="1:6" x14ac:dyDescent="0.2">
      <c r="A37" s="151" t="s">
        <v>1744</v>
      </c>
      <c r="B37" t="str">
        <f>IF(ISBLANK(GlobBerMedDisc!$AJ$18),"",GlobBerMedDisc!$AJ$18)</f>
        <v/>
      </c>
      <c r="C37" s="289"/>
      <c r="D37" s="151" t="str">
        <f t="shared" si="0"/>
        <v>_Glob_MedDisc_ATC_17##</v>
      </c>
    </row>
    <row r="38" spans="1:6" x14ac:dyDescent="0.2">
      <c r="A38" s="151" t="s">
        <v>1745</v>
      </c>
      <c r="B38" t="str">
        <f>IF(ISBLANK(GlobBerMedDisc!$AJ$19),"",GlobBerMedDisc!$AJ$19)</f>
        <v/>
      </c>
      <c r="C38" s="289"/>
      <c r="D38" s="151" t="str">
        <f t="shared" si="0"/>
        <v>_Glob_MedDisc_ATC_18##</v>
      </c>
    </row>
    <row r="39" spans="1:6" x14ac:dyDescent="0.2">
      <c r="A39" s="151" t="s">
        <v>1746</v>
      </c>
      <c r="B39" t="str">
        <f>IF(ISBLANK(GlobBerMedDisc!$AJ$20),"",GlobBerMedDisc!$AJ$20)</f>
        <v/>
      </c>
      <c r="C39" s="289"/>
      <c r="D39" s="151" t="str">
        <f t="shared" si="0"/>
        <v>_Glob_MedDisc_ATC_19##</v>
      </c>
    </row>
    <row r="40" spans="1:6" x14ac:dyDescent="0.2">
      <c r="A40" s="151" t="s">
        <v>1747</v>
      </c>
      <c r="B40" t="str">
        <f>IF(ISBLANK(GlobBerMedDisc!$AJ$21),"",GlobBerMedDisc!$AJ$21)</f>
        <v/>
      </c>
      <c r="C40" s="289"/>
      <c r="D40" s="151" t="str">
        <f t="shared" si="0"/>
        <v>_Glob_MedDisc_ATC_20##</v>
      </c>
      <c r="F40" s="151"/>
    </row>
    <row r="41" spans="1:6" x14ac:dyDescent="0.2">
      <c r="A41" s="151" t="s">
        <v>1748</v>
      </c>
      <c r="B41" t="str">
        <f>IF(ISBLANK(GlobBerMedDisc!$AJ$22),"",GlobBerMedDisc!$AJ$22)</f>
        <v/>
      </c>
      <c r="C41" s="289"/>
      <c r="D41" s="151" t="str">
        <f t="shared" si="0"/>
        <v>_Glob_MedDisc_ATC_21##</v>
      </c>
    </row>
    <row r="42" spans="1:6" x14ac:dyDescent="0.2">
      <c r="A42" s="151" t="s">
        <v>1749</v>
      </c>
      <c r="B42" t="str">
        <f>IF(ISBLANK(GlobBerMedDisc!$AJ$23),"",GlobBerMedDisc!$AJ$23)</f>
        <v/>
      </c>
      <c r="C42" s="289"/>
      <c r="D42" s="151" t="str">
        <f t="shared" si="0"/>
        <v>_Glob_MedDisc_ATC_22##</v>
      </c>
    </row>
    <row r="43" spans="1:6" x14ac:dyDescent="0.2">
      <c r="A43" s="151" t="s">
        <v>1750</v>
      </c>
      <c r="B43" t="str">
        <f>IF(ISBLANK(GlobBerMedDisc!$AJ$24),"",GlobBerMedDisc!$AJ$24)</f>
        <v/>
      </c>
      <c r="C43" s="289"/>
      <c r="D43" s="151" t="str">
        <f t="shared" si="0"/>
        <v>_Glob_MedDisc_ATC_23##</v>
      </c>
    </row>
    <row r="44" spans="1:6" x14ac:dyDescent="0.2">
      <c r="A44" s="151" t="s">
        <v>1751</v>
      </c>
      <c r="B44" t="str">
        <f>IF(ISBLANK(GlobBerMedDisc!$AJ$25),"",GlobBerMedDisc!$AJ$25)</f>
        <v/>
      </c>
      <c r="C44" s="289"/>
      <c r="D44" s="151" t="str">
        <f t="shared" si="0"/>
        <v>_Glob_MedDisc_ATC_24##</v>
      </c>
    </row>
    <row r="45" spans="1:6" x14ac:dyDescent="0.2">
      <c r="A45" s="151" t="s">
        <v>1752</v>
      </c>
      <c r="B45" t="str">
        <f>IF(ISBLANK(GlobBerMedDisc!$AJ$26),"",GlobBerMedDisc!$AJ$26)</f>
        <v/>
      </c>
      <c r="C45" s="289"/>
      <c r="D45" s="151" t="str">
        <f t="shared" si="0"/>
        <v>_Glob_MedDisc_ATC_25##</v>
      </c>
    </row>
    <row r="46" spans="1:6" x14ac:dyDescent="0.2">
      <c r="A46" s="151" t="s">
        <v>1753</v>
      </c>
      <c r="B46" t="str">
        <f>IF(ISBLANK(GlobBerMedDisc!$AJ$27),"",GlobBerMedDisc!$AJ$27)</f>
        <v/>
      </c>
      <c r="C46" s="289"/>
      <c r="D46" s="151" t="str">
        <f t="shared" si="0"/>
        <v>_Glob_MedDisc_ATC_26##</v>
      </c>
    </row>
    <row r="47" spans="1:6" x14ac:dyDescent="0.2">
      <c r="A47" s="151" t="s">
        <v>1754</v>
      </c>
      <c r="B47" t="str">
        <f>IF(ISBLANK(GlobBerMedDisc!$AJ$28),"",GlobBerMedDisc!$AJ$28)</f>
        <v/>
      </c>
      <c r="C47" s="289"/>
      <c r="D47" s="151" t="str">
        <f t="shared" si="0"/>
        <v>_Glob_MedDisc_ATC_27##</v>
      </c>
    </row>
    <row r="48" spans="1:6" x14ac:dyDescent="0.2">
      <c r="A48" s="151" t="s">
        <v>1755</v>
      </c>
      <c r="B48" t="str">
        <f>IF(ISBLANK(GlobBerMedDisc!$AJ$29),"",GlobBerMedDisc!$AJ$29)</f>
        <v/>
      </c>
      <c r="C48" s="289"/>
      <c r="D48" s="151" t="str">
        <f t="shared" si="0"/>
        <v>_Glob_MedDisc_ATC_28##</v>
      </c>
    </row>
    <row r="49" spans="1:6" x14ac:dyDescent="0.2">
      <c r="A49" s="151" t="s">
        <v>1756</v>
      </c>
      <c r="B49" t="str">
        <f>IF(ISBLANK(GlobBerMedDisc!$AJ$30),"",GlobBerMedDisc!$AJ$30)</f>
        <v/>
      </c>
      <c r="C49" s="289"/>
      <c r="D49" s="151" t="str">
        <f t="shared" si="0"/>
        <v>_Glob_MedDisc_ATC_29##</v>
      </c>
    </row>
    <row r="50" spans="1:6" x14ac:dyDescent="0.2">
      <c r="A50" s="151" t="s">
        <v>1757</v>
      </c>
      <c r="B50" t="str">
        <f>IF(ISBLANK(GlobBerMedDisc!$AJ$31),"",GlobBerMedDisc!$AJ$31)</f>
        <v/>
      </c>
      <c r="C50" s="289"/>
      <c r="D50" s="151" t="str">
        <f t="shared" si="0"/>
        <v>_Glob_MedDisc_ATC_30##</v>
      </c>
    </row>
    <row r="51" spans="1:6" x14ac:dyDescent="0.2">
      <c r="A51" s="151" t="s">
        <v>5295</v>
      </c>
      <c r="B51" s="151" t="str">
        <f>IF(ISBLANK(GlobBerMedDisc!$AU$2),"",GlobBerMedDisc!$AU$2)</f>
        <v/>
      </c>
      <c r="C51" s="289"/>
      <c r="D51" s="151" t="str">
        <f t="shared" si="0"/>
        <v>_Glob_MedDisc_Boven_01##</v>
      </c>
      <c r="E51" s="151"/>
      <c r="F51" s="151"/>
    </row>
    <row r="52" spans="1:6" x14ac:dyDescent="0.2">
      <c r="A52" s="151" t="s">
        <v>5297</v>
      </c>
      <c r="B52" s="151" t="str">
        <f>IF(ISBLANK(GlobBerMedDisc!$AU$3),"",GlobBerMedDisc!$AU$3)</f>
        <v/>
      </c>
      <c r="C52" s="289"/>
      <c r="D52" s="151" t="str">
        <f t="shared" si="0"/>
        <v>_Glob_MedDisc_Boven_02##</v>
      </c>
      <c r="E52" s="151"/>
      <c r="F52" s="151"/>
    </row>
    <row r="53" spans="1:6" x14ac:dyDescent="0.2">
      <c r="A53" s="151" t="s">
        <v>5299</v>
      </c>
      <c r="B53" s="151" t="str">
        <f>IF(ISBLANK(GlobBerMedDisc!$AU$4),"",GlobBerMedDisc!$AU$4)</f>
        <v/>
      </c>
      <c r="C53" s="289"/>
      <c r="D53" s="151" t="str">
        <f t="shared" si="0"/>
        <v>_Glob_MedDisc_Boven_03##</v>
      </c>
      <c r="E53" s="151"/>
      <c r="F53" s="151"/>
    </row>
    <row r="54" spans="1:6" x14ac:dyDescent="0.2">
      <c r="A54" s="151" t="s">
        <v>5301</v>
      </c>
      <c r="B54" s="151" t="str">
        <f>IF(ISBLANK(GlobBerMedDisc!$AU$5),"",GlobBerMedDisc!$AU$5)</f>
        <v/>
      </c>
      <c r="C54" s="289"/>
      <c r="D54" s="151" t="str">
        <f t="shared" si="0"/>
        <v>_Glob_MedDisc_Boven_04##</v>
      </c>
      <c r="E54" s="151"/>
      <c r="F54" s="151"/>
    </row>
    <row r="55" spans="1:6" x14ac:dyDescent="0.2">
      <c r="A55" s="151" t="s">
        <v>5303</v>
      </c>
      <c r="B55" s="151" t="str">
        <f>IF(ISBLANK(GlobBerMedDisc!$AU$6),"",GlobBerMedDisc!$AU$6)</f>
        <v/>
      </c>
      <c r="C55" s="289"/>
      <c r="D55" s="151" t="str">
        <f t="shared" si="0"/>
        <v>_Glob_MedDisc_Boven_05##</v>
      </c>
      <c r="E55" s="151"/>
      <c r="F55" s="151"/>
    </row>
    <row r="56" spans="1:6" x14ac:dyDescent="0.2">
      <c r="A56" s="151" t="s">
        <v>5305</v>
      </c>
      <c r="B56" s="151" t="str">
        <f>IF(ISBLANK(GlobBerMedDisc!$AU$7),"",GlobBerMedDisc!$AU$7)</f>
        <v/>
      </c>
      <c r="C56" s="289"/>
      <c r="D56" s="151" t="str">
        <f t="shared" si="0"/>
        <v>_Glob_MedDisc_Boven_06##</v>
      </c>
      <c r="E56" s="151"/>
      <c r="F56" s="151"/>
    </row>
    <row r="57" spans="1:6" x14ac:dyDescent="0.2">
      <c r="A57" s="151" t="s">
        <v>5307</v>
      </c>
      <c r="B57" s="151" t="str">
        <f>IF(ISBLANK(GlobBerMedDisc!$AU$8),"",GlobBerMedDisc!$AU$8)</f>
        <v/>
      </c>
      <c r="C57" s="289"/>
      <c r="D57" s="151" t="str">
        <f t="shared" si="0"/>
        <v>_Glob_MedDisc_Boven_07##</v>
      </c>
      <c r="E57" s="151"/>
      <c r="F57" s="151"/>
    </row>
    <row r="58" spans="1:6" x14ac:dyDescent="0.2">
      <c r="A58" s="151" t="s">
        <v>5309</v>
      </c>
      <c r="B58" s="151" t="str">
        <f>IF(ISBLANK(GlobBerMedDisc!$AU$9),"",GlobBerMedDisc!$AU$9)</f>
        <v/>
      </c>
      <c r="C58" s="289"/>
      <c r="D58" s="151" t="str">
        <f t="shared" si="0"/>
        <v>_Glob_MedDisc_Boven_08##</v>
      </c>
      <c r="E58" s="151"/>
      <c r="F58" s="151"/>
    </row>
    <row r="59" spans="1:6" x14ac:dyDescent="0.2">
      <c r="A59" s="151" t="s">
        <v>5311</v>
      </c>
      <c r="B59" s="151" t="str">
        <f>IF(ISBLANK(GlobBerMedDisc!$AU$10),"",GlobBerMedDisc!$AU$10)</f>
        <v/>
      </c>
      <c r="C59" s="289"/>
      <c r="D59" s="151" t="str">
        <f t="shared" si="0"/>
        <v>_Glob_MedDisc_Boven_09##</v>
      </c>
      <c r="E59" s="151"/>
      <c r="F59" s="151"/>
    </row>
    <row r="60" spans="1:6" x14ac:dyDescent="0.2">
      <c r="A60" s="151" t="s">
        <v>5313</v>
      </c>
      <c r="B60" s="151" t="str">
        <f>IF(ISBLANK(GlobBerMedDisc!$AU$11),"",GlobBerMedDisc!$AU$11)</f>
        <v/>
      </c>
      <c r="C60" s="289"/>
      <c r="D60" s="151" t="str">
        <f t="shared" si="0"/>
        <v>_Glob_MedDisc_Boven_10##</v>
      </c>
      <c r="E60" s="151"/>
      <c r="F60" s="151"/>
    </row>
    <row r="61" spans="1:6" x14ac:dyDescent="0.2">
      <c r="A61" s="151" t="s">
        <v>5315</v>
      </c>
      <c r="B61" s="151" t="str">
        <f>IF(ISBLANK(GlobBerMedDisc!$AU$12),"",GlobBerMedDisc!$AU$12)</f>
        <v/>
      </c>
      <c r="C61" s="289"/>
      <c r="D61" s="151" t="str">
        <f t="shared" si="0"/>
        <v>_Glob_MedDisc_Boven_11##</v>
      </c>
      <c r="E61" s="151"/>
      <c r="F61" s="151"/>
    </row>
    <row r="62" spans="1:6" x14ac:dyDescent="0.2">
      <c r="A62" s="151" t="s">
        <v>5317</v>
      </c>
      <c r="B62" s="151" t="str">
        <f>IF(ISBLANK(GlobBerMedDisc!$AU$13),"",GlobBerMedDisc!$AU$13)</f>
        <v/>
      </c>
      <c r="C62" s="289"/>
      <c r="D62" s="151" t="str">
        <f t="shared" si="0"/>
        <v>_Glob_MedDisc_Boven_12##</v>
      </c>
      <c r="E62" s="151"/>
      <c r="F62" s="151"/>
    </row>
    <row r="63" spans="1:6" x14ac:dyDescent="0.2">
      <c r="A63" s="151" t="s">
        <v>5319</v>
      </c>
      <c r="B63" s="151" t="str">
        <f>IF(ISBLANK(GlobBerMedDisc!$AU$14),"",GlobBerMedDisc!$AU$14)</f>
        <v/>
      </c>
      <c r="C63" s="289"/>
      <c r="D63" s="151" t="str">
        <f t="shared" si="0"/>
        <v>_Glob_MedDisc_Boven_13##</v>
      </c>
      <c r="E63" s="151"/>
      <c r="F63" s="151"/>
    </row>
    <row r="64" spans="1:6" x14ac:dyDescent="0.2">
      <c r="A64" s="151" t="s">
        <v>5321</v>
      </c>
      <c r="B64" s="151" t="str">
        <f>IF(ISBLANK(GlobBerMedDisc!$AU$15),"",GlobBerMedDisc!$AU$15)</f>
        <v/>
      </c>
      <c r="C64" s="289"/>
      <c r="D64" s="151" t="str">
        <f t="shared" si="0"/>
        <v>_Glob_MedDisc_Boven_14##</v>
      </c>
      <c r="E64" s="151"/>
      <c r="F64" s="151"/>
    </row>
    <row r="65" spans="1:6" x14ac:dyDescent="0.2">
      <c r="A65" s="151" t="s">
        <v>5323</v>
      </c>
      <c r="B65" s="151" t="str">
        <f>IF(ISBLANK(GlobBerMedDisc!$AU$16),"",GlobBerMedDisc!$AU$16)</f>
        <v/>
      </c>
      <c r="C65" s="289"/>
      <c r="D65" s="151" t="str">
        <f t="shared" si="0"/>
        <v>_Glob_MedDisc_Boven_15##</v>
      </c>
      <c r="E65" s="151"/>
      <c r="F65" s="151"/>
    </row>
    <row r="66" spans="1:6" x14ac:dyDescent="0.2">
      <c r="A66" s="151" t="s">
        <v>5325</v>
      </c>
      <c r="B66" s="151" t="str">
        <f>IF(ISBLANK(GlobBerMedDisc!$AU$17),"",GlobBerMedDisc!$AU$17)</f>
        <v/>
      </c>
      <c r="C66" s="289"/>
      <c r="D66" s="151" t="str">
        <f t="shared" si="0"/>
        <v>_Glob_MedDisc_Boven_16##</v>
      </c>
      <c r="E66" s="151"/>
      <c r="F66" s="151"/>
    </row>
    <row r="67" spans="1:6" x14ac:dyDescent="0.2">
      <c r="A67" s="151" t="s">
        <v>5327</v>
      </c>
      <c r="B67" s="151" t="str">
        <f>IF(ISBLANK(GlobBerMedDisc!$AU$18),"",GlobBerMedDisc!$AU$18)</f>
        <v/>
      </c>
      <c r="C67" s="289"/>
      <c r="D67" s="151" t="str">
        <f t="shared" ref="D67:D130" si="1">A67&amp;"##"&amp;B67</f>
        <v>_Glob_MedDisc_Boven_17##</v>
      </c>
      <c r="E67" s="151"/>
      <c r="F67" s="151"/>
    </row>
    <row r="68" spans="1:6" x14ac:dyDescent="0.2">
      <c r="A68" s="151" t="s">
        <v>5329</v>
      </c>
      <c r="B68" s="151" t="str">
        <f>IF(ISBLANK(GlobBerMedDisc!$AU$19),"",GlobBerMedDisc!$AU$19)</f>
        <v/>
      </c>
      <c r="C68" s="289"/>
      <c r="D68" s="151" t="str">
        <f t="shared" si="1"/>
        <v>_Glob_MedDisc_Boven_18##</v>
      </c>
      <c r="E68" s="151"/>
      <c r="F68" s="151"/>
    </row>
    <row r="69" spans="1:6" x14ac:dyDescent="0.2">
      <c r="A69" s="151" t="s">
        <v>5331</v>
      </c>
      <c r="B69" s="151" t="str">
        <f>IF(ISBLANK(GlobBerMedDisc!$AU$20),"",GlobBerMedDisc!$AU$20)</f>
        <v/>
      </c>
      <c r="C69" s="289"/>
      <c r="D69" s="151" t="str">
        <f t="shared" si="1"/>
        <v>_Glob_MedDisc_Boven_19##</v>
      </c>
      <c r="E69" s="151"/>
      <c r="F69" s="151"/>
    </row>
    <row r="70" spans="1:6" x14ac:dyDescent="0.2">
      <c r="A70" s="151" t="s">
        <v>5333</v>
      </c>
      <c r="B70" s="151" t="str">
        <f>IF(ISBLANK(GlobBerMedDisc!$AU$21),"",GlobBerMedDisc!$AU$21)</f>
        <v/>
      </c>
      <c r="C70" s="289"/>
      <c r="D70" s="151" t="str">
        <f t="shared" si="1"/>
        <v>_Glob_MedDisc_Boven_20##</v>
      </c>
      <c r="E70" s="151"/>
      <c r="F70" s="151"/>
    </row>
    <row r="71" spans="1:6" x14ac:dyDescent="0.2">
      <c r="A71" s="151" t="s">
        <v>5335</v>
      </c>
      <c r="B71" s="151" t="str">
        <f>IF(ISBLANK(GlobBerMedDisc!$AU$22),"",GlobBerMedDisc!$AU$22)</f>
        <v/>
      </c>
      <c r="C71" s="289"/>
      <c r="D71" s="151" t="str">
        <f t="shared" si="1"/>
        <v>_Glob_MedDisc_Boven_21##</v>
      </c>
      <c r="E71" s="151"/>
      <c r="F71" s="151"/>
    </row>
    <row r="72" spans="1:6" x14ac:dyDescent="0.2">
      <c r="A72" s="151" t="s">
        <v>5337</v>
      </c>
      <c r="B72" s="151" t="str">
        <f>IF(ISBLANK(GlobBerMedDisc!$AU$23),"",GlobBerMedDisc!$AU$23)</f>
        <v/>
      </c>
      <c r="C72" s="289"/>
      <c r="D72" s="151" t="str">
        <f t="shared" si="1"/>
        <v>_Glob_MedDisc_Boven_22##</v>
      </c>
      <c r="E72" s="151"/>
      <c r="F72" s="151"/>
    </row>
    <row r="73" spans="1:6" x14ac:dyDescent="0.2">
      <c r="A73" s="151" t="s">
        <v>5339</v>
      </c>
      <c r="B73" s="151" t="str">
        <f>IF(ISBLANK(GlobBerMedDisc!$AU$24),"",GlobBerMedDisc!$AU$24)</f>
        <v/>
      </c>
      <c r="C73" s="289"/>
      <c r="D73" s="151" t="str">
        <f t="shared" si="1"/>
        <v>_Glob_MedDisc_Boven_23##</v>
      </c>
      <c r="E73" s="151"/>
      <c r="F73" s="151"/>
    </row>
    <row r="74" spans="1:6" x14ac:dyDescent="0.2">
      <c r="A74" s="151" t="s">
        <v>5341</v>
      </c>
      <c r="B74" s="151" t="str">
        <f>IF(ISBLANK(GlobBerMedDisc!$AU$25),"",GlobBerMedDisc!$AU$25)</f>
        <v/>
      </c>
      <c r="C74" s="289"/>
      <c r="D74" s="151" t="str">
        <f t="shared" si="1"/>
        <v>_Glob_MedDisc_Boven_24##</v>
      </c>
      <c r="E74" s="151"/>
      <c r="F74" s="151"/>
    </row>
    <row r="75" spans="1:6" x14ac:dyDescent="0.2">
      <c r="A75" s="151" t="s">
        <v>5343</v>
      </c>
      <c r="B75" s="151" t="str">
        <f>IF(ISBLANK(GlobBerMedDisc!$AU$26),"",GlobBerMedDisc!$AU$26)</f>
        <v/>
      </c>
      <c r="C75" s="289"/>
      <c r="D75" s="151" t="str">
        <f t="shared" si="1"/>
        <v>_Glob_MedDisc_Boven_25##</v>
      </c>
      <c r="E75" s="151"/>
      <c r="F75" s="151"/>
    </row>
    <row r="76" spans="1:6" x14ac:dyDescent="0.2">
      <c r="A76" s="151" t="s">
        <v>5345</v>
      </c>
      <c r="B76" s="151" t="str">
        <f>IF(ISBLANK(GlobBerMedDisc!$AU$27),"",GlobBerMedDisc!$AU$27)</f>
        <v/>
      </c>
      <c r="C76" s="289"/>
      <c r="D76" s="151" t="str">
        <f t="shared" si="1"/>
        <v>_Glob_MedDisc_Boven_26##</v>
      </c>
      <c r="E76" s="151"/>
      <c r="F76" s="151"/>
    </row>
    <row r="77" spans="1:6" x14ac:dyDescent="0.2">
      <c r="A77" s="151" t="s">
        <v>5347</v>
      </c>
      <c r="B77" s="151" t="str">
        <f>IF(ISBLANK(GlobBerMedDisc!$AU$28),"",GlobBerMedDisc!$AU$28)</f>
        <v/>
      </c>
      <c r="C77" s="289"/>
      <c r="D77" s="151" t="str">
        <f t="shared" si="1"/>
        <v>_Glob_MedDisc_Boven_27##</v>
      </c>
      <c r="E77" s="151"/>
      <c r="F77" s="151"/>
    </row>
    <row r="78" spans="1:6" x14ac:dyDescent="0.2">
      <c r="A78" s="151" t="s">
        <v>5349</v>
      </c>
      <c r="B78" s="151" t="str">
        <f>IF(ISBLANK(GlobBerMedDisc!$AU$29),"",GlobBerMedDisc!$AU$29)</f>
        <v/>
      </c>
      <c r="C78" s="289"/>
      <c r="D78" s="151" t="str">
        <f t="shared" si="1"/>
        <v>_Glob_MedDisc_Boven_28##</v>
      </c>
      <c r="E78" s="151"/>
      <c r="F78" s="151"/>
    </row>
    <row r="79" spans="1:6" x14ac:dyDescent="0.2">
      <c r="A79" s="151" t="s">
        <v>5351</v>
      </c>
      <c r="B79" s="151" t="str">
        <f>IF(ISBLANK(GlobBerMedDisc!$AU$30),"",GlobBerMedDisc!$AU$30)</f>
        <v/>
      </c>
      <c r="C79" s="289"/>
      <c r="D79" s="151" t="str">
        <f t="shared" si="1"/>
        <v>_Glob_MedDisc_Boven_29##</v>
      </c>
      <c r="E79" s="151"/>
      <c r="F79" s="151"/>
    </row>
    <row r="80" spans="1:6" x14ac:dyDescent="0.2">
      <c r="A80" s="151" t="s">
        <v>5353</v>
      </c>
      <c r="B80" s="151" t="str">
        <f>IF(ISBLANK(GlobBerMedDisc!$AU$31),"",GlobBerMedDisc!$AU$31)</f>
        <v/>
      </c>
      <c r="C80" s="289"/>
      <c r="D80" s="151" t="str">
        <f t="shared" si="1"/>
        <v>_Glob_MedDisc_Boven_30##</v>
      </c>
      <c r="E80" s="151"/>
      <c r="F80" s="151"/>
    </row>
    <row r="81" spans="1:4" x14ac:dyDescent="0.2">
      <c r="A81" s="151" t="s">
        <v>1758</v>
      </c>
      <c r="B81" t="str">
        <f>IF(ISBLANK(GlobBerMedDisc!$F$2),"",GlobBerMedDisc!$F$2)</f>
        <v/>
      </c>
      <c r="C81" s="289"/>
      <c r="D81" s="151" t="str">
        <f t="shared" si="1"/>
        <v>_Glob_MedDisc_DoseEenh_01##</v>
      </c>
    </row>
    <row r="82" spans="1:4" x14ac:dyDescent="0.2">
      <c r="A82" s="151" t="s">
        <v>1759</v>
      </c>
      <c r="B82" t="str">
        <f>IF(ISBLANK(GlobBerMedDisc!$F$3),"",GlobBerMedDisc!$F$3)</f>
        <v/>
      </c>
      <c r="C82" s="289"/>
      <c r="D82" s="151" t="str">
        <f t="shared" si="1"/>
        <v>_Glob_MedDisc_DoseEenh_02##</v>
      </c>
    </row>
    <row r="83" spans="1:4" x14ac:dyDescent="0.2">
      <c r="A83" s="151" t="s">
        <v>1760</v>
      </c>
      <c r="B83" t="str">
        <f>IF(ISBLANK(GlobBerMedDisc!$F$4),"",GlobBerMedDisc!$F$4)</f>
        <v/>
      </c>
      <c r="C83" s="289"/>
      <c r="D83" s="151" t="str">
        <f t="shared" si="1"/>
        <v>_Glob_MedDisc_DoseEenh_03##</v>
      </c>
    </row>
    <row r="84" spans="1:4" x14ac:dyDescent="0.2">
      <c r="A84" s="151" t="s">
        <v>1761</v>
      </c>
      <c r="B84" t="str">
        <f>IF(ISBLANK(GlobBerMedDisc!$F$5),"",GlobBerMedDisc!$F$5)</f>
        <v/>
      </c>
      <c r="C84" s="289"/>
      <c r="D84" s="151" t="str">
        <f t="shared" si="1"/>
        <v>_Glob_MedDisc_DoseEenh_04##</v>
      </c>
    </row>
    <row r="85" spans="1:4" x14ac:dyDescent="0.2">
      <c r="A85" s="151" t="s">
        <v>1762</v>
      </c>
      <c r="B85" t="str">
        <f>IF(ISBLANK(GlobBerMedDisc!$F$6),"",GlobBerMedDisc!$F$6)</f>
        <v/>
      </c>
      <c r="C85" s="289"/>
      <c r="D85" s="151" t="str">
        <f t="shared" si="1"/>
        <v>_Glob_MedDisc_DoseEenh_05##</v>
      </c>
    </row>
    <row r="86" spans="1:4" x14ac:dyDescent="0.2">
      <c r="A86" s="151" t="s">
        <v>1763</v>
      </c>
      <c r="B86" t="str">
        <f>IF(ISBLANK(GlobBerMedDisc!$F$7),"",GlobBerMedDisc!$F$7)</f>
        <v/>
      </c>
      <c r="C86" s="289"/>
      <c r="D86" s="151" t="str">
        <f t="shared" si="1"/>
        <v>_Glob_MedDisc_DoseEenh_06##</v>
      </c>
    </row>
    <row r="87" spans="1:4" x14ac:dyDescent="0.2">
      <c r="A87" s="151" t="s">
        <v>1764</v>
      </c>
      <c r="B87" t="str">
        <f>IF(ISBLANK(GlobBerMedDisc!$F$8),"",GlobBerMedDisc!$F$8)</f>
        <v/>
      </c>
      <c r="C87" s="289"/>
      <c r="D87" s="151" t="str">
        <f t="shared" si="1"/>
        <v>_Glob_MedDisc_DoseEenh_07##</v>
      </c>
    </row>
    <row r="88" spans="1:4" x14ac:dyDescent="0.2">
      <c r="A88" s="151" t="s">
        <v>1765</v>
      </c>
      <c r="B88" t="str">
        <f>IF(ISBLANK(GlobBerMedDisc!$F$9),"",GlobBerMedDisc!$F$9)</f>
        <v/>
      </c>
      <c r="C88" s="289"/>
      <c r="D88" s="151" t="str">
        <f t="shared" si="1"/>
        <v>_Glob_MedDisc_DoseEenh_08##</v>
      </c>
    </row>
    <row r="89" spans="1:4" x14ac:dyDescent="0.2">
      <c r="A89" s="151" t="s">
        <v>1766</v>
      </c>
      <c r="B89" t="str">
        <f>IF(ISBLANK(GlobBerMedDisc!$F$10),"",GlobBerMedDisc!$F$10)</f>
        <v/>
      </c>
      <c r="C89" s="289"/>
      <c r="D89" s="151" t="str">
        <f t="shared" si="1"/>
        <v>_Glob_MedDisc_DoseEenh_09##</v>
      </c>
    </row>
    <row r="90" spans="1:4" x14ac:dyDescent="0.2">
      <c r="A90" s="151" t="s">
        <v>1767</v>
      </c>
      <c r="B90" t="str">
        <f>IF(ISBLANK(GlobBerMedDisc!$F$11),"",GlobBerMedDisc!$F$11)</f>
        <v/>
      </c>
      <c r="C90" s="289"/>
      <c r="D90" s="151" t="str">
        <f t="shared" si="1"/>
        <v>_Glob_MedDisc_DoseEenh_10##</v>
      </c>
    </row>
    <row r="91" spans="1:4" x14ac:dyDescent="0.2">
      <c r="A91" s="151" t="s">
        <v>1768</v>
      </c>
      <c r="B91" t="str">
        <f>IF(ISBLANK(GlobBerMedDisc!$F$12),"",GlobBerMedDisc!$F$12)</f>
        <v/>
      </c>
      <c r="C91" s="289"/>
      <c r="D91" s="151" t="str">
        <f t="shared" si="1"/>
        <v>_Glob_MedDisc_DoseEenh_11##</v>
      </c>
    </row>
    <row r="92" spans="1:4" x14ac:dyDescent="0.2">
      <c r="A92" s="151" t="s">
        <v>1769</v>
      </c>
      <c r="B92" t="str">
        <f>IF(ISBLANK(GlobBerMedDisc!$F$13),"",GlobBerMedDisc!$F$13)</f>
        <v/>
      </c>
      <c r="C92" s="289"/>
      <c r="D92" s="151" t="str">
        <f t="shared" si="1"/>
        <v>_Glob_MedDisc_DoseEenh_12##</v>
      </c>
    </row>
    <row r="93" spans="1:4" x14ac:dyDescent="0.2">
      <c r="A93" s="151" t="s">
        <v>1770</v>
      </c>
      <c r="B93" t="str">
        <f>IF(ISBLANK(GlobBerMedDisc!$F$14),"",GlobBerMedDisc!$F$14)</f>
        <v/>
      </c>
      <c r="C93" s="289"/>
      <c r="D93" s="151" t="str">
        <f t="shared" si="1"/>
        <v>_Glob_MedDisc_DoseEenh_13##</v>
      </c>
    </row>
    <row r="94" spans="1:4" x14ac:dyDescent="0.2">
      <c r="A94" s="151" t="s">
        <v>1771</v>
      </c>
      <c r="B94" t="str">
        <f>IF(ISBLANK(GlobBerMedDisc!$F$15),"",GlobBerMedDisc!$F$15)</f>
        <v/>
      </c>
      <c r="C94" s="289"/>
      <c r="D94" s="151" t="str">
        <f t="shared" si="1"/>
        <v>_Glob_MedDisc_DoseEenh_14##</v>
      </c>
    </row>
    <row r="95" spans="1:4" x14ac:dyDescent="0.2">
      <c r="A95" s="151" t="s">
        <v>1772</v>
      </c>
      <c r="B95" t="str">
        <f>IF(ISBLANK(GlobBerMedDisc!$F$16),"",GlobBerMedDisc!$F$16)</f>
        <v/>
      </c>
      <c r="C95" s="289"/>
      <c r="D95" s="151" t="str">
        <f t="shared" si="1"/>
        <v>_Glob_MedDisc_DoseEenh_15##</v>
      </c>
    </row>
    <row r="96" spans="1:4" x14ac:dyDescent="0.2">
      <c r="A96" s="151" t="s">
        <v>1773</v>
      </c>
      <c r="B96" t="str">
        <f>IF(ISBLANK(GlobBerMedDisc!$F$17),"",GlobBerMedDisc!$F$17)</f>
        <v/>
      </c>
      <c r="C96" s="289"/>
      <c r="D96" s="151" t="str">
        <f t="shared" si="1"/>
        <v>_Glob_MedDisc_DoseEenh_16##</v>
      </c>
    </row>
    <row r="97" spans="1:4" x14ac:dyDescent="0.2">
      <c r="A97" s="151" t="s">
        <v>1774</v>
      </c>
      <c r="B97" t="str">
        <f>IF(ISBLANK(GlobBerMedDisc!$F$18),"",GlobBerMedDisc!$F$18)</f>
        <v/>
      </c>
      <c r="C97" s="289"/>
      <c r="D97" s="151" t="str">
        <f t="shared" si="1"/>
        <v>_Glob_MedDisc_DoseEenh_17##</v>
      </c>
    </row>
    <row r="98" spans="1:4" x14ac:dyDescent="0.2">
      <c r="A98" s="151" t="s">
        <v>1775</v>
      </c>
      <c r="B98" t="str">
        <f>IF(ISBLANK(GlobBerMedDisc!$F$19),"",GlobBerMedDisc!$F$19)</f>
        <v/>
      </c>
      <c r="C98" s="289"/>
      <c r="D98" s="151" t="str">
        <f t="shared" si="1"/>
        <v>_Glob_MedDisc_DoseEenh_18##</v>
      </c>
    </row>
    <row r="99" spans="1:4" x14ac:dyDescent="0.2">
      <c r="A99" s="151" t="s">
        <v>1776</v>
      </c>
      <c r="B99" t="str">
        <f>IF(ISBLANK(GlobBerMedDisc!$F$20),"",GlobBerMedDisc!$F$20)</f>
        <v/>
      </c>
      <c r="C99" s="289"/>
      <c r="D99" s="151" t="str">
        <f t="shared" si="1"/>
        <v>_Glob_MedDisc_DoseEenh_19##</v>
      </c>
    </row>
    <row r="100" spans="1:4" x14ac:dyDescent="0.2">
      <c r="A100" s="151" t="s">
        <v>1777</v>
      </c>
      <c r="B100" t="str">
        <f>IF(ISBLANK(GlobBerMedDisc!$F$21),"",GlobBerMedDisc!$F$21)</f>
        <v/>
      </c>
      <c r="C100" s="289"/>
      <c r="D100" s="151" t="str">
        <f t="shared" si="1"/>
        <v>_Glob_MedDisc_DoseEenh_20##</v>
      </c>
    </row>
    <row r="101" spans="1:4" x14ac:dyDescent="0.2">
      <c r="A101" s="151" t="s">
        <v>1778</v>
      </c>
      <c r="B101" t="str">
        <f>IF(ISBLANK(GlobBerMedDisc!$F$22),"",GlobBerMedDisc!$F$22)</f>
        <v/>
      </c>
      <c r="C101" s="289"/>
      <c r="D101" s="151" t="str">
        <f t="shared" si="1"/>
        <v>_Glob_MedDisc_DoseEenh_21##</v>
      </c>
    </row>
    <row r="102" spans="1:4" x14ac:dyDescent="0.2">
      <c r="A102" s="151" t="s">
        <v>1779</v>
      </c>
      <c r="B102" t="str">
        <f>IF(ISBLANK(GlobBerMedDisc!$F$23),"",GlobBerMedDisc!$F$23)</f>
        <v/>
      </c>
      <c r="C102" s="289"/>
      <c r="D102" s="151" t="str">
        <f t="shared" si="1"/>
        <v>_Glob_MedDisc_DoseEenh_22##</v>
      </c>
    </row>
    <row r="103" spans="1:4" x14ac:dyDescent="0.2">
      <c r="A103" s="151" t="s">
        <v>1780</v>
      </c>
      <c r="B103" t="str">
        <f>IF(ISBLANK(GlobBerMedDisc!$F$24),"",GlobBerMedDisc!$F$24)</f>
        <v/>
      </c>
      <c r="C103" s="289"/>
      <c r="D103" s="151" t="str">
        <f t="shared" si="1"/>
        <v>_Glob_MedDisc_DoseEenh_23##</v>
      </c>
    </row>
    <row r="104" spans="1:4" x14ac:dyDescent="0.2">
      <c r="A104" s="151" t="s">
        <v>1781</v>
      </c>
      <c r="B104" t="str">
        <f>IF(ISBLANK(GlobBerMedDisc!$F$25),"",GlobBerMedDisc!$F$25)</f>
        <v/>
      </c>
      <c r="C104" s="289"/>
      <c r="D104" s="151" t="str">
        <f t="shared" si="1"/>
        <v>_Glob_MedDisc_DoseEenh_24##</v>
      </c>
    </row>
    <row r="105" spans="1:4" x14ac:dyDescent="0.2">
      <c r="A105" s="151" t="s">
        <v>1782</v>
      </c>
      <c r="B105" t="str">
        <f>IF(ISBLANK(GlobBerMedDisc!$F$26),"",GlobBerMedDisc!$F$26)</f>
        <v/>
      </c>
      <c r="C105" s="289"/>
      <c r="D105" s="151" t="str">
        <f t="shared" si="1"/>
        <v>_Glob_MedDisc_DoseEenh_25##</v>
      </c>
    </row>
    <row r="106" spans="1:4" x14ac:dyDescent="0.2">
      <c r="A106" s="151" t="s">
        <v>1783</v>
      </c>
      <c r="B106" t="str">
        <f>IF(ISBLANK(GlobBerMedDisc!$F$27),"",GlobBerMedDisc!$F$27)</f>
        <v/>
      </c>
      <c r="C106" s="289"/>
      <c r="D106" s="151" t="str">
        <f t="shared" si="1"/>
        <v>_Glob_MedDisc_DoseEenh_26##</v>
      </c>
    </row>
    <row r="107" spans="1:4" x14ac:dyDescent="0.2">
      <c r="A107" s="151" t="s">
        <v>1784</v>
      </c>
      <c r="B107" t="str">
        <f>IF(ISBLANK(GlobBerMedDisc!$F$28),"",GlobBerMedDisc!$F$28)</f>
        <v/>
      </c>
      <c r="C107" s="289"/>
      <c r="D107" s="151" t="str">
        <f t="shared" si="1"/>
        <v>_Glob_MedDisc_DoseEenh_27##</v>
      </c>
    </row>
    <row r="108" spans="1:4" x14ac:dyDescent="0.2">
      <c r="A108" s="151" t="s">
        <v>1785</v>
      </c>
      <c r="B108" t="str">
        <f>IF(ISBLANK(GlobBerMedDisc!$F$29),"",GlobBerMedDisc!$F$29)</f>
        <v/>
      </c>
      <c r="C108" s="289"/>
      <c r="D108" s="151" t="str">
        <f t="shared" si="1"/>
        <v>_Glob_MedDisc_DoseEenh_28##</v>
      </c>
    </row>
    <row r="109" spans="1:4" x14ac:dyDescent="0.2">
      <c r="A109" s="151" t="s">
        <v>1786</v>
      </c>
      <c r="B109" t="str">
        <f>IF(ISBLANK(GlobBerMedDisc!$F$30),"",GlobBerMedDisc!$F$30)</f>
        <v/>
      </c>
      <c r="C109" s="289"/>
      <c r="D109" s="151" t="str">
        <f t="shared" si="1"/>
        <v>_Glob_MedDisc_DoseEenh_29##</v>
      </c>
    </row>
    <row r="110" spans="1:4" x14ac:dyDescent="0.2">
      <c r="A110" s="151" t="s">
        <v>1787</v>
      </c>
      <c r="B110" t="str">
        <f>IF(ISBLANK(GlobBerMedDisc!$F$31),"",GlobBerMedDisc!$F$31)</f>
        <v/>
      </c>
      <c r="C110" s="289"/>
      <c r="D110" s="151" t="str">
        <f t="shared" si="1"/>
        <v>_Glob_MedDisc_DoseEenh_30##</v>
      </c>
    </row>
    <row r="111" spans="1:4" x14ac:dyDescent="0.2">
      <c r="A111" s="151" t="s">
        <v>1788</v>
      </c>
      <c r="B111">
        <f>IF(ISBLANK(GlobBerMedDisc!$G$2),"",GlobBerMedDisc!$G$2)</f>
        <v>0</v>
      </c>
      <c r="C111" s="153">
        <v>0</v>
      </c>
      <c r="D111" s="151" t="str">
        <f t="shared" si="1"/>
        <v>_Glob_MedDisc_DoseHoev_01##0</v>
      </c>
    </row>
    <row r="112" spans="1:4" x14ac:dyDescent="0.2">
      <c r="A112" s="151" t="s">
        <v>1789</v>
      </c>
      <c r="B112">
        <f>IF(ISBLANK(GlobBerMedDisc!$G$3),"",GlobBerMedDisc!$G$3)</f>
        <v>0</v>
      </c>
      <c r="C112" s="153">
        <v>0</v>
      </c>
      <c r="D112" s="151" t="str">
        <f t="shared" si="1"/>
        <v>_Glob_MedDisc_DoseHoev_02##0</v>
      </c>
    </row>
    <row r="113" spans="1:4" x14ac:dyDescent="0.2">
      <c r="A113" s="151" t="s">
        <v>1790</v>
      </c>
      <c r="B113">
        <f>IF(ISBLANK(GlobBerMedDisc!$G$4),"",GlobBerMedDisc!$G$4)</f>
        <v>0</v>
      </c>
      <c r="C113" s="153">
        <v>0</v>
      </c>
      <c r="D113" s="151" t="str">
        <f t="shared" si="1"/>
        <v>_Glob_MedDisc_DoseHoev_03##0</v>
      </c>
    </row>
    <row r="114" spans="1:4" x14ac:dyDescent="0.2">
      <c r="A114" s="151" t="s">
        <v>1791</v>
      </c>
      <c r="B114">
        <f>IF(ISBLANK(GlobBerMedDisc!$G$5),"",GlobBerMedDisc!$G$5)</f>
        <v>0</v>
      </c>
      <c r="C114" s="153">
        <v>0</v>
      </c>
      <c r="D114" s="151" t="str">
        <f t="shared" si="1"/>
        <v>_Glob_MedDisc_DoseHoev_04##0</v>
      </c>
    </row>
    <row r="115" spans="1:4" x14ac:dyDescent="0.2">
      <c r="A115" s="151" t="s">
        <v>1792</v>
      </c>
      <c r="B115" s="151">
        <f>IF(ISBLANK(GlobBerMedDisc!$G$6),"",GlobBerMedDisc!$G$6)</f>
        <v>0</v>
      </c>
      <c r="C115" s="153">
        <v>0</v>
      </c>
      <c r="D115" s="151" t="str">
        <f t="shared" si="1"/>
        <v>_Glob_MedDisc_DoseHoev_05##0</v>
      </c>
    </row>
    <row r="116" spans="1:4" x14ac:dyDescent="0.2">
      <c r="A116" s="151" t="s">
        <v>1793</v>
      </c>
      <c r="B116" s="151">
        <f>IF(ISBLANK(GlobBerMedDisc!$G$7),"",GlobBerMedDisc!$G$7)</f>
        <v>0</v>
      </c>
      <c r="C116" s="153">
        <v>0</v>
      </c>
      <c r="D116" s="151" t="str">
        <f t="shared" si="1"/>
        <v>_Glob_MedDisc_DoseHoev_06##0</v>
      </c>
    </row>
    <row r="117" spans="1:4" x14ac:dyDescent="0.2">
      <c r="A117" s="151" t="s">
        <v>1794</v>
      </c>
      <c r="B117" s="151">
        <f>IF(ISBLANK(GlobBerMedDisc!$G$8),"",GlobBerMedDisc!$G$8)</f>
        <v>0</v>
      </c>
      <c r="C117" s="153">
        <v>0</v>
      </c>
      <c r="D117" s="151" t="str">
        <f t="shared" si="1"/>
        <v>_Glob_MedDisc_DoseHoev_07##0</v>
      </c>
    </row>
    <row r="118" spans="1:4" x14ac:dyDescent="0.2">
      <c r="A118" s="151" t="s">
        <v>1795</v>
      </c>
      <c r="B118" s="151">
        <f>IF(ISBLANK(GlobBerMedDisc!$G$9),"",GlobBerMedDisc!$G$9)</f>
        <v>0</v>
      </c>
      <c r="C118" s="153">
        <v>0</v>
      </c>
      <c r="D118" s="151" t="str">
        <f t="shared" si="1"/>
        <v>_Glob_MedDisc_DoseHoev_08##0</v>
      </c>
    </row>
    <row r="119" spans="1:4" x14ac:dyDescent="0.2">
      <c r="A119" s="151" t="s">
        <v>1796</v>
      </c>
      <c r="B119" s="151">
        <f>IF(ISBLANK(GlobBerMedDisc!$G$10),"",GlobBerMedDisc!$G$10)</f>
        <v>0</v>
      </c>
      <c r="C119" s="153">
        <v>0</v>
      </c>
      <c r="D119" s="151" t="str">
        <f t="shared" si="1"/>
        <v>_Glob_MedDisc_DoseHoev_09##0</v>
      </c>
    </row>
    <row r="120" spans="1:4" x14ac:dyDescent="0.2">
      <c r="A120" s="151" t="s">
        <v>1797</v>
      </c>
      <c r="B120" s="151">
        <f>IF(ISBLANK(GlobBerMedDisc!$G$11),"",GlobBerMedDisc!$G$11)</f>
        <v>0</v>
      </c>
      <c r="C120" s="153">
        <v>0</v>
      </c>
      <c r="D120" s="151" t="str">
        <f t="shared" si="1"/>
        <v>_Glob_MedDisc_DoseHoev_10##0</v>
      </c>
    </row>
    <row r="121" spans="1:4" x14ac:dyDescent="0.2">
      <c r="A121" s="151" t="s">
        <v>1798</v>
      </c>
      <c r="B121" s="151">
        <f>IF(ISBLANK(GlobBerMedDisc!$G$12),"",GlobBerMedDisc!$G$12)</f>
        <v>0</v>
      </c>
      <c r="C121" s="153">
        <v>0</v>
      </c>
      <c r="D121" s="151" t="str">
        <f t="shared" si="1"/>
        <v>_Glob_MedDisc_DoseHoev_11##0</v>
      </c>
    </row>
    <row r="122" spans="1:4" x14ac:dyDescent="0.2">
      <c r="A122" s="151" t="s">
        <v>1799</v>
      </c>
      <c r="B122" s="151">
        <f>IF(ISBLANK(GlobBerMedDisc!$G$13),"",GlobBerMedDisc!$G$13)</f>
        <v>0</v>
      </c>
      <c r="C122" s="153">
        <v>0</v>
      </c>
      <c r="D122" s="151" t="str">
        <f t="shared" si="1"/>
        <v>_Glob_MedDisc_DoseHoev_12##0</v>
      </c>
    </row>
    <row r="123" spans="1:4" x14ac:dyDescent="0.2">
      <c r="A123" s="151" t="s">
        <v>1800</v>
      </c>
      <c r="B123">
        <f>IF(ISBLANK(GlobBerMedDisc!$G$14),"",GlobBerMedDisc!$G$14)</f>
        <v>0</v>
      </c>
      <c r="C123" s="153">
        <v>0</v>
      </c>
      <c r="D123" s="151" t="str">
        <f t="shared" si="1"/>
        <v>_Glob_MedDisc_DoseHoev_13##0</v>
      </c>
    </row>
    <row r="124" spans="1:4" x14ac:dyDescent="0.2">
      <c r="A124" s="151" t="s">
        <v>1801</v>
      </c>
      <c r="B124">
        <f>IF(ISBLANK(GlobBerMedDisc!$G$15),"",GlobBerMedDisc!$G$15)</f>
        <v>0</v>
      </c>
      <c r="C124" s="153">
        <v>0</v>
      </c>
      <c r="D124" s="151" t="str">
        <f t="shared" si="1"/>
        <v>_Glob_MedDisc_DoseHoev_14##0</v>
      </c>
    </row>
    <row r="125" spans="1:4" x14ac:dyDescent="0.2">
      <c r="A125" s="151" t="s">
        <v>1802</v>
      </c>
      <c r="B125">
        <f>IF(ISBLANK(GlobBerMedDisc!$G$16),"",GlobBerMedDisc!$G$16)</f>
        <v>0</v>
      </c>
      <c r="C125" s="153">
        <v>0</v>
      </c>
      <c r="D125" s="151" t="str">
        <f t="shared" si="1"/>
        <v>_Glob_MedDisc_DoseHoev_15##0</v>
      </c>
    </row>
    <row r="126" spans="1:4" x14ac:dyDescent="0.2">
      <c r="A126" s="151" t="s">
        <v>1803</v>
      </c>
      <c r="B126">
        <f>IF(ISBLANK(GlobBerMedDisc!$G$17),"",GlobBerMedDisc!$G$17)</f>
        <v>0</v>
      </c>
      <c r="C126" s="153">
        <v>0</v>
      </c>
      <c r="D126" s="151" t="str">
        <f t="shared" si="1"/>
        <v>_Glob_MedDisc_DoseHoev_16##0</v>
      </c>
    </row>
    <row r="127" spans="1:4" x14ac:dyDescent="0.2">
      <c r="A127" s="151" t="s">
        <v>1804</v>
      </c>
      <c r="B127">
        <f>IF(ISBLANK(GlobBerMedDisc!$G$18),"",GlobBerMedDisc!$G$18)</f>
        <v>0</v>
      </c>
      <c r="C127" s="153">
        <v>0</v>
      </c>
      <c r="D127" s="151" t="str">
        <f t="shared" si="1"/>
        <v>_Glob_MedDisc_DoseHoev_17##0</v>
      </c>
    </row>
    <row r="128" spans="1:4" x14ac:dyDescent="0.2">
      <c r="A128" s="151" t="s">
        <v>1805</v>
      </c>
      <c r="B128">
        <f>IF(ISBLANK(GlobBerMedDisc!$G$19),"",GlobBerMedDisc!$G$19)</f>
        <v>0</v>
      </c>
      <c r="C128" s="153">
        <v>0</v>
      </c>
      <c r="D128" s="151" t="str">
        <f t="shared" si="1"/>
        <v>_Glob_MedDisc_DoseHoev_18##0</v>
      </c>
    </row>
    <row r="129" spans="1:4" x14ac:dyDescent="0.2">
      <c r="A129" s="151" t="s">
        <v>1806</v>
      </c>
      <c r="B129">
        <f>IF(ISBLANK(GlobBerMedDisc!$G$20),"",GlobBerMedDisc!$G$20)</f>
        <v>0</v>
      </c>
      <c r="C129" s="153">
        <v>0</v>
      </c>
      <c r="D129" s="151" t="str">
        <f t="shared" si="1"/>
        <v>_Glob_MedDisc_DoseHoev_19##0</v>
      </c>
    </row>
    <row r="130" spans="1:4" x14ac:dyDescent="0.2">
      <c r="A130" s="151" t="s">
        <v>1807</v>
      </c>
      <c r="B130">
        <f>IF(ISBLANK(GlobBerMedDisc!$G$21),"",GlobBerMedDisc!$G$21)</f>
        <v>0</v>
      </c>
      <c r="C130" s="153">
        <v>0</v>
      </c>
      <c r="D130" s="151" t="str">
        <f t="shared" si="1"/>
        <v>_Glob_MedDisc_DoseHoev_20##0</v>
      </c>
    </row>
    <row r="131" spans="1:4" x14ac:dyDescent="0.2">
      <c r="A131" s="151" t="s">
        <v>1808</v>
      </c>
      <c r="B131">
        <f>IF(ISBLANK(GlobBerMedDisc!$G$22),"",GlobBerMedDisc!$G$22)</f>
        <v>0</v>
      </c>
      <c r="C131" s="153">
        <v>0</v>
      </c>
      <c r="D131" s="151" t="str">
        <f t="shared" ref="D131:D194" si="2">A131&amp;"##"&amp;B131</f>
        <v>_Glob_MedDisc_DoseHoev_21##0</v>
      </c>
    </row>
    <row r="132" spans="1:4" x14ac:dyDescent="0.2">
      <c r="A132" s="151" t="s">
        <v>1809</v>
      </c>
      <c r="B132">
        <f>IF(ISBLANK(GlobBerMedDisc!$G$23),"",GlobBerMedDisc!$G$23)</f>
        <v>0</v>
      </c>
      <c r="C132" s="153">
        <v>0</v>
      </c>
      <c r="D132" s="151" t="str">
        <f t="shared" si="2"/>
        <v>_Glob_MedDisc_DoseHoev_22##0</v>
      </c>
    </row>
    <row r="133" spans="1:4" x14ac:dyDescent="0.2">
      <c r="A133" s="151" t="s">
        <v>1810</v>
      </c>
      <c r="B133">
        <f>IF(ISBLANK(GlobBerMedDisc!$G$24),"",GlobBerMedDisc!$G$24)</f>
        <v>0</v>
      </c>
      <c r="C133" s="153">
        <v>0</v>
      </c>
      <c r="D133" s="151" t="str">
        <f t="shared" si="2"/>
        <v>_Glob_MedDisc_DoseHoev_23##0</v>
      </c>
    </row>
    <row r="134" spans="1:4" x14ac:dyDescent="0.2">
      <c r="A134" s="151" t="s">
        <v>1811</v>
      </c>
      <c r="B134">
        <f>IF(ISBLANK(GlobBerMedDisc!$G$25),"",GlobBerMedDisc!$G$25)</f>
        <v>0</v>
      </c>
      <c r="C134" s="153">
        <v>0</v>
      </c>
      <c r="D134" s="151" t="str">
        <f t="shared" si="2"/>
        <v>_Glob_MedDisc_DoseHoev_24##0</v>
      </c>
    </row>
    <row r="135" spans="1:4" x14ac:dyDescent="0.2">
      <c r="A135" s="151" t="s">
        <v>1812</v>
      </c>
      <c r="B135">
        <f>IF(ISBLANK(GlobBerMedDisc!$G$26),"",GlobBerMedDisc!$G$26)</f>
        <v>0</v>
      </c>
      <c r="C135" s="153">
        <v>0</v>
      </c>
      <c r="D135" s="151" t="str">
        <f t="shared" si="2"/>
        <v>_Glob_MedDisc_DoseHoev_25##0</v>
      </c>
    </row>
    <row r="136" spans="1:4" x14ac:dyDescent="0.2">
      <c r="A136" s="151" t="s">
        <v>1813</v>
      </c>
      <c r="B136">
        <f>IF(ISBLANK(GlobBerMedDisc!$G$27),"",GlobBerMedDisc!$G$27)</f>
        <v>0</v>
      </c>
      <c r="C136" s="153">
        <v>0</v>
      </c>
      <c r="D136" s="151" t="str">
        <f t="shared" si="2"/>
        <v>_Glob_MedDisc_DoseHoev_26##0</v>
      </c>
    </row>
    <row r="137" spans="1:4" x14ac:dyDescent="0.2">
      <c r="A137" s="151" t="s">
        <v>1814</v>
      </c>
      <c r="B137">
        <f>IF(ISBLANK(GlobBerMedDisc!$G$28),"",GlobBerMedDisc!$G$28)</f>
        <v>0</v>
      </c>
      <c r="C137" s="153">
        <v>0</v>
      </c>
      <c r="D137" s="151" t="str">
        <f t="shared" si="2"/>
        <v>_Glob_MedDisc_DoseHoev_27##0</v>
      </c>
    </row>
    <row r="138" spans="1:4" x14ac:dyDescent="0.2">
      <c r="A138" s="151" t="s">
        <v>1815</v>
      </c>
      <c r="B138">
        <f>IF(ISBLANK(GlobBerMedDisc!$G$29),"",GlobBerMedDisc!$G$29)</f>
        <v>0</v>
      </c>
      <c r="C138" s="153">
        <v>0</v>
      </c>
      <c r="D138" s="151" t="str">
        <f t="shared" si="2"/>
        <v>_Glob_MedDisc_DoseHoev_28##0</v>
      </c>
    </row>
    <row r="139" spans="1:4" x14ac:dyDescent="0.2">
      <c r="A139" s="151" t="s">
        <v>1816</v>
      </c>
      <c r="B139">
        <f>IF(ISBLANK(GlobBerMedDisc!$G$30),"",GlobBerMedDisc!$G$30)</f>
        <v>0</v>
      </c>
      <c r="C139" s="153">
        <v>0</v>
      </c>
      <c r="D139" s="151" t="str">
        <f t="shared" si="2"/>
        <v>_Glob_MedDisc_DoseHoev_29##0</v>
      </c>
    </row>
    <row r="140" spans="1:4" x14ac:dyDescent="0.2">
      <c r="A140" s="151" t="s">
        <v>1817</v>
      </c>
      <c r="B140">
        <f>IF(ISBLANK(GlobBerMedDisc!$G$31),"",GlobBerMedDisc!$G$31)</f>
        <v>0</v>
      </c>
      <c r="C140" s="153">
        <v>0</v>
      </c>
      <c r="D140" s="151" t="str">
        <f t="shared" si="2"/>
        <v>_Glob_MedDisc_DoseHoev_30##0</v>
      </c>
    </row>
    <row r="141" spans="1:4" x14ac:dyDescent="0.2">
      <c r="A141" s="151" t="s">
        <v>1818</v>
      </c>
      <c r="B141" t="str">
        <f>IF(ISBLANK(GlobBerMedDisc!$AM$2),"",GlobBerMedDisc!$AM$2)</f>
        <v/>
      </c>
      <c r="C141" s="44"/>
      <c r="D141" s="151" t="str">
        <f t="shared" si="2"/>
        <v>_Glob_MedDisc_Etiket_01##</v>
      </c>
    </row>
    <row r="142" spans="1:4" x14ac:dyDescent="0.2">
      <c r="A142" s="151" t="s">
        <v>1819</v>
      </c>
      <c r="B142" t="str">
        <f>IF(ISBLANK(GlobBerMedDisc!$AM$3),"",GlobBerMedDisc!$AM$3)</f>
        <v/>
      </c>
      <c r="C142" s="44"/>
      <c r="D142" s="151" t="str">
        <f t="shared" si="2"/>
        <v>_Glob_MedDisc_Etiket_02##</v>
      </c>
    </row>
    <row r="143" spans="1:4" x14ac:dyDescent="0.2">
      <c r="A143" s="151" t="s">
        <v>1820</v>
      </c>
      <c r="B143" t="str">
        <f>IF(ISBLANK(GlobBerMedDisc!$AM$4),"",GlobBerMedDisc!$AM$4)</f>
        <v/>
      </c>
      <c r="C143" s="44"/>
      <c r="D143" s="151" t="str">
        <f t="shared" si="2"/>
        <v>_Glob_MedDisc_Etiket_03##</v>
      </c>
    </row>
    <row r="144" spans="1:4" x14ac:dyDescent="0.2">
      <c r="A144" s="151" t="s">
        <v>1821</v>
      </c>
      <c r="B144" t="str">
        <f>IF(ISBLANK(GlobBerMedDisc!$AM$5),"",GlobBerMedDisc!$AM$5)</f>
        <v/>
      </c>
      <c r="C144" s="44"/>
      <c r="D144" s="151" t="str">
        <f t="shared" si="2"/>
        <v>_Glob_MedDisc_Etiket_04##</v>
      </c>
    </row>
    <row r="145" spans="1:4" x14ac:dyDescent="0.2">
      <c r="A145" s="151" t="s">
        <v>1822</v>
      </c>
      <c r="B145" t="str">
        <f>IF(ISBLANK(GlobBerMedDisc!$AM$6),"",GlobBerMedDisc!$AM$6)</f>
        <v/>
      </c>
      <c r="C145" s="44"/>
      <c r="D145" s="151" t="str">
        <f t="shared" si="2"/>
        <v>_Glob_MedDisc_Etiket_05##</v>
      </c>
    </row>
    <row r="146" spans="1:4" x14ac:dyDescent="0.2">
      <c r="A146" s="151" t="s">
        <v>1823</v>
      </c>
      <c r="B146" t="str">
        <f>IF(ISBLANK(GlobBerMedDisc!$AM$7),"",GlobBerMedDisc!$AM$7)</f>
        <v/>
      </c>
      <c r="C146" s="44"/>
      <c r="D146" s="151" t="str">
        <f t="shared" si="2"/>
        <v>_Glob_MedDisc_Etiket_06##</v>
      </c>
    </row>
    <row r="147" spans="1:4" x14ac:dyDescent="0.2">
      <c r="A147" s="151" t="s">
        <v>1824</v>
      </c>
      <c r="B147" t="str">
        <f>IF(ISBLANK(GlobBerMedDisc!$AM$8),"",GlobBerMedDisc!$AM$8)</f>
        <v/>
      </c>
      <c r="C147" s="44"/>
      <c r="D147" s="151" t="str">
        <f t="shared" si="2"/>
        <v>_Glob_MedDisc_Etiket_07##</v>
      </c>
    </row>
    <row r="148" spans="1:4" x14ac:dyDescent="0.2">
      <c r="A148" s="151" t="s">
        <v>1825</v>
      </c>
      <c r="B148" t="str">
        <f>IF(ISBLANK(GlobBerMedDisc!$AM$9),"",GlobBerMedDisc!$AM$9)</f>
        <v/>
      </c>
      <c r="C148" s="44"/>
      <c r="D148" s="151" t="str">
        <f t="shared" si="2"/>
        <v>_Glob_MedDisc_Etiket_08##</v>
      </c>
    </row>
    <row r="149" spans="1:4" x14ac:dyDescent="0.2">
      <c r="A149" s="151" t="s">
        <v>1826</v>
      </c>
      <c r="B149" t="str">
        <f>IF(ISBLANK(GlobBerMedDisc!$AM$10),"",GlobBerMedDisc!$AM$10)</f>
        <v/>
      </c>
      <c r="C149" s="44"/>
      <c r="D149" s="151" t="str">
        <f t="shared" si="2"/>
        <v>_Glob_MedDisc_Etiket_09##</v>
      </c>
    </row>
    <row r="150" spans="1:4" x14ac:dyDescent="0.2">
      <c r="A150" s="151" t="s">
        <v>1827</v>
      </c>
      <c r="B150" t="str">
        <f>IF(ISBLANK(GlobBerMedDisc!$AM$11),"",GlobBerMedDisc!$AM$11)</f>
        <v/>
      </c>
      <c r="C150" s="44"/>
      <c r="D150" s="151" t="str">
        <f t="shared" si="2"/>
        <v>_Glob_MedDisc_Etiket_10##</v>
      </c>
    </row>
    <row r="151" spans="1:4" x14ac:dyDescent="0.2">
      <c r="A151" s="151" t="s">
        <v>1828</v>
      </c>
      <c r="B151" t="str">
        <f>IF(ISBLANK(GlobBerMedDisc!$AM$12),"",GlobBerMedDisc!$AM$12)</f>
        <v/>
      </c>
      <c r="C151" s="44"/>
      <c r="D151" s="151" t="str">
        <f t="shared" si="2"/>
        <v>_Glob_MedDisc_Etiket_11##</v>
      </c>
    </row>
    <row r="152" spans="1:4" x14ac:dyDescent="0.2">
      <c r="A152" s="151" t="s">
        <v>1829</v>
      </c>
      <c r="B152" t="str">
        <f>IF(ISBLANK(GlobBerMedDisc!$AM$13),"",GlobBerMedDisc!$AM$13)</f>
        <v/>
      </c>
      <c r="C152" s="44"/>
      <c r="D152" s="151" t="str">
        <f t="shared" si="2"/>
        <v>_Glob_MedDisc_Etiket_12##</v>
      </c>
    </row>
    <row r="153" spans="1:4" x14ac:dyDescent="0.2">
      <c r="A153" s="151" t="s">
        <v>1830</v>
      </c>
      <c r="B153" t="str">
        <f>IF(ISBLANK(GlobBerMedDisc!$AM$14),"",GlobBerMedDisc!$AM$14)</f>
        <v/>
      </c>
      <c r="C153" s="44"/>
      <c r="D153" s="151" t="str">
        <f t="shared" si="2"/>
        <v>_Glob_MedDisc_Etiket_13##</v>
      </c>
    </row>
    <row r="154" spans="1:4" x14ac:dyDescent="0.2">
      <c r="A154" s="151" t="s">
        <v>1831</v>
      </c>
      <c r="B154" t="str">
        <f>IF(ISBLANK(GlobBerMedDisc!$AM$15),"",GlobBerMedDisc!$AM$15)</f>
        <v/>
      </c>
      <c r="C154" s="44"/>
      <c r="D154" s="151" t="str">
        <f t="shared" si="2"/>
        <v>_Glob_MedDisc_Etiket_14##</v>
      </c>
    </row>
    <row r="155" spans="1:4" x14ac:dyDescent="0.2">
      <c r="A155" s="151" t="s">
        <v>1832</v>
      </c>
      <c r="B155" t="str">
        <f>IF(ISBLANK(GlobBerMedDisc!$AM$16),"",GlobBerMedDisc!$AM$16)</f>
        <v/>
      </c>
      <c r="C155" s="44"/>
      <c r="D155" s="151" t="str">
        <f t="shared" si="2"/>
        <v>_Glob_MedDisc_Etiket_15##</v>
      </c>
    </row>
    <row r="156" spans="1:4" x14ac:dyDescent="0.2">
      <c r="A156" s="151" t="s">
        <v>1833</v>
      </c>
      <c r="B156" t="str">
        <f>IF(ISBLANK(GlobBerMedDisc!$AM$17),"",GlobBerMedDisc!$AM$17)</f>
        <v/>
      </c>
      <c r="C156" s="44"/>
      <c r="D156" s="151" t="str">
        <f t="shared" si="2"/>
        <v>_Glob_MedDisc_Etiket_16##</v>
      </c>
    </row>
    <row r="157" spans="1:4" x14ac:dyDescent="0.2">
      <c r="A157" s="151" t="s">
        <v>1834</v>
      </c>
      <c r="B157" t="str">
        <f>IF(ISBLANK(GlobBerMedDisc!$AM$18),"",GlobBerMedDisc!$AM$18)</f>
        <v/>
      </c>
      <c r="C157" s="44"/>
      <c r="D157" s="151" t="str">
        <f t="shared" si="2"/>
        <v>_Glob_MedDisc_Etiket_17##</v>
      </c>
    </row>
    <row r="158" spans="1:4" x14ac:dyDescent="0.2">
      <c r="A158" s="151" t="s">
        <v>1835</v>
      </c>
      <c r="B158" t="str">
        <f>IF(ISBLANK(GlobBerMedDisc!$AM$19),"",GlobBerMedDisc!$AM$19)</f>
        <v/>
      </c>
      <c r="C158" s="44"/>
      <c r="D158" s="151" t="str">
        <f t="shared" si="2"/>
        <v>_Glob_MedDisc_Etiket_18##</v>
      </c>
    </row>
    <row r="159" spans="1:4" x14ac:dyDescent="0.2">
      <c r="A159" s="151" t="s">
        <v>1836</v>
      </c>
      <c r="B159" t="str">
        <f>IF(ISBLANK(GlobBerMedDisc!$AM$20),"",GlobBerMedDisc!$AM$20)</f>
        <v/>
      </c>
      <c r="C159" s="44"/>
      <c r="D159" s="151" t="str">
        <f t="shared" si="2"/>
        <v>_Glob_MedDisc_Etiket_19##</v>
      </c>
    </row>
    <row r="160" spans="1:4" x14ac:dyDescent="0.2">
      <c r="A160" s="151" t="s">
        <v>1837</v>
      </c>
      <c r="B160" t="str">
        <f>IF(ISBLANK(GlobBerMedDisc!$AM$21),"",GlobBerMedDisc!$AM$21)</f>
        <v/>
      </c>
      <c r="C160" s="44"/>
      <c r="D160" s="151" t="str">
        <f t="shared" si="2"/>
        <v>_Glob_MedDisc_Etiket_20##</v>
      </c>
    </row>
    <row r="161" spans="1:4" x14ac:dyDescent="0.2">
      <c r="A161" s="151" t="s">
        <v>1838</v>
      </c>
      <c r="B161" t="str">
        <f>IF(ISBLANK(GlobBerMedDisc!$AM$22),"",GlobBerMedDisc!$AM$22)</f>
        <v/>
      </c>
      <c r="C161" s="44"/>
      <c r="D161" s="151" t="str">
        <f t="shared" si="2"/>
        <v>_Glob_MedDisc_Etiket_21##</v>
      </c>
    </row>
    <row r="162" spans="1:4" x14ac:dyDescent="0.2">
      <c r="A162" s="151" t="s">
        <v>1839</v>
      </c>
      <c r="B162" t="str">
        <f>IF(ISBLANK(GlobBerMedDisc!$AM$23),"",GlobBerMedDisc!$AM$23)</f>
        <v/>
      </c>
      <c r="C162" s="44"/>
      <c r="D162" s="151" t="str">
        <f t="shared" si="2"/>
        <v>_Glob_MedDisc_Etiket_22##</v>
      </c>
    </row>
    <row r="163" spans="1:4" x14ac:dyDescent="0.2">
      <c r="A163" s="151" t="s">
        <v>1840</v>
      </c>
      <c r="B163" t="str">
        <f>IF(ISBLANK(GlobBerMedDisc!$AM$24),"",GlobBerMedDisc!$AM$24)</f>
        <v/>
      </c>
      <c r="C163" s="44"/>
      <c r="D163" s="151" t="str">
        <f t="shared" si="2"/>
        <v>_Glob_MedDisc_Etiket_23##</v>
      </c>
    </row>
    <row r="164" spans="1:4" x14ac:dyDescent="0.2">
      <c r="A164" s="151" t="s">
        <v>1841</v>
      </c>
      <c r="B164" t="str">
        <f>IF(ISBLANK(GlobBerMedDisc!$AM$25),"",GlobBerMedDisc!$AM$25)</f>
        <v/>
      </c>
      <c r="C164" s="44"/>
      <c r="D164" s="151" t="str">
        <f t="shared" si="2"/>
        <v>_Glob_MedDisc_Etiket_24##</v>
      </c>
    </row>
    <row r="165" spans="1:4" x14ac:dyDescent="0.2">
      <c r="A165" s="151" t="s">
        <v>1842</v>
      </c>
      <c r="B165" t="str">
        <f>IF(ISBLANK(GlobBerMedDisc!$AM$26),"",GlobBerMedDisc!$AM$26)</f>
        <v/>
      </c>
      <c r="C165" s="44"/>
      <c r="D165" s="151" t="str">
        <f t="shared" si="2"/>
        <v>_Glob_MedDisc_Etiket_25##</v>
      </c>
    </row>
    <row r="166" spans="1:4" x14ac:dyDescent="0.2">
      <c r="A166" s="151" t="s">
        <v>1843</v>
      </c>
      <c r="B166" t="str">
        <f>IF(ISBLANK(GlobBerMedDisc!$AM$27),"",GlobBerMedDisc!$AM$27)</f>
        <v/>
      </c>
      <c r="C166" s="44"/>
      <c r="D166" s="151" t="str">
        <f t="shared" si="2"/>
        <v>_Glob_MedDisc_Etiket_26##</v>
      </c>
    </row>
    <row r="167" spans="1:4" x14ac:dyDescent="0.2">
      <c r="A167" s="151" t="s">
        <v>1844</v>
      </c>
      <c r="B167" t="str">
        <f>IF(ISBLANK(GlobBerMedDisc!$AM$28),"",GlobBerMedDisc!$AM$28)</f>
        <v/>
      </c>
      <c r="C167" s="44"/>
      <c r="D167" s="151" t="str">
        <f t="shared" si="2"/>
        <v>_Glob_MedDisc_Etiket_27##</v>
      </c>
    </row>
    <row r="168" spans="1:4" x14ac:dyDescent="0.2">
      <c r="A168" s="151" t="s">
        <v>1845</v>
      </c>
      <c r="B168" t="str">
        <f>IF(ISBLANK(GlobBerMedDisc!$AM$29),"",GlobBerMedDisc!$AM$29)</f>
        <v/>
      </c>
      <c r="C168" s="44"/>
      <c r="D168" s="151" t="str">
        <f t="shared" si="2"/>
        <v>_Glob_MedDisc_Etiket_28##</v>
      </c>
    </row>
    <row r="169" spans="1:4" x14ac:dyDescent="0.2">
      <c r="A169" s="151" t="s">
        <v>1846</v>
      </c>
      <c r="B169" t="str">
        <f>IF(ISBLANK(GlobBerMedDisc!$AM$30),"",GlobBerMedDisc!$AM$30)</f>
        <v/>
      </c>
      <c r="C169" s="44"/>
      <c r="D169" s="151" t="str">
        <f t="shared" si="2"/>
        <v>_Glob_MedDisc_Etiket_29##</v>
      </c>
    </row>
    <row r="170" spans="1:4" x14ac:dyDescent="0.2">
      <c r="A170" s="151" t="s">
        <v>1847</v>
      </c>
      <c r="B170" t="str">
        <f>IF(ISBLANK(GlobBerMedDisc!$AM$31),"",GlobBerMedDisc!$AM$31)</f>
        <v/>
      </c>
      <c r="C170" s="44"/>
      <c r="D170" s="151" t="str">
        <f t="shared" si="2"/>
        <v>_Glob_MedDisc_Etiket_30##</v>
      </c>
    </row>
    <row r="171" spans="1:4" x14ac:dyDescent="0.2">
      <c r="A171" s="151" t="s">
        <v>5671</v>
      </c>
      <c r="B171">
        <f>IF(ISBLANK(GlobBerMedDisc!$I$2),"",GlobBerMedDisc!$I$2)</f>
        <v>1</v>
      </c>
      <c r="C171" s="151">
        <v>1</v>
      </c>
      <c r="D171" s="151" t="str">
        <f t="shared" si="2"/>
        <v>_Glob_MedDisc_Freq_01##1</v>
      </c>
    </row>
    <row r="172" spans="1:4" x14ac:dyDescent="0.2">
      <c r="A172" s="151" t="s">
        <v>5673</v>
      </c>
      <c r="B172">
        <f>IF(ISBLANK(GlobBerMedDisc!$I$3),"",GlobBerMedDisc!$I$3)</f>
        <v>1</v>
      </c>
      <c r="C172" s="151">
        <v>1</v>
      </c>
      <c r="D172" s="151" t="str">
        <f t="shared" si="2"/>
        <v>_Glob_MedDisc_Freq_02##1</v>
      </c>
    </row>
    <row r="173" spans="1:4" x14ac:dyDescent="0.2">
      <c r="A173" s="151" t="s">
        <v>5675</v>
      </c>
      <c r="B173">
        <f>IF(ISBLANK(GlobBerMedDisc!$I$4),"",GlobBerMedDisc!$I$4)</f>
        <v>1</v>
      </c>
      <c r="C173" s="151">
        <v>1</v>
      </c>
      <c r="D173" s="151" t="str">
        <f t="shared" si="2"/>
        <v>_Glob_MedDisc_Freq_03##1</v>
      </c>
    </row>
    <row r="174" spans="1:4" x14ac:dyDescent="0.2">
      <c r="A174" s="151" t="s">
        <v>5677</v>
      </c>
      <c r="B174">
        <f>IF(ISBLANK(GlobBerMedDisc!$I$5),"",GlobBerMedDisc!$I$5)</f>
        <v>1</v>
      </c>
      <c r="C174" s="151">
        <v>1</v>
      </c>
      <c r="D174" s="151" t="str">
        <f t="shared" si="2"/>
        <v>_Glob_MedDisc_Freq_04##1</v>
      </c>
    </row>
    <row r="175" spans="1:4" x14ac:dyDescent="0.2">
      <c r="A175" s="151" t="s">
        <v>5679</v>
      </c>
      <c r="B175">
        <f>IF(ISBLANK(GlobBerMedDisc!$I$6),"",GlobBerMedDisc!$I$6)</f>
        <v>1</v>
      </c>
      <c r="C175" s="151">
        <v>1</v>
      </c>
      <c r="D175" s="151" t="str">
        <f t="shared" si="2"/>
        <v>_Glob_MedDisc_Freq_05##1</v>
      </c>
    </row>
    <row r="176" spans="1:4" x14ac:dyDescent="0.2">
      <c r="A176" s="151" t="s">
        <v>5681</v>
      </c>
      <c r="B176">
        <f>IF(ISBLANK(GlobBerMedDisc!$I$7),"",GlobBerMedDisc!$I$7)</f>
        <v>1</v>
      </c>
      <c r="C176" s="151">
        <v>1</v>
      </c>
      <c r="D176" s="151" t="str">
        <f t="shared" si="2"/>
        <v>_Glob_MedDisc_Freq_06##1</v>
      </c>
    </row>
    <row r="177" spans="1:4" x14ac:dyDescent="0.2">
      <c r="A177" s="151" t="s">
        <v>5683</v>
      </c>
      <c r="B177">
        <f>IF(ISBLANK(GlobBerMedDisc!$I$8),"",GlobBerMedDisc!$I$8)</f>
        <v>1</v>
      </c>
      <c r="C177" s="151">
        <v>1</v>
      </c>
      <c r="D177" s="151" t="str">
        <f t="shared" si="2"/>
        <v>_Glob_MedDisc_Freq_07##1</v>
      </c>
    </row>
    <row r="178" spans="1:4" x14ac:dyDescent="0.2">
      <c r="A178" s="151" t="s">
        <v>5685</v>
      </c>
      <c r="B178">
        <f>IF(ISBLANK(GlobBerMedDisc!$I$9),"",GlobBerMedDisc!$I$9)</f>
        <v>1</v>
      </c>
      <c r="C178" s="151">
        <v>1</v>
      </c>
      <c r="D178" s="151" t="str">
        <f t="shared" si="2"/>
        <v>_Glob_MedDisc_Freq_08##1</v>
      </c>
    </row>
    <row r="179" spans="1:4" x14ac:dyDescent="0.2">
      <c r="A179" s="151" t="s">
        <v>5687</v>
      </c>
      <c r="B179">
        <f>IF(ISBLANK(GlobBerMedDisc!$I$10),"",GlobBerMedDisc!$I$10)</f>
        <v>1</v>
      </c>
      <c r="C179" s="151">
        <v>1</v>
      </c>
      <c r="D179" s="151" t="str">
        <f t="shared" si="2"/>
        <v>_Glob_MedDisc_Freq_09##1</v>
      </c>
    </row>
    <row r="180" spans="1:4" x14ac:dyDescent="0.2">
      <c r="A180" s="151" t="s">
        <v>5689</v>
      </c>
      <c r="B180">
        <f>IF(ISBLANK(GlobBerMedDisc!$I$11),"",GlobBerMedDisc!$I$11)</f>
        <v>1</v>
      </c>
      <c r="C180" s="151">
        <v>1</v>
      </c>
      <c r="D180" s="151" t="str">
        <f t="shared" si="2"/>
        <v>_Glob_MedDisc_Freq_10##1</v>
      </c>
    </row>
    <row r="181" spans="1:4" x14ac:dyDescent="0.2">
      <c r="A181" s="151" t="s">
        <v>5691</v>
      </c>
      <c r="B181">
        <f>IF(ISBLANK(GlobBerMedDisc!$I$12),"",GlobBerMedDisc!$I$12)</f>
        <v>1</v>
      </c>
      <c r="C181" s="151">
        <v>1</v>
      </c>
      <c r="D181" s="151" t="str">
        <f t="shared" si="2"/>
        <v>_Glob_MedDisc_Freq_11##1</v>
      </c>
    </row>
    <row r="182" spans="1:4" x14ac:dyDescent="0.2">
      <c r="A182" s="151" t="s">
        <v>5693</v>
      </c>
      <c r="B182">
        <f>IF(ISBLANK(GlobBerMedDisc!$I$13),"",GlobBerMedDisc!$I$13)</f>
        <v>1</v>
      </c>
      <c r="C182" s="151">
        <v>1</v>
      </c>
      <c r="D182" s="151" t="str">
        <f t="shared" si="2"/>
        <v>_Glob_MedDisc_Freq_12##1</v>
      </c>
    </row>
    <row r="183" spans="1:4" x14ac:dyDescent="0.2">
      <c r="A183" s="151" t="s">
        <v>5695</v>
      </c>
      <c r="B183">
        <f>IF(ISBLANK(GlobBerMedDisc!$I$14),"",GlobBerMedDisc!$I$14)</f>
        <v>1</v>
      </c>
      <c r="C183" s="151">
        <v>1</v>
      </c>
      <c r="D183" s="151" t="str">
        <f t="shared" si="2"/>
        <v>_Glob_MedDisc_Freq_13##1</v>
      </c>
    </row>
    <row r="184" spans="1:4" x14ac:dyDescent="0.2">
      <c r="A184" s="151" t="s">
        <v>5697</v>
      </c>
      <c r="B184">
        <f>IF(ISBLANK(GlobBerMedDisc!$I$15),"",GlobBerMedDisc!$I$15)</f>
        <v>1</v>
      </c>
      <c r="C184" s="151">
        <v>1</v>
      </c>
      <c r="D184" s="151" t="str">
        <f t="shared" si="2"/>
        <v>_Glob_MedDisc_Freq_14##1</v>
      </c>
    </row>
    <row r="185" spans="1:4" x14ac:dyDescent="0.2">
      <c r="A185" s="151" t="s">
        <v>5699</v>
      </c>
      <c r="B185">
        <f>IF(ISBLANK(GlobBerMedDisc!$I$16),"",GlobBerMedDisc!$I$16)</f>
        <v>1</v>
      </c>
      <c r="C185" s="151">
        <v>1</v>
      </c>
      <c r="D185" s="151" t="str">
        <f t="shared" si="2"/>
        <v>_Glob_MedDisc_Freq_15##1</v>
      </c>
    </row>
    <row r="186" spans="1:4" x14ac:dyDescent="0.2">
      <c r="A186" s="151" t="s">
        <v>5701</v>
      </c>
      <c r="B186">
        <f>IF(ISBLANK(GlobBerMedDisc!$I$17),"",GlobBerMedDisc!$I$17)</f>
        <v>1</v>
      </c>
      <c r="C186" s="151">
        <v>1</v>
      </c>
      <c r="D186" s="151" t="str">
        <f t="shared" si="2"/>
        <v>_Glob_MedDisc_Freq_16##1</v>
      </c>
    </row>
    <row r="187" spans="1:4" x14ac:dyDescent="0.2">
      <c r="A187" s="151" t="s">
        <v>5703</v>
      </c>
      <c r="B187">
        <f>IF(ISBLANK(GlobBerMedDisc!$I$18),"",GlobBerMedDisc!$I$18)</f>
        <v>1</v>
      </c>
      <c r="C187" s="151">
        <v>1</v>
      </c>
      <c r="D187" s="151" t="str">
        <f t="shared" si="2"/>
        <v>_Glob_MedDisc_Freq_17##1</v>
      </c>
    </row>
    <row r="188" spans="1:4" x14ac:dyDescent="0.2">
      <c r="A188" s="151" t="s">
        <v>5705</v>
      </c>
      <c r="B188">
        <f>IF(ISBLANK(GlobBerMedDisc!$I$19),"",GlobBerMedDisc!$I$19)</f>
        <v>1</v>
      </c>
      <c r="C188" s="151">
        <v>1</v>
      </c>
      <c r="D188" s="151" t="str">
        <f t="shared" si="2"/>
        <v>_Glob_MedDisc_Freq_18##1</v>
      </c>
    </row>
    <row r="189" spans="1:4" x14ac:dyDescent="0.2">
      <c r="A189" s="151" t="s">
        <v>5707</v>
      </c>
      <c r="B189">
        <f>IF(ISBLANK(GlobBerMedDisc!$I$20),"",GlobBerMedDisc!$I$20)</f>
        <v>1</v>
      </c>
      <c r="C189" s="151">
        <v>1</v>
      </c>
      <c r="D189" s="151" t="str">
        <f t="shared" si="2"/>
        <v>_Glob_MedDisc_Freq_19##1</v>
      </c>
    </row>
    <row r="190" spans="1:4" x14ac:dyDescent="0.2">
      <c r="A190" s="151" t="s">
        <v>5709</v>
      </c>
      <c r="B190">
        <f>IF(ISBLANK(GlobBerMedDisc!$I$21),"",GlobBerMedDisc!$I$21)</f>
        <v>1</v>
      </c>
      <c r="C190" s="151">
        <v>1</v>
      </c>
      <c r="D190" s="151" t="str">
        <f t="shared" si="2"/>
        <v>_Glob_MedDisc_Freq_20##1</v>
      </c>
    </row>
    <row r="191" spans="1:4" x14ac:dyDescent="0.2">
      <c r="A191" s="151" t="s">
        <v>5711</v>
      </c>
      <c r="B191">
        <f>IF(ISBLANK(GlobBerMedDisc!$I$22),"",GlobBerMedDisc!$I$22)</f>
        <v>1</v>
      </c>
      <c r="C191" s="151">
        <v>1</v>
      </c>
      <c r="D191" s="151" t="str">
        <f t="shared" si="2"/>
        <v>_Glob_MedDisc_Freq_21##1</v>
      </c>
    </row>
    <row r="192" spans="1:4" x14ac:dyDescent="0.2">
      <c r="A192" s="151" t="s">
        <v>5713</v>
      </c>
      <c r="B192">
        <f>IF(ISBLANK(GlobBerMedDisc!$I$23),"",GlobBerMedDisc!$I$23)</f>
        <v>1</v>
      </c>
      <c r="C192" s="151">
        <v>1</v>
      </c>
      <c r="D192" s="151" t="str">
        <f t="shared" si="2"/>
        <v>_Glob_MedDisc_Freq_22##1</v>
      </c>
    </row>
    <row r="193" spans="1:4" x14ac:dyDescent="0.2">
      <c r="A193" s="151" t="s">
        <v>5715</v>
      </c>
      <c r="B193">
        <f>IF(ISBLANK(GlobBerMedDisc!$I$24),"",GlobBerMedDisc!$I$24)</f>
        <v>1</v>
      </c>
      <c r="C193" s="151">
        <v>1</v>
      </c>
      <c r="D193" s="151" t="str">
        <f t="shared" si="2"/>
        <v>_Glob_MedDisc_Freq_23##1</v>
      </c>
    </row>
    <row r="194" spans="1:4" x14ac:dyDescent="0.2">
      <c r="A194" s="151" t="s">
        <v>5717</v>
      </c>
      <c r="B194">
        <f>IF(ISBLANK(GlobBerMedDisc!$I$25),"",GlobBerMedDisc!$I$25)</f>
        <v>1</v>
      </c>
      <c r="C194" s="151">
        <v>1</v>
      </c>
      <c r="D194" s="151" t="str">
        <f t="shared" si="2"/>
        <v>_Glob_MedDisc_Freq_24##1</v>
      </c>
    </row>
    <row r="195" spans="1:4" x14ac:dyDescent="0.2">
      <c r="A195" s="151" t="s">
        <v>5719</v>
      </c>
      <c r="B195">
        <f>IF(ISBLANK(GlobBerMedDisc!$I$26),"",GlobBerMedDisc!$I$26)</f>
        <v>1</v>
      </c>
      <c r="C195" s="151">
        <v>1</v>
      </c>
      <c r="D195" s="151" t="str">
        <f t="shared" ref="D195:D258" si="3">A195&amp;"##"&amp;B195</f>
        <v>_Glob_MedDisc_Freq_25##1</v>
      </c>
    </row>
    <row r="196" spans="1:4" x14ac:dyDescent="0.2">
      <c r="A196" s="151" t="s">
        <v>5721</v>
      </c>
      <c r="B196">
        <f>IF(ISBLANK(GlobBerMedDisc!$I$27),"",GlobBerMedDisc!$I$27)</f>
        <v>1</v>
      </c>
      <c r="C196" s="151">
        <v>1</v>
      </c>
      <c r="D196" s="151" t="str">
        <f t="shared" si="3"/>
        <v>_Glob_MedDisc_Freq_26##1</v>
      </c>
    </row>
    <row r="197" spans="1:4" x14ac:dyDescent="0.2">
      <c r="A197" s="151" t="s">
        <v>5723</v>
      </c>
      <c r="B197">
        <f>IF(ISBLANK(GlobBerMedDisc!$I$28),"",GlobBerMedDisc!$I$28)</f>
        <v>1</v>
      </c>
      <c r="C197" s="151">
        <v>1</v>
      </c>
      <c r="D197" s="151" t="str">
        <f t="shared" si="3"/>
        <v>_Glob_MedDisc_Freq_27##1</v>
      </c>
    </row>
    <row r="198" spans="1:4" x14ac:dyDescent="0.2">
      <c r="A198" s="151" t="s">
        <v>5725</v>
      </c>
      <c r="B198">
        <f>IF(ISBLANK(GlobBerMedDisc!$I$29),"",GlobBerMedDisc!$I$29)</f>
        <v>1</v>
      </c>
      <c r="C198" s="151">
        <v>1</v>
      </c>
      <c r="D198" s="151" t="str">
        <f t="shared" si="3"/>
        <v>_Glob_MedDisc_Freq_28##1</v>
      </c>
    </row>
    <row r="199" spans="1:4" x14ac:dyDescent="0.2">
      <c r="A199" s="151" t="s">
        <v>5727</v>
      </c>
      <c r="B199">
        <f>IF(ISBLANK(GlobBerMedDisc!$I$30),"",GlobBerMedDisc!$I$30)</f>
        <v>1</v>
      </c>
      <c r="C199" s="151">
        <v>1</v>
      </c>
      <c r="D199" s="151" t="str">
        <f t="shared" si="3"/>
        <v>_Glob_MedDisc_Freq_29##1</v>
      </c>
    </row>
    <row r="200" spans="1:4" x14ac:dyDescent="0.2">
      <c r="A200" s="151" t="s">
        <v>5729</v>
      </c>
      <c r="B200">
        <f>IF(ISBLANK(GlobBerMedDisc!$I$31),"",GlobBerMedDisc!$I$31)</f>
        <v>1</v>
      </c>
      <c r="C200" s="151">
        <v>1</v>
      </c>
      <c r="D200" s="151" t="str">
        <f t="shared" si="3"/>
        <v>_Glob_MedDisc_Freq_30##1</v>
      </c>
    </row>
    <row r="201" spans="1:4" x14ac:dyDescent="0.2">
      <c r="A201" s="151" t="s">
        <v>5940</v>
      </c>
      <c r="B201" t="str">
        <f>IF(ISBLANK(GlobBerMedDisc!$BE$2),"",GlobBerMedDisc!$BE$2)</f>
        <v/>
      </c>
      <c r="C201" s="151"/>
      <c r="D201" s="151" t="str">
        <f t="shared" si="3"/>
        <v>_Glob_MedDisc_FreqList_01##</v>
      </c>
    </row>
    <row r="202" spans="1:4" x14ac:dyDescent="0.2">
      <c r="A202" s="151" t="s">
        <v>5941</v>
      </c>
      <c r="B202" t="str">
        <f>IF(ISBLANK(GlobBerMedDisc!$BE$3),"",GlobBerMedDisc!$BE$3)</f>
        <v/>
      </c>
      <c r="C202" s="151"/>
      <c r="D202" s="151" t="str">
        <f t="shared" si="3"/>
        <v>_Glob_MedDisc_FreqList_02##</v>
      </c>
    </row>
    <row r="203" spans="1:4" x14ac:dyDescent="0.2">
      <c r="A203" s="151" t="s">
        <v>5942</v>
      </c>
      <c r="B203" t="str">
        <f>IF(ISBLANK(GlobBerMedDisc!$BE$4),"",GlobBerMedDisc!$BE$4)</f>
        <v/>
      </c>
      <c r="C203" s="151"/>
      <c r="D203" s="151" t="str">
        <f t="shared" si="3"/>
        <v>_Glob_MedDisc_FreqList_03##</v>
      </c>
    </row>
    <row r="204" spans="1:4" x14ac:dyDescent="0.2">
      <c r="A204" s="151" t="s">
        <v>5943</v>
      </c>
      <c r="B204" t="str">
        <f>IF(ISBLANK(GlobBerMedDisc!$BE$5),"",GlobBerMedDisc!$BE$5)</f>
        <v/>
      </c>
      <c r="C204" s="151"/>
      <c r="D204" s="151" t="str">
        <f t="shared" si="3"/>
        <v>_Glob_MedDisc_FreqList_04##</v>
      </c>
    </row>
    <row r="205" spans="1:4" x14ac:dyDescent="0.2">
      <c r="A205" s="151" t="s">
        <v>5944</v>
      </c>
      <c r="B205" t="str">
        <f>IF(ISBLANK(GlobBerMedDisc!$BE$6),"",GlobBerMedDisc!$BE$6)</f>
        <v/>
      </c>
      <c r="C205" s="151"/>
      <c r="D205" s="151" t="str">
        <f t="shared" si="3"/>
        <v>_Glob_MedDisc_FreqList_05##</v>
      </c>
    </row>
    <row r="206" spans="1:4" x14ac:dyDescent="0.2">
      <c r="A206" s="151" t="s">
        <v>5945</v>
      </c>
      <c r="B206" t="str">
        <f>IF(ISBLANK(GlobBerMedDisc!$BE$7),"",GlobBerMedDisc!$BE$7)</f>
        <v/>
      </c>
      <c r="C206" s="151"/>
      <c r="D206" s="151" t="str">
        <f t="shared" si="3"/>
        <v>_Glob_MedDisc_FreqList_06##</v>
      </c>
    </row>
    <row r="207" spans="1:4" x14ac:dyDescent="0.2">
      <c r="A207" s="151" t="s">
        <v>5946</v>
      </c>
      <c r="B207" t="str">
        <f>IF(ISBLANK(GlobBerMedDisc!$BE$8),"",GlobBerMedDisc!$BE$8)</f>
        <v/>
      </c>
      <c r="C207" s="151"/>
      <c r="D207" s="151" t="str">
        <f t="shared" si="3"/>
        <v>_Glob_MedDisc_FreqList_07##</v>
      </c>
    </row>
    <row r="208" spans="1:4" x14ac:dyDescent="0.2">
      <c r="A208" s="151" t="s">
        <v>5947</v>
      </c>
      <c r="B208" t="str">
        <f>IF(ISBLANK(GlobBerMedDisc!$BE$9),"",GlobBerMedDisc!$BE$9)</f>
        <v/>
      </c>
      <c r="C208" s="151"/>
      <c r="D208" s="151" t="str">
        <f t="shared" si="3"/>
        <v>_Glob_MedDisc_FreqList_08##</v>
      </c>
    </row>
    <row r="209" spans="1:4" x14ac:dyDescent="0.2">
      <c r="A209" s="151" t="s">
        <v>5948</v>
      </c>
      <c r="B209" t="str">
        <f>IF(ISBLANK(GlobBerMedDisc!$BE$10),"",GlobBerMedDisc!$BE$10)</f>
        <v/>
      </c>
      <c r="C209" s="151"/>
      <c r="D209" s="151" t="str">
        <f t="shared" si="3"/>
        <v>_Glob_MedDisc_FreqList_09##</v>
      </c>
    </row>
    <row r="210" spans="1:4" x14ac:dyDescent="0.2">
      <c r="A210" s="151" t="s">
        <v>5949</v>
      </c>
      <c r="B210" t="str">
        <f>IF(ISBLANK(GlobBerMedDisc!$BE$11),"",GlobBerMedDisc!$BE$11)</f>
        <v/>
      </c>
      <c r="C210" s="151"/>
      <c r="D210" s="151" t="str">
        <f t="shared" si="3"/>
        <v>_Glob_MedDisc_FreqList_10##</v>
      </c>
    </row>
    <row r="211" spans="1:4" x14ac:dyDescent="0.2">
      <c r="A211" s="151" t="s">
        <v>5950</v>
      </c>
      <c r="B211" t="str">
        <f>IF(ISBLANK(GlobBerMedDisc!$BE$12),"",GlobBerMedDisc!$BE$12)</f>
        <v/>
      </c>
      <c r="C211" s="151"/>
      <c r="D211" s="151" t="str">
        <f t="shared" si="3"/>
        <v>_Glob_MedDisc_FreqList_11##</v>
      </c>
    </row>
    <row r="212" spans="1:4" x14ac:dyDescent="0.2">
      <c r="A212" s="151" t="s">
        <v>5951</v>
      </c>
      <c r="B212" t="str">
        <f>IF(ISBLANK(GlobBerMedDisc!$BE$13),"",GlobBerMedDisc!$BE$13)</f>
        <v/>
      </c>
      <c r="C212" s="151"/>
      <c r="D212" s="151" t="str">
        <f t="shared" si="3"/>
        <v>_Glob_MedDisc_FreqList_12##</v>
      </c>
    </row>
    <row r="213" spans="1:4" x14ac:dyDescent="0.2">
      <c r="A213" s="151" t="s">
        <v>5952</v>
      </c>
      <c r="B213" t="str">
        <f>IF(ISBLANK(GlobBerMedDisc!$BE$14),"",GlobBerMedDisc!$BE$14)</f>
        <v/>
      </c>
      <c r="C213" s="151"/>
      <c r="D213" s="151" t="str">
        <f t="shared" si="3"/>
        <v>_Glob_MedDisc_FreqList_13##</v>
      </c>
    </row>
    <row r="214" spans="1:4" x14ac:dyDescent="0.2">
      <c r="A214" s="151" t="s">
        <v>5953</v>
      </c>
      <c r="B214" t="str">
        <f>IF(ISBLANK(GlobBerMedDisc!$BE$15),"",GlobBerMedDisc!$BE$15)</f>
        <v/>
      </c>
      <c r="C214" s="151"/>
      <c r="D214" s="151" t="str">
        <f t="shared" si="3"/>
        <v>_Glob_MedDisc_FreqList_14##</v>
      </c>
    </row>
    <row r="215" spans="1:4" x14ac:dyDescent="0.2">
      <c r="A215" s="151" t="s">
        <v>5954</v>
      </c>
      <c r="B215" t="str">
        <f>IF(ISBLANK(GlobBerMedDisc!$BE$16),"",GlobBerMedDisc!$BE$16)</f>
        <v/>
      </c>
      <c r="C215" s="151"/>
      <c r="D215" s="151" t="str">
        <f t="shared" si="3"/>
        <v>_Glob_MedDisc_FreqList_15##</v>
      </c>
    </row>
    <row r="216" spans="1:4" x14ac:dyDescent="0.2">
      <c r="A216" s="151" t="s">
        <v>5955</v>
      </c>
      <c r="B216" t="str">
        <f>IF(ISBLANK(GlobBerMedDisc!$BE$17),"",GlobBerMedDisc!$BE$17)</f>
        <v/>
      </c>
      <c r="C216" s="151"/>
      <c r="D216" s="151" t="str">
        <f t="shared" si="3"/>
        <v>_Glob_MedDisc_FreqList_16##</v>
      </c>
    </row>
    <row r="217" spans="1:4" x14ac:dyDescent="0.2">
      <c r="A217" s="151" t="s">
        <v>5956</v>
      </c>
      <c r="B217" t="str">
        <f>IF(ISBLANK(GlobBerMedDisc!$BE$18),"",GlobBerMedDisc!$BE$18)</f>
        <v/>
      </c>
      <c r="C217" s="151"/>
      <c r="D217" s="151" t="str">
        <f t="shared" si="3"/>
        <v>_Glob_MedDisc_FreqList_17##</v>
      </c>
    </row>
    <row r="218" spans="1:4" x14ac:dyDescent="0.2">
      <c r="A218" s="151" t="s">
        <v>5957</v>
      </c>
      <c r="B218" t="str">
        <f>IF(ISBLANK(GlobBerMedDisc!$BE$19),"",GlobBerMedDisc!$BE$19)</f>
        <v/>
      </c>
      <c r="C218" s="151"/>
      <c r="D218" s="151" t="str">
        <f t="shared" si="3"/>
        <v>_Glob_MedDisc_FreqList_18##</v>
      </c>
    </row>
    <row r="219" spans="1:4" x14ac:dyDescent="0.2">
      <c r="A219" s="151" t="s">
        <v>5958</v>
      </c>
      <c r="B219" t="str">
        <f>IF(ISBLANK(GlobBerMedDisc!$BE$20),"",GlobBerMedDisc!$BE$20)</f>
        <v/>
      </c>
      <c r="C219" s="151"/>
      <c r="D219" s="151" t="str">
        <f t="shared" si="3"/>
        <v>_Glob_MedDisc_FreqList_19##</v>
      </c>
    </row>
    <row r="220" spans="1:4" x14ac:dyDescent="0.2">
      <c r="A220" s="151" t="s">
        <v>5959</v>
      </c>
      <c r="B220" t="str">
        <f>IF(ISBLANK(GlobBerMedDisc!$BE$21),"",GlobBerMedDisc!$BE$21)</f>
        <v/>
      </c>
      <c r="C220" s="151"/>
      <c r="D220" s="151" t="str">
        <f t="shared" si="3"/>
        <v>_Glob_MedDisc_FreqList_20##</v>
      </c>
    </row>
    <row r="221" spans="1:4" x14ac:dyDescent="0.2">
      <c r="A221" s="151" t="s">
        <v>5960</v>
      </c>
      <c r="B221" t="str">
        <f>IF(ISBLANK(GlobBerMedDisc!$BE$22),"",GlobBerMedDisc!$BE$22)</f>
        <v/>
      </c>
      <c r="C221" s="151"/>
      <c r="D221" s="151" t="str">
        <f t="shared" si="3"/>
        <v>_Glob_MedDisc_FreqList_21##</v>
      </c>
    </row>
    <row r="222" spans="1:4" x14ac:dyDescent="0.2">
      <c r="A222" s="151" t="s">
        <v>5961</v>
      </c>
      <c r="B222" t="str">
        <f>IF(ISBLANK(GlobBerMedDisc!$BE$23),"",GlobBerMedDisc!$BE$23)</f>
        <v/>
      </c>
      <c r="C222" s="151"/>
      <c r="D222" s="151" t="str">
        <f t="shared" si="3"/>
        <v>_Glob_MedDisc_FreqList_22##</v>
      </c>
    </row>
    <row r="223" spans="1:4" x14ac:dyDescent="0.2">
      <c r="A223" s="151" t="s">
        <v>5962</v>
      </c>
      <c r="B223" t="str">
        <f>IF(ISBLANK(GlobBerMedDisc!$BE$24),"",GlobBerMedDisc!$BE$24)</f>
        <v/>
      </c>
      <c r="C223" s="151"/>
      <c r="D223" s="151" t="str">
        <f t="shared" si="3"/>
        <v>_Glob_MedDisc_FreqList_23##</v>
      </c>
    </row>
    <row r="224" spans="1:4" x14ac:dyDescent="0.2">
      <c r="A224" s="151" t="s">
        <v>5963</v>
      </c>
      <c r="B224" t="str">
        <f>IF(ISBLANK(GlobBerMedDisc!$BE$25),"",GlobBerMedDisc!$BE$25)</f>
        <v/>
      </c>
      <c r="C224" s="151"/>
      <c r="D224" s="151" t="str">
        <f t="shared" si="3"/>
        <v>_Glob_MedDisc_FreqList_24##</v>
      </c>
    </row>
    <row r="225" spans="1:4" x14ac:dyDescent="0.2">
      <c r="A225" s="151" t="s">
        <v>5964</v>
      </c>
      <c r="B225" t="str">
        <f>IF(ISBLANK(GlobBerMedDisc!$BE$26),"",GlobBerMedDisc!$BE$26)</f>
        <v/>
      </c>
      <c r="C225" s="151"/>
      <c r="D225" s="151" t="str">
        <f t="shared" si="3"/>
        <v>_Glob_MedDisc_FreqList_25##</v>
      </c>
    </row>
    <row r="226" spans="1:4" x14ac:dyDescent="0.2">
      <c r="A226" s="151" t="s">
        <v>5965</v>
      </c>
      <c r="B226" t="str">
        <f>IF(ISBLANK(GlobBerMedDisc!$BE$27),"",GlobBerMedDisc!$BE$27)</f>
        <v/>
      </c>
      <c r="C226" s="151"/>
      <c r="D226" s="151" t="str">
        <f t="shared" si="3"/>
        <v>_Glob_MedDisc_FreqList_26##</v>
      </c>
    </row>
    <row r="227" spans="1:4" x14ac:dyDescent="0.2">
      <c r="A227" s="151" t="s">
        <v>5966</v>
      </c>
      <c r="B227" t="str">
        <f>IF(ISBLANK(GlobBerMedDisc!$BE$28),"",GlobBerMedDisc!$BE$28)</f>
        <v/>
      </c>
      <c r="C227" s="151"/>
      <c r="D227" s="151" t="str">
        <f t="shared" si="3"/>
        <v>_Glob_MedDisc_FreqList_27##</v>
      </c>
    </row>
    <row r="228" spans="1:4" x14ac:dyDescent="0.2">
      <c r="A228" s="151" t="s">
        <v>5967</v>
      </c>
      <c r="B228" t="str">
        <f>IF(ISBLANK(GlobBerMedDisc!$BE$29),"",GlobBerMedDisc!$BE$29)</f>
        <v/>
      </c>
      <c r="C228" s="151"/>
      <c r="D228" s="151" t="str">
        <f t="shared" si="3"/>
        <v>_Glob_MedDisc_FreqList_28##</v>
      </c>
    </row>
    <row r="229" spans="1:4" x14ac:dyDescent="0.2">
      <c r="A229" s="151" t="s">
        <v>5968</v>
      </c>
      <c r="B229" t="str">
        <f>IF(ISBLANK(GlobBerMedDisc!$BE$30),"",GlobBerMedDisc!$BE$30)</f>
        <v/>
      </c>
      <c r="C229" s="151"/>
      <c r="D229" s="151" t="str">
        <f t="shared" si="3"/>
        <v>_Glob_MedDisc_FreqList_29##</v>
      </c>
    </row>
    <row r="230" spans="1:4" x14ac:dyDescent="0.2">
      <c r="A230" s="151" t="s">
        <v>5969</v>
      </c>
      <c r="B230" t="str">
        <f>IF(ISBLANK(GlobBerMedDisc!$BE$31),"",GlobBerMedDisc!$BE$31)</f>
        <v/>
      </c>
      <c r="C230" s="151"/>
      <c r="D230" s="151" t="str">
        <f t="shared" si="3"/>
        <v>_Glob_MedDisc_FreqList_30##</v>
      </c>
    </row>
    <row r="231" spans="1:4" x14ac:dyDescent="0.2">
      <c r="A231" s="151" t="s">
        <v>1848</v>
      </c>
      <c r="B231" t="str">
        <f>IF(ISBLANK(GlobBerMedDisc!$D$2),"",GlobBerMedDisc!$D$2)</f>
        <v/>
      </c>
      <c r="C231" s="44"/>
      <c r="D231" s="151" t="str">
        <f t="shared" si="3"/>
        <v>_Glob_MedDisc_Generic_01##</v>
      </c>
    </row>
    <row r="232" spans="1:4" x14ac:dyDescent="0.2">
      <c r="A232" s="151" t="s">
        <v>1849</v>
      </c>
      <c r="B232" t="str">
        <f>IF(ISBLANK(GlobBerMedDisc!$D$3),"",GlobBerMedDisc!$D$3)</f>
        <v/>
      </c>
      <c r="C232" s="44"/>
      <c r="D232" s="151" t="str">
        <f t="shared" si="3"/>
        <v>_Glob_MedDisc_Generic_02##</v>
      </c>
    </row>
    <row r="233" spans="1:4" x14ac:dyDescent="0.2">
      <c r="A233" s="151" t="s">
        <v>1850</v>
      </c>
      <c r="B233" t="str">
        <f>IF(ISBLANK(GlobBerMedDisc!$D$4),"",GlobBerMedDisc!$D$4)</f>
        <v/>
      </c>
      <c r="C233" s="44"/>
      <c r="D233" s="151" t="str">
        <f t="shared" si="3"/>
        <v>_Glob_MedDisc_Generic_03##</v>
      </c>
    </row>
    <row r="234" spans="1:4" x14ac:dyDescent="0.2">
      <c r="A234" s="151" t="s">
        <v>1851</v>
      </c>
      <c r="B234" t="str">
        <f>IF(ISBLANK(GlobBerMedDisc!$D$5),"",GlobBerMedDisc!$D$5)</f>
        <v/>
      </c>
      <c r="C234" s="44"/>
      <c r="D234" s="151" t="str">
        <f t="shared" si="3"/>
        <v>_Glob_MedDisc_Generic_04##</v>
      </c>
    </row>
    <row r="235" spans="1:4" x14ac:dyDescent="0.2">
      <c r="A235" s="151" t="s">
        <v>1852</v>
      </c>
      <c r="B235" t="str">
        <f>IF(ISBLANK(GlobBerMedDisc!$D$6),"",GlobBerMedDisc!$D$6)</f>
        <v/>
      </c>
      <c r="C235" s="44"/>
      <c r="D235" s="151" t="str">
        <f t="shared" si="3"/>
        <v>_Glob_MedDisc_Generic_05##</v>
      </c>
    </row>
    <row r="236" spans="1:4" x14ac:dyDescent="0.2">
      <c r="A236" s="151" t="s">
        <v>1853</v>
      </c>
      <c r="B236" t="str">
        <f>IF(ISBLANK(GlobBerMedDisc!$D$7),"",GlobBerMedDisc!$D$7)</f>
        <v/>
      </c>
      <c r="C236" s="44"/>
      <c r="D236" s="151" t="str">
        <f t="shared" si="3"/>
        <v>_Glob_MedDisc_Generic_06##</v>
      </c>
    </row>
    <row r="237" spans="1:4" x14ac:dyDescent="0.2">
      <c r="A237" s="151" t="s">
        <v>1854</v>
      </c>
      <c r="B237" t="str">
        <f>IF(ISBLANK(GlobBerMedDisc!$D$8),"",GlobBerMedDisc!$D$8)</f>
        <v/>
      </c>
      <c r="C237" s="44"/>
      <c r="D237" s="151" t="str">
        <f t="shared" si="3"/>
        <v>_Glob_MedDisc_Generic_07##</v>
      </c>
    </row>
    <row r="238" spans="1:4" x14ac:dyDescent="0.2">
      <c r="A238" s="151" t="s">
        <v>1855</v>
      </c>
      <c r="B238" t="str">
        <f>IF(ISBLANK(GlobBerMedDisc!$D$9),"",GlobBerMedDisc!$D$9)</f>
        <v/>
      </c>
      <c r="C238" s="44"/>
      <c r="D238" s="151" t="str">
        <f t="shared" si="3"/>
        <v>_Glob_MedDisc_Generic_08##</v>
      </c>
    </row>
    <row r="239" spans="1:4" x14ac:dyDescent="0.2">
      <c r="A239" s="151" t="s">
        <v>1856</v>
      </c>
      <c r="B239" t="str">
        <f>IF(ISBLANK(GlobBerMedDisc!$D$10),"",GlobBerMedDisc!$D$10)</f>
        <v/>
      </c>
      <c r="C239" s="44"/>
      <c r="D239" s="151" t="str">
        <f t="shared" si="3"/>
        <v>_Glob_MedDisc_Generic_09##</v>
      </c>
    </row>
    <row r="240" spans="1:4" x14ac:dyDescent="0.2">
      <c r="A240" s="151" t="s">
        <v>1857</v>
      </c>
      <c r="B240" t="str">
        <f>IF(ISBLANK(GlobBerMedDisc!$D$11),"",GlobBerMedDisc!$D$11)</f>
        <v/>
      </c>
      <c r="C240" s="44"/>
      <c r="D240" s="151" t="str">
        <f t="shared" si="3"/>
        <v>_Glob_MedDisc_Generic_10##</v>
      </c>
    </row>
    <row r="241" spans="1:6" x14ac:dyDescent="0.2">
      <c r="A241" s="151" t="s">
        <v>1858</v>
      </c>
      <c r="B241" t="str">
        <f>IF(ISBLANK(GlobBerMedDisc!$D$12),"",GlobBerMedDisc!$D$12)</f>
        <v/>
      </c>
      <c r="C241" s="44"/>
      <c r="D241" s="151" t="str">
        <f t="shared" si="3"/>
        <v>_Glob_MedDisc_Generic_11##</v>
      </c>
    </row>
    <row r="242" spans="1:6" x14ac:dyDescent="0.2">
      <c r="A242" s="151" t="s">
        <v>1859</v>
      </c>
      <c r="B242" t="str">
        <f>IF(ISBLANK(GlobBerMedDisc!$D$13),"",GlobBerMedDisc!$D$13)</f>
        <v/>
      </c>
      <c r="C242" s="44"/>
      <c r="D242" s="151" t="str">
        <f t="shared" si="3"/>
        <v>_Glob_MedDisc_Generic_12##</v>
      </c>
    </row>
    <row r="243" spans="1:6" x14ac:dyDescent="0.2">
      <c r="A243" s="151" t="s">
        <v>1860</v>
      </c>
      <c r="B243" t="str">
        <f>IF(ISBLANK(GlobBerMedDisc!$D$14),"",GlobBerMedDisc!$D$14)</f>
        <v/>
      </c>
      <c r="C243" s="44"/>
      <c r="D243" s="151" t="str">
        <f t="shared" si="3"/>
        <v>_Glob_MedDisc_Generic_13##</v>
      </c>
    </row>
    <row r="244" spans="1:6" x14ac:dyDescent="0.2">
      <c r="A244" s="151" t="s">
        <v>1861</v>
      </c>
      <c r="B244" t="str">
        <f>IF(ISBLANK(GlobBerMedDisc!$D$15),"",GlobBerMedDisc!$D$15)</f>
        <v/>
      </c>
      <c r="C244" s="44"/>
      <c r="D244" s="151" t="str">
        <f t="shared" si="3"/>
        <v>_Glob_MedDisc_Generic_14##</v>
      </c>
    </row>
    <row r="245" spans="1:6" x14ac:dyDescent="0.2">
      <c r="A245" s="151" t="s">
        <v>1862</v>
      </c>
      <c r="B245" t="str">
        <f>IF(ISBLANK(GlobBerMedDisc!$D$16),"",GlobBerMedDisc!$D$16)</f>
        <v/>
      </c>
      <c r="C245" s="44"/>
      <c r="D245" s="151" t="str">
        <f t="shared" si="3"/>
        <v>_Glob_MedDisc_Generic_15##</v>
      </c>
    </row>
    <row r="246" spans="1:6" x14ac:dyDescent="0.2">
      <c r="A246" s="151" t="s">
        <v>1863</v>
      </c>
      <c r="B246" t="str">
        <f>IF(ISBLANK(GlobBerMedDisc!$D$17),"",GlobBerMedDisc!$D$17)</f>
        <v/>
      </c>
      <c r="C246" s="44"/>
      <c r="D246" s="151" t="str">
        <f t="shared" si="3"/>
        <v>_Glob_MedDisc_Generic_16##</v>
      </c>
    </row>
    <row r="247" spans="1:6" s="151" customFormat="1" x14ac:dyDescent="0.2">
      <c r="A247" s="151" t="s">
        <v>1864</v>
      </c>
      <c r="B247" t="str">
        <f>IF(ISBLANK(GlobBerMedDisc!$D$18),"",GlobBerMedDisc!$D$18)</f>
        <v/>
      </c>
      <c r="C247" s="44"/>
      <c r="D247" s="151" t="str">
        <f t="shared" si="3"/>
        <v>_Glob_MedDisc_Generic_17##</v>
      </c>
      <c r="E247"/>
      <c r="F247"/>
    </row>
    <row r="248" spans="1:6" s="151" customFormat="1" x14ac:dyDescent="0.2">
      <c r="A248" s="151" t="s">
        <v>1865</v>
      </c>
      <c r="B248" t="str">
        <f>IF(ISBLANK(GlobBerMedDisc!$D$19),"",GlobBerMedDisc!$D$19)</f>
        <v/>
      </c>
      <c r="C248" s="44"/>
      <c r="D248" s="151" t="str">
        <f t="shared" si="3"/>
        <v>_Glob_MedDisc_Generic_18##</v>
      </c>
      <c r="E248"/>
      <c r="F248"/>
    </row>
    <row r="249" spans="1:6" s="151" customFormat="1" x14ac:dyDescent="0.2">
      <c r="A249" s="151" t="s">
        <v>1866</v>
      </c>
      <c r="B249" t="str">
        <f>IF(ISBLANK(GlobBerMedDisc!$D$20),"",GlobBerMedDisc!$D$20)</f>
        <v/>
      </c>
      <c r="C249" s="44"/>
      <c r="D249" s="151" t="str">
        <f t="shared" si="3"/>
        <v>_Glob_MedDisc_Generic_19##</v>
      </c>
      <c r="E249"/>
      <c r="F249"/>
    </row>
    <row r="250" spans="1:6" s="151" customFormat="1" x14ac:dyDescent="0.2">
      <c r="A250" s="151" t="s">
        <v>1867</v>
      </c>
      <c r="B250" t="str">
        <f>IF(ISBLANK(GlobBerMedDisc!$D$21),"",GlobBerMedDisc!$D$21)</f>
        <v/>
      </c>
      <c r="C250" s="44"/>
      <c r="D250" s="151" t="str">
        <f t="shared" si="3"/>
        <v>_Glob_MedDisc_Generic_20##</v>
      </c>
      <c r="E250"/>
      <c r="F250"/>
    </row>
    <row r="251" spans="1:6" s="151" customFormat="1" x14ac:dyDescent="0.2">
      <c r="A251" s="151" t="s">
        <v>1868</v>
      </c>
      <c r="B251" t="str">
        <f>IF(ISBLANK(GlobBerMedDisc!$D$22),"",GlobBerMedDisc!$D$22)</f>
        <v/>
      </c>
      <c r="C251" s="44"/>
      <c r="D251" s="151" t="str">
        <f t="shared" si="3"/>
        <v>_Glob_MedDisc_Generic_21##</v>
      </c>
      <c r="E251"/>
      <c r="F251"/>
    </row>
    <row r="252" spans="1:6" s="151" customFormat="1" x14ac:dyDescent="0.2">
      <c r="A252" s="151" t="s">
        <v>1869</v>
      </c>
      <c r="B252" t="str">
        <f>IF(ISBLANK(GlobBerMedDisc!$D$23),"",GlobBerMedDisc!$D$23)</f>
        <v/>
      </c>
      <c r="C252" s="44"/>
      <c r="D252" s="151" t="str">
        <f t="shared" si="3"/>
        <v>_Glob_MedDisc_Generic_22##</v>
      </c>
      <c r="E252"/>
      <c r="F252"/>
    </row>
    <row r="253" spans="1:6" s="151" customFormat="1" x14ac:dyDescent="0.2">
      <c r="A253" s="151" t="s">
        <v>1870</v>
      </c>
      <c r="B253" t="str">
        <f>IF(ISBLANK(GlobBerMedDisc!$D$24),"",GlobBerMedDisc!$D$24)</f>
        <v/>
      </c>
      <c r="C253" s="44"/>
      <c r="D253" s="151" t="str">
        <f t="shared" si="3"/>
        <v>_Glob_MedDisc_Generic_23##</v>
      </c>
      <c r="E253"/>
      <c r="F253"/>
    </row>
    <row r="254" spans="1:6" s="151" customFormat="1" x14ac:dyDescent="0.2">
      <c r="A254" s="151" t="s">
        <v>1871</v>
      </c>
      <c r="B254" t="str">
        <f>IF(ISBLANK(GlobBerMedDisc!$D$25),"",GlobBerMedDisc!$D$25)</f>
        <v/>
      </c>
      <c r="C254" s="44"/>
      <c r="D254" s="151" t="str">
        <f t="shared" si="3"/>
        <v>_Glob_MedDisc_Generic_24##</v>
      </c>
      <c r="E254"/>
      <c r="F254"/>
    </row>
    <row r="255" spans="1:6" s="151" customFormat="1" x14ac:dyDescent="0.2">
      <c r="A255" s="151" t="s">
        <v>1872</v>
      </c>
      <c r="B255" t="str">
        <f>IF(ISBLANK(GlobBerMedDisc!$D$26),"",GlobBerMedDisc!$D$26)</f>
        <v/>
      </c>
      <c r="C255" s="44"/>
      <c r="D255" s="151" t="str">
        <f t="shared" si="3"/>
        <v>_Glob_MedDisc_Generic_25##</v>
      </c>
      <c r="E255"/>
      <c r="F255"/>
    </row>
    <row r="256" spans="1:6" s="151" customFormat="1" x14ac:dyDescent="0.2">
      <c r="A256" s="151" t="s">
        <v>1873</v>
      </c>
      <c r="B256" t="str">
        <f>IF(ISBLANK(GlobBerMedDisc!$D$27),"",GlobBerMedDisc!$D$27)</f>
        <v/>
      </c>
      <c r="C256" s="44"/>
      <c r="D256" s="151" t="str">
        <f t="shared" si="3"/>
        <v>_Glob_MedDisc_Generic_26##</v>
      </c>
      <c r="E256"/>
      <c r="F256"/>
    </row>
    <row r="257" spans="1:6" s="151" customFormat="1" x14ac:dyDescent="0.2">
      <c r="A257" s="151" t="s">
        <v>1874</v>
      </c>
      <c r="B257" t="str">
        <f>IF(ISBLANK(GlobBerMedDisc!$D$28),"",GlobBerMedDisc!$D$28)</f>
        <v/>
      </c>
      <c r="C257" s="44"/>
      <c r="D257" s="151" t="str">
        <f t="shared" si="3"/>
        <v>_Glob_MedDisc_Generic_27##</v>
      </c>
      <c r="E257"/>
      <c r="F257"/>
    </row>
    <row r="258" spans="1:6" s="151" customFormat="1" x14ac:dyDescent="0.2">
      <c r="A258" s="151" t="s">
        <v>1875</v>
      </c>
      <c r="B258" t="str">
        <f>IF(ISBLANK(GlobBerMedDisc!$D$29),"",GlobBerMedDisc!$D$29)</f>
        <v/>
      </c>
      <c r="C258" s="44"/>
      <c r="D258" s="151" t="str">
        <f t="shared" si="3"/>
        <v>_Glob_MedDisc_Generic_28##</v>
      </c>
      <c r="E258"/>
      <c r="F258"/>
    </row>
    <row r="259" spans="1:6" s="151" customFormat="1" x14ac:dyDescent="0.2">
      <c r="A259" s="151" t="s">
        <v>1876</v>
      </c>
      <c r="B259" t="str">
        <f>IF(ISBLANK(GlobBerMedDisc!$D$30),"",GlobBerMedDisc!$D$30)</f>
        <v/>
      </c>
      <c r="C259" s="44"/>
      <c r="D259" s="151" t="str">
        <f t="shared" ref="D259:D322" si="4">A259&amp;"##"&amp;B259</f>
        <v>_Glob_MedDisc_Generic_29##</v>
      </c>
      <c r="E259"/>
      <c r="F259"/>
    </row>
    <row r="260" spans="1:6" s="151" customFormat="1" x14ac:dyDescent="0.2">
      <c r="A260" s="151" t="s">
        <v>1877</v>
      </c>
      <c r="B260" t="str">
        <f>IF(ISBLANK(GlobBerMedDisc!$D$31),"",GlobBerMedDisc!$D$31)</f>
        <v/>
      </c>
      <c r="C260" s="44"/>
      <c r="D260" s="151" t="str">
        <f t="shared" si="4"/>
        <v>_Glob_MedDisc_Generic_30##</v>
      </c>
      <c r="E260"/>
      <c r="F260"/>
    </row>
    <row r="261" spans="1:6" s="151" customFormat="1" x14ac:dyDescent="0.2">
      <c r="A261" s="151" t="s">
        <v>1878</v>
      </c>
      <c r="B261" s="151" t="str">
        <f>IF(ISBLANK(GlobBerMedDisc!$V$2),"",GlobBerMedDisc!$V$2)</f>
        <v/>
      </c>
      <c r="C261" s="44"/>
      <c r="D261" s="151" t="str">
        <f t="shared" si="4"/>
        <v>_Glob_MedDisc_GPK_01##</v>
      </c>
    </row>
    <row r="262" spans="1:6" s="151" customFormat="1" x14ac:dyDescent="0.2">
      <c r="A262" s="151" t="s">
        <v>1879</v>
      </c>
      <c r="B262" s="151" t="str">
        <f>IF(ISBLANK(GlobBerMedDisc!$V$3),"",GlobBerMedDisc!$V$3)</f>
        <v/>
      </c>
      <c r="C262" s="44"/>
      <c r="D262" s="151" t="str">
        <f t="shared" si="4"/>
        <v>_Glob_MedDisc_GPK_02##</v>
      </c>
    </row>
    <row r="263" spans="1:6" s="151" customFormat="1" x14ac:dyDescent="0.2">
      <c r="A263" s="151" t="s">
        <v>1880</v>
      </c>
      <c r="B263" s="151" t="str">
        <f>IF(ISBLANK(GlobBerMedDisc!$V$4),"",GlobBerMedDisc!$V$4)</f>
        <v/>
      </c>
      <c r="C263" s="44"/>
      <c r="D263" s="151" t="str">
        <f t="shared" si="4"/>
        <v>_Glob_MedDisc_GPK_03##</v>
      </c>
    </row>
    <row r="264" spans="1:6" s="151" customFormat="1" x14ac:dyDescent="0.2">
      <c r="A264" s="151" t="s">
        <v>1881</v>
      </c>
      <c r="B264" s="151" t="str">
        <f>IF(ISBLANK(GlobBerMedDisc!$V$5),"",GlobBerMedDisc!$V$5)</f>
        <v/>
      </c>
      <c r="C264" s="44"/>
      <c r="D264" s="151" t="str">
        <f t="shared" si="4"/>
        <v>_Glob_MedDisc_GPK_04##</v>
      </c>
    </row>
    <row r="265" spans="1:6" s="151" customFormat="1" x14ac:dyDescent="0.2">
      <c r="A265" s="151" t="s">
        <v>1882</v>
      </c>
      <c r="B265" s="151" t="str">
        <f>IF(ISBLANK(GlobBerMedDisc!$V$6),"",GlobBerMedDisc!$V$6)</f>
        <v/>
      </c>
      <c r="C265" s="44"/>
      <c r="D265" s="151" t="str">
        <f t="shared" si="4"/>
        <v>_Glob_MedDisc_GPK_05##</v>
      </c>
    </row>
    <row r="266" spans="1:6" s="151" customFormat="1" x14ac:dyDescent="0.2">
      <c r="A266" s="151" t="s">
        <v>1883</v>
      </c>
      <c r="B266" s="151" t="str">
        <f>IF(ISBLANK(GlobBerMedDisc!$V$7),"",GlobBerMedDisc!$V$7)</f>
        <v/>
      </c>
      <c r="C266" s="44"/>
      <c r="D266" s="151" t="str">
        <f t="shared" si="4"/>
        <v>_Glob_MedDisc_GPK_06##</v>
      </c>
    </row>
    <row r="267" spans="1:6" s="151" customFormat="1" x14ac:dyDescent="0.2">
      <c r="A267" s="151" t="s">
        <v>1884</v>
      </c>
      <c r="B267" s="151" t="str">
        <f>IF(ISBLANK(GlobBerMedDisc!$V$8),"",GlobBerMedDisc!$V$8)</f>
        <v/>
      </c>
      <c r="C267" s="44"/>
      <c r="D267" s="151" t="str">
        <f t="shared" si="4"/>
        <v>_Glob_MedDisc_GPK_07##</v>
      </c>
    </row>
    <row r="268" spans="1:6" s="151" customFormat="1" x14ac:dyDescent="0.2">
      <c r="A268" s="151" t="s">
        <v>1885</v>
      </c>
      <c r="B268" s="151" t="str">
        <f>IF(ISBLANK(GlobBerMedDisc!$V$9),"",GlobBerMedDisc!$V$9)</f>
        <v/>
      </c>
      <c r="C268" s="44"/>
      <c r="D268" s="151" t="str">
        <f t="shared" si="4"/>
        <v>_Glob_MedDisc_GPK_08##</v>
      </c>
    </row>
    <row r="269" spans="1:6" s="151" customFormat="1" x14ac:dyDescent="0.2">
      <c r="A269" s="151" t="s">
        <v>1886</v>
      </c>
      <c r="B269" s="151" t="str">
        <f>IF(ISBLANK(GlobBerMedDisc!$V$10),"",GlobBerMedDisc!$V$10)</f>
        <v/>
      </c>
      <c r="C269" s="44"/>
      <c r="D269" s="151" t="str">
        <f t="shared" si="4"/>
        <v>_Glob_MedDisc_GPK_09##</v>
      </c>
    </row>
    <row r="270" spans="1:6" s="151" customFormat="1" x14ac:dyDescent="0.2">
      <c r="A270" s="151" t="s">
        <v>1887</v>
      </c>
      <c r="B270" s="151" t="str">
        <f>IF(ISBLANK(GlobBerMedDisc!$V$11),"",GlobBerMedDisc!$V$11)</f>
        <v/>
      </c>
      <c r="C270" s="44"/>
      <c r="D270" s="151" t="str">
        <f t="shared" si="4"/>
        <v>_Glob_MedDisc_GPK_10##</v>
      </c>
    </row>
    <row r="271" spans="1:6" s="151" customFormat="1" x14ac:dyDescent="0.2">
      <c r="A271" s="151" t="s">
        <v>1888</v>
      </c>
      <c r="B271" s="151" t="str">
        <f>IF(ISBLANK(GlobBerMedDisc!$V$12),"",GlobBerMedDisc!$V$12)</f>
        <v/>
      </c>
      <c r="C271" s="44"/>
      <c r="D271" s="151" t="str">
        <f t="shared" si="4"/>
        <v>_Glob_MedDisc_GPK_11##</v>
      </c>
    </row>
    <row r="272" spans="1:6" s="151" customFormat="1" x14ac:dyDescent="0.2">
      <c r="A272" s="151" t="s">
        <v>1889</v>
      </c>
      <c r="B272" s="151" t="str">
        <f>IF(ISBLANK(GlobBerMedDisc!$V$13),"",GlobBerMedDisc!$V$13)</f>
        <v/>
      </c>
      <c r="C272" s="44"/>
      <c r="D272" s="151" t="str">
        <f t="shared" si="4"/>
        <v>_Glob_MedDisc_GPK_12##</v>
      </c>
    </row>
    <row r="273" spans="1:6" s="151" customFormat="1" x14ac:dyDescent="0.2">
      <c r="A273" s="151" t="s">
        <v>1890</v>
      </c>
      <c r="B273" s="151" t="str">
        <f>IF(ISBLANK(GlobBerMedDisc!$V$14),"",GlobBerMedDisc!$V$14)</f>
        <v/>
      </c>
      <c r="C273" s="44"/>
      <c r="D273" s="151" t="str">
        <f t="shared" si="4"/>
        <v>_Glob_MedDisc_GPK_13##</v>
      </c>
    </row>
    <row r="274" spans="1:6" s="151" customFormat="1" x14ac:dyDescent="0.2">
      <c r="A274" s="151" t="s">
        <v>1891</v>
      </c>
      <c r="B274" s="151" t="str">
        <f>IF(ISBLANK(GlobBerMedDisc!$V$15),"",GlobBerMedDisc!$V$15)</f>
        <v/>
      </c>
      <c r="C274" s="44"/>
      <c r="D274" s="151" t="str">
        <f t="shared" si="4"/>
        <v>_Glob_MedDisc_GPK_14##</v>
      </c>
    </row>
    <row r="275" spans="1:6" s="151" customFormat="1" x14ac:dyDescent="0.2">
      <c r="A275" s="151" t="s">
        <v>1892</v>
      </c>
      <c r="B275" s="151" t="str">
        <f>IF(ISBLANK(GlobBerMedDisc!$V$16),"",GlobBerMedDisc!$V$16)</f>
        <v/>
      </c>
      <c r="C275" s="44"/>
      <c r="D275" s="151" t="str">
        <f t="shared" si="4"/>
        <v>_Glob_MedDisc_GPK_15##</v>
      </c>
    </row>
    <row r="276" spans="1:6" s="151" customFormat="1" x14ac:dyDescent="0.2">
      <c r="A276" s="151" t="s">
        <v>1893</v>
      </c>
      <c r="B276" s="151" t="str">
        <f>IF(ISBLANK(GlobBerMedDisc!$V$17),"",GlobBerMedDisc!$V$17)</f>
        <v/>
      </c>
      <c r="C276" s="44"/>
      <c r="D276" s="151" t="str">
        <f t="shared" si="4"/>
        <v>_Glob_MedDisc_GPK_16##</v>
      </c>
    </row>
    <row r="277" spans="1:6" x14ac:dyDescent="0.2">
      <c r="A277" s="151" t="s">
        <v>1894</v>
      </c>
      <c r="B277" s="151" t="str">
        <f>IF(ISBLANK(GlobBerMedDisc!$V$18),"",GlobBerMedDisc!$V$18)</f>
        <v/>
      </c>
      <c r="C277" s="44"/>
      <c r="D277" s="151" t="str">
        <f t="shared" si="4"/>
        <v>_Glob_MedDisc_GPK_17##</v>
      </c>
      <c r="E277" s="151"/>
      <c r="F277" s="151"/>
    </row>
    <row r="278" spans="1:6" x14ac:dyDescent="0.2">
      <c r="A278" s="151" t="s">
        <v>1895</v>
      </c>
      <c r="B278" s="151" t="str">
        <f>IF(ISBLANK(GlobBerMedDisc!$V$19),"",GlobBerMedDisc!$V$19)</f>
        <v/>
      </c>
      <c r="C278" s="44"/>
      <c r="D278" s="151" t="str">
        <f t="shared" si="4"/>
        <v>_Glob_MedDisc_GPK_18##</v>
      </c>
      <c r="E278" s="151"/>
      <c r="F278" s="151"/>
    </row>
    <row r="279" spans="1:6" x14ac:dyDescent="0.2">
      <c r="A279" s="151" t="s">
        <v>1896</v>
      </c>
      <c r="B279" s="151" t="str">
        <f>IF(ISBLANK(GlobBerMedDisc!$V$20),"",GlobBerMedDisc!$V$20)</f>
        <v/>
      </c>
      <c r="C279" s="44"/>
      <c r="D279" s="151" t="str">
        <f t="shared" si="4"/>
        <v>_Glob_MedDisc_GPK_19##</v>
      </c>
      <c r="E279" s="151"/>
      <c r="F279" s="151"/>
    </row>
    <row r="280" spans="1:6" x14ac:dyDescent="0.2">
      <c r="A280" s="151" t="s">
        <v>1897</v>
      </c>
      <c r="B280" s="151" t="str">
        <f>IF(ISBLANK(GlobBerMedDisc!$V$21),"",GlobBerMedDisc!$V$21)</f>
        <v/>
      </c>
      <c r="C280" s="44"/>
      <c r="D280" s="151" t="str">
        <f t="shared" si="4"/>
        <v>_Glob_MedDisc_GPK_20##</v>
      </c>
      <c r="E280" s="151"/>
      <c r="F280" s="151"/>
    </row>
    <row r="281" spans="1:6" x14ac:dyDescent="0.2">
      <c r="A281" s="151" t="s">
        <v>1898</v>
      </c>
      <c r="B281" s="151" t="str">
        <f>IF(ISBLANK(GlobBerMedDisc!$V$22),"",GlobBerMedDisc!$V$22)</f>
        <v/>
      </c>
      <c r="C281" s="44"/>
      <c r="D281" s="151" t="str">
        <f t="shared" si="4"/>
        <v>_Glob_MedDisc_GPK_21##</v>
      </c>
      <c r="E281" s="151"/>
      <c r="F281" s="151"/>
    </row>
    <row r="282" spans="1:6" x14ac:dyDescent="0.2">
      <c r="A282" s="151" t="s">
        <v>1899</v>
      </c>
      <c r="B282" s="151" t="str">
        <f>IF(ISBLANK(GlobBerMedDisc!$V$23),"",GlobBerMedDisc!$V$23)</f>
        <v/>
      </c>
      <c r="C282" s="44"/>
      <c r="D282" s="151" t="str">
        <f t="shared" si="4"/>
        <v>_Glob_MedDisc_GPK_22##</v>
      </c>
      <c r="E282" s="151"/>
      <c r="F282" s="151"/>
    </row>
    <row r="283" spans="1:6" x14ac:dyDescent="0.2">
      <c r="A283" s="151" t="s">
        <v>1900</v>
      </c>
      <c r="B283" s="151" t="str">
        <f>IF(ISBLANK(GlobBerMedDisc!$V$24),"",GlobBerMedDisc!$V$24)</f>
        <v/>
      </c>
      <c r="C283" s="44"/>
      <c r="D283" s="151" t="str">
        <f t="shared" si="4"/>
        <v>_Glob_MedDisc_GPK_23##</v>
      </c>
      <c r="E283" s="151"/>
      <c r="F283" s="151"/>
    </row>
    <row r="284" spans="1:6" x14ac:dyDescent="0.2">
      <c r="A284" s="151" t="s">
        <v>1901</v>
      </c>
      <c r="B284" s="151" t="str">
        <f>IF(ISBLANK(GlobBerMedDisc!$V$25),"",GlobBerMedDisc!$V$25)</f>
        <v/>
      </c>
      <c r="C284" s="44"/>
      <c r="D284" s="151" t="str">
        <f t="shared" si="4"/>
        <v>_Glob_MedDisc_GPK_24##</v>
      </c>
      <c r="E284" s="151"/>
      <c r="F284" s="151"/>
    </row>
    <row r="285" spans="1:6" x14ac:dyDescent="0.2">
      <c r="A285" s="151" t="s">
        <v>1902</v>
      </c>
      <c r="B285" s="151" t="str">
        <f>IF(ISBLANK(GlobBerMedDisc!$V$26),"",GlobBerMedDisc!$V$26)</f>
        <v/>
      </c>
      <c r="C285" s="44"/>
      <c r="D285" s="151" t="str">
        <f t="shared" si="4"/>
        <v>_Glob_MedDisc_GPK_25##</v>
      </c>
      <c r="E285" s="151"/>
      <c r="F285" s="151"/>
    </row>
    <row r="286" spans="1:6" x14ac:dyDescent="0.2">
      <c r="A286" s="151" t="s">
        <v>1903</v>
      </c>
      <c r="B286" s="151" t="str">
        <f>IF(ISBLANK(GlobBerMedDisc!$V$27),"",GlobBerMedDisc!$V$27)</f>
        <v/>
      </c>
      <c r="C286" s="44"/>
      <c r="D286" s="151" t="str">
        <f t="shared" si="4"/>
        <v>_Glob_MedDisc_GPK_26##</v>
      </c>
      <c r="E286" s="151"/>
      <c r="F286" s="151"/>
    </row>
    <row r="287" spans="1:6" x14ac:dyDescent="0.2">
      <c r="A287" s="151" t="s">
        <v>1904</v>
      </c>
      <c r="B287" s="151" t="str">
        <f>IF(ISBLANK(GlobBerMedDisc!$V$28),"",GlobBerMedDisc!$V$28)</f>
        <v/>
      </c>
      <c r="C287" s="44"/>
      <c r="D287" s="151" t="str">
        <f t="shared" si="4"/>
        <v>_Glob_MedDisc_GPK_27##</v>
      </c>
      <c r="E287" s="151"/>
      <c r="F287" s="151"/>
    </row>
    <row r="288" spans="1:6" x14ac:dyDescent="0.2">
      <c r="A288" s="151" t="s">
        <v>1905</v>
      </c>
      <c r="B288" s="151" t="str">
        <f>IF(ISBLANK(GlobBerMedDisc!$V$29),"",GlobBerMedDisc!$V$29)</f>
        <v/>
      </c>
      <c r="C288" s="44"/>
      <c r="D288" s="151" t="str">
        <f t="shared" si="4"/>
        <v>_Glob_MedDisc_GPK_28##</v>
      </c>
      <c r="E288" s="151"/>
      <c r="F288" s="151"/>
    </row>
    <row r="289" spans="1:6" x14ac:dyDescent="0.2">
      <c r="A289" s="151" t="s">
        <v>1906</v>
      </c>
      <c r="B289" s="151" t="str">
        <f>IF(ISBLANK(GlobBerMedDisc!$V$30),"",GlobBerMedDisc!$V$30)</f>
        <v/>
      </c>
      <c r="C289" s="44"/>
      <c r="D289" s="151" t="str">
        <f t="shared" si="4"/>
        <v>_Glob_MedDisc_GPK_29##</v>
      </c>
      <c r="E289" s="151"/>
      <c r="F289" s="151"/>
    </row>
    <row r="290" spans="1:6" x14ac:dyDescent="0.2">
      <c r="A290" s="151" t="s">
        <v>1907</v>
      </c>
      <c r="B290" s="151" t="str">
        <f>IF(ISBLANK(GlobBerMedDisc!$V$31),"",GlobBerMedDisc!$V$31)</f>
        <v/>
      </c>
      <c r="C290" s="44"/>
      <c r="D290" s="151" t="str">
        <f t="shared" si="4"/>
        <v>_Glob_MedDisc_GPK_30##</v>
      </c>
      <c r="E290" s="151"/>
      <c r="F290" s="151"/>
    </row>
    <row r="291" spans="1:6" s="151" customFormat="1" x14ac:dyDescent="0.2">
      <c r="A291" s="151" t="s">
        <v>7146</v>
      </c>
      <c r="B291" s="151" t="b">
        <f>IF(ISBLANK(GlobBerMedDisc!$BP$2),"",GlobBerMedDisc!$BP$2)</f>
        <v>1</v>
      </c>
      <c r="C291" s="289" t="b">
        <v>1</v>
      </c>
      <c r="D291" s="151" t="str">
        <f t="shared" si="4"/>
        <v>_Glob_MedDisc_HasDose_01##WAAR</v>
      </c>
    </row>
    <row r="292" spans="1:6" s="151" customFormat="1" x14ac:dyDescent="0.2">
      <c r="A292" s="151" t="s">
        <v>7148</v>
      </c>
      <c r="B292" s="151" t="b">
        <f>IF(ISBLANK(GlobBerMedDisc!$BP$3),"",GlobBerMedDisc!$BP$3)</f>
        <v>1</v>
      </c>
      <c r="C292" s="289" t="b">
        <v>1</v>
      </c>
      <c r="D292" s="151" t="str">
        <f t="shared" si="4"/>
        <v>_Glob_MedDisc_HasDose_02##WAAR</v>
      </c>
    </row>
    <row r="293" spans="1:6" s="151" customFormat="1" x14ac:dyDescent="0.2">
      <c r="A293" s="151" t="s">
        <v>7150</v>
      </c>
      <c r="B293" s="151" t="b">
        <f>IF(ISBLANK(GlobBerMedDisc!$BP$4),"",GlobBerMedDisc!$BP$4)</f>
        <v>1</v>
      </c>
      <c r="C293" s="289" t="b">
        <v>1</v>
      </c>
      <c r="D293" s="151" t="str">
        <f t="shared" si="4"/>
        <v>_Glob_MedDisc_HasDose_03##WAAR</v>
      </c>
    </row>
    <row r="294" spans="1:6" s="151" customFormat="1" x14ac:dyDescent="0.2">
      <c r="A294" s="151" t="s">
        <v>7152</v>
      </c>
      <c r="B294" s="151" t="b">
        <f>IF(ISBLANK(GlobBerMedDisc!$BP$5),"",GlobBerMedDisc!$BP$5)</f>
        <v>1</v>
      </c>
      <c r="C294" s="289" t="b">
        <v>1</v>
      </c>
      <c r="D294" s="151" t="str">
        <f t="shared" si="4"/>
        <v>_Glob_MedDisc_HasDose_04##WAAR</v>
      </c>
    </row>
    <row r="295" spans="1:6" s="151" customFormat="1" x14ac:dyDescent="0.2">
      <c r="A295" s="151" t="s">
        <v>7154</v>
      </c>
      <c r="B295" s="151" t="b">
        <f>IF(ISBLANK(GlobBerMedDisc!$BP$6),"",GlobBerMedDisc!$BP$6)</f>
        <v>1</v>
      </c>
      <c r="C295" s="289" t="b">
        <v>1</v>
      </c>
      <c r="D295" s="151" t="str">
        <f t="shared" si="4"/>
        <v>_Glob_MedDisc_HasDose_05##WAAR</v>
      </c>
    </row>
    <row r="296" spans="1:6" s="151" customFormat="1" x14ac:dyDescent="0.2">
      <c r="A296" s="151" t="s">
        <v>7156</v>
      </c>
      <c r="B296" s="151" t="b">
        <f>IF(ISBLANK(GlobBerMedDisc!$BP$7),"",GlobBerMedDisc!$BP$7)</f>
        <v>1</v>
      </c>
      <c r="C296" s="289" t="b">
        <v>1</v>
      </c>
      <c r="D296" s="151" t="str">
        <f t="shared" si="4"/>
        <v>_Glob_MedDisc_HasDose_06##WAAR</v>
      </c>
    </row>
    <row r="297" spans="1:6" s="151" customFormat="1" x14ac:dyDescent="0.2">
      <c r="A297" s="151" t="s">
        <v>7158</v>
      </c>
      <c r="B297" s="151" t="b">
        <f>IF(ISBLANK(GlobBerMedDisc!$BP$8),"",GlobBerMedDisc!$BP$8)</f>
        <v>1</v>
      </c>
      <c r="C297" s="289" t="b">
        <v>1</v>
      </c>
      <c r="D297" s="151" t="str">
        <f t="shared" si="4"/>
        <v>_Glob_MedDisc_HasDose_07##WAAR</v>
      </c>
    </row>
    <row r="298" spans="1:6" s="151" customFormat="1" x14ac:dyDescent="0.2">
      <c r="A298" s="151" t="s">
        <v>7160</v>
      </c>
      <c r="B298" s="151" t="b">
        <f>IF(ISBLANK(GlobBerMedDisc!$BP$9),"",GlobBerMedDisc!$BP$9)</f>
        <v>1</v>
      </c>
      <c r="C298" s="289" t="b">
        <v>1</v>
      </c>
      <c r="D298" s="151" t="str">
        <f t="shared" si="4"/>
        <v>_Glob_MedDisc_HasDose_08##WAAR</v>
      </c>
    </row>
    <row r="299" spans="1:6" s="151" customFormat="1" x14ac:dyDescent="0.2">
      <c r="A299" s="151" t="s">
        <v>7162</v>
      </c>
      <c r="B299" s="151" t="b">
        <f>IF(ISBLANK(GlobBerMedDisc!$BP$10),"",GlobBerMedDisc!$BP$10)</f>
        <v>1</v>
      </c>
      <c r="C299" s="289" t="b">
        <v>1</v>
      </c>
      <c r="D299" s="151" t="str">
        <f t="shared" si="4"/>
        <v>_Glob_MedDisc_HasDose_09##WAAR</v>
      </c>
    </row>
    <row r="300" spans="1:6" s="151" customFormat="1" x14ac:dyDescent="0.2">
      <c r="A300" s="151" t="s">
        <v>7164</v>
      </c>
      <c r="B300" s="151" t="b">
        <f>IF(ISBLANK(GlobBerMedDisc!$BP$11),"",GlobBerMedDisc!$BP$11)</f>
        <v>1</v>
      </c>
      <c r="C300" s="289" t="b">
        <v>1</v>
      </c>
      <c r="D300" s="151" t="str">
        <f t="shared" si="4"/>
        <v>_Glob_MedDisc_HasDose_10##WAAR</v>
      </c>
    </row>
    <row r="301" spans="1:6" s="151" customFormat="1" x14ac:dyDescent="0.2">
      <c r="A301" s="151" t="s">
        <v>7166</v>
      </c>
      <c r="B301" s="151" t="b">
        <f>IF(ISBLANK(GlobBerMedDisc!$BP$12),"",GlobBerMedDisc!$BP$12)</f>
        <v>1</v>
      </c>
      <c r="C301" s="289" t="b">
        <v>1</v>
      </c>
      <c r="D301" s="151" t="str">
        <f t="shared" si="4"/>
        <v>_Glob_MedDisc_HasDose_11##WAAR</v>
      </c>
    </row>
    <row r="302" spans="1:6" s="151" customFormat="1" x14ac:dyDescent="0.2">
      <c r="A302" s="151" t="s">
        <v>7168</v>
      </c>
      <c r="B302" s="151" t="b">
        <f>IF(ISBLANK(GlobBerMedDisc!$BP$13),"",GlobBerMedDisc!$BP$13)</f>
        <v>1</v>
      </c>
      <c r="C302" s="289" t="b">
        <v>1</v>
      </c>
      <c r="D302" s="151" t="str">
        <f t="shared" si="4"/>
        <v>_Glob_MedDisc_HasDose_12##WAAR</v>
      </c>
    </row>
    <row r="303" spans="1:6" s="151" customFormat="1" x14ac:dyDescent="0.2">
      <c r="A303" s="151" t="s">
        <v>7170</v>
      </c>
      <c r="B303" s="151" t="b">
        <f>IF(ISBLANK(GlobBerMedDisc!$BP$14),"",GlobBerMedDisc!$BP$14)</f>
        <v>1</v>
      </c>
      <c r="C303" s="289" t="b">
        <v>1</v>
      </c>
      <c r="D303" s="151" t="str">
        <f t="shared" si="4"/>
        <v>_Glob_MedDisc_HasDose_13##WAAR</v>
      </c>
    </row>
    <row r="304" spans="1:6" s="151" customFormat="1" x14ac:dyDescent="0.2">
      <c r="A304" s="151" t="s">
        <v>7172</v>
      </c>
      <c r="B304" s="151" t="b">
        <f>IF(ISBLANK(GlobBerMedDisc!$BP$15),"",GlobBerMedDisc!$BP$15)</f>
        <v>1</v>
      </c>
      <c r="C304" s="289" t="b">
        <v>1</v>
      </c>
      <c r="D304" s="151" t="str">
        <f t="shared" si="4"/>
        <v>_Glob_MedDisc_HasDose_14##WAAR</v>
      </c>
    </row>
    <row r="305" spans="1:4" s="151" customFormat="1" x14ac:dyDescent="0.2">
      <c r="A305" s="151" t="s">
        <v>7174</v>
      </c>
      <c r="B305" s="151" t="b">
        <f>IF(ISBLANK(GlobBerMedDisc!$BP$16),"",GlobBerMedDisc!$BP$16)</f>
        <v>1</v>
      </c>
      <c r="C305" s="289" t="b">
        <v>1</v>
      </c>
      <c r="D305" s="151" t="str">
        <f t="shared" si="4"/>
        <v>_Glob_MedDisc_HasDose_15##WAAR</v>
      </c>
    </row>
    <row r="306" spans="1:4" s="151" customFormat="1" x14ac:dyDescent="0.2">
      <c r="A306" s="151" t="s">
        <v>7176</v>
      </c>
      <c r="B306" s="151" t="b">
        <f>IF(ISBLANK(GlobBerMedDisc!$BP$17),"",GlobBerMedDisc!$BP$17)</f>
        <v>1</v>
      </c>
      <c r="C306" s="289" t="b">
        <v>1</v>
      </c>
      <c r="D306" s="151" t="str">
        <f t="shared" si="4"/>
        <v>_Glob_MedDisc_HasDose_16##WAAR</v>
      </c>
    </row>
    <row r="307" spans="1:4" s="151" customFormat="1" x14ac:dyDescent="0.2">
      <c r="A307" s="151" t="s">
        <v>7178</v>
      </c>
      <c r="B307" s="151" t="b">
        <f>IF(ISBLANK(GlobBerMedDisc!$BP$18),"",GlobBerMedDisc!$BP$18)</f>
        <v>1</v>
      </c>
      <c r="C307" s="289" t="b">
        <v>1</v>
      </c>
      <c r="D307" s="151" t="str">
        <f t="shared" si="4"/>
        <v>_Glob_MedDisc_HasDose_17##WAAR</v>
      </c>
    </row>
    <row r="308" spans="1:4" s="151" customFormat="1" x14ac:dyDescent="0.2">
      <c r="A308" s="151" t="s">
        <v>7180</v>
      </c>
      <c r="B308" s="151" t="b">
        <f>IF(ISBLANK(GlobBerMedDisc!$BP$19),"",GlobBerMedDisc!$BP$19)</f>
        <v>1</v>
      </c>
      <c r="C308" s="289" t="b">
        <v>1</v>
      </c>
      <c r="D308" s="151" t="str">
        <f t="shared" si="4"/>
        <v>_Glob_MedDisc_HasDose_18##WAAR</v>
      </c>
    </row>
    <row r="309" spans="1:4" s="151" customFormat="1" x14ac:dyDescent="0.2">
      <c r="A309" s="151" t="s">
        <v>7182</v>
      </c>
      <c r="B309" s="151" t="b">
        <f>IF(ISBLANK(GlobBerMedDisc!$BP$20),"",GlobBerMedDisc!$BP$20)</f>
        <v>1</v>
      </c>
      <c r="C309" s="289" t="b">
        <v>1</v>
      </c>
      <c r="D309" s="151" t="str">
        <f t="shared" si="4"/>
        <v>_Glob_MedDisc_HasDose_19##WAAR</v>
      </c>
    </row>
    <row r="310" spans="1:4" s="151" customFormat="1" x14ac:dyDescent="0.2">
      <c r="A310" s="151" t="s">
        <v>7184</v>
      </c>
      <c r="B310" s="151" t="b">
        <f>IF(ISBLANK(GlobBerMedDisc!$BP$21),"",GlobBerMedDisc!$BP$21)</f>
        <v>1</v>
      </c>
      <c r="C310" s="289" t="b">
        <v>1</v>
      </c>
      <c r="D310" s="151" t="str">
        <f t="shared" si="4"/>
        <v>_Glob_MedDisc_HasDose_20##WAAR</v>
      </c>
    </row>
    <row r="311" spans="1:4" s="151" customFormat="1" x14ac:dyDescent="0.2">
      <c r="A311" s="151" t="s">
        <v>7186</v>
      </c>
      <c r="B311" s="151" t="b">
        <f>IF(ISBLANK(GlobBerMedDisc!$BP$22),"",GlobBerMedDisc!$BP$22)</f>
        <v>1</v>
      </c>
      <c r="C311" s="289" t="b">
        <v>1</v>
      </c>
      <c r="D311" s="151" t="str">
        <f t="shared" si="4"/>
        <v>_Glob_MedDisc_HasDose_21##WAAR</v>
      </c>
    </row>
    <row r="312" spans="1:4" s="151" customFormat="1" x14ac:dyDescent="0.2">
      <c r="A312" s="151" t="s">
        <v>7188</v>
      </c>
      <c r="B312" s="151" t="b">
        <f>IF(ISBLANK(GlobBerMedDisc!$BP$23),"",GlobBerMedDisc!$BP$23)</f>
        <v>1</v>
      </c>
      <c r="C312" s="289" t="b">
        <v>1</v>
      </c>
      <c r="D312" s="151" t="str">
        <f t="shared" si="4"/>
        <v>_Glob_MedDisc_HasDose_22##WAAR</v>
      </c>
    </row>
    <row r="313" spans="1:4" s="151" customFormat="1" x14ac:dyDescent="0.2">
      <c r="A313" s="151" t="s">
        <v>7190</v>
      </c>
      <c r="B313" s="151" t="b">
        <f>IF(ISBLANK(GlobBerMedDisc!$BP$24),"",GlobBerMedDisc!$BP$24)</f>
        <v>1</v>
      </c>
      <c r="C313" s="289" t="b">
        <v>1</v>
      </c>
      <c r="D313" s="151" t="str">
        <f t="shared" si="4"/>
        <v>_Glob_MedDisc_HasDose_23##WAAR</v>
      </c>
    </row>
    <row r="314" spans="1:4" s="151" customFormat="1" x14ac:dyDescent="0.2">
      <c r="A314" s="151" t="s">
        <v>7192</v>
      </c>
      <c r="B314" s="151" t="b">
        <f>IF(ISBLANK(GlobBerMedDisc!$BP$25),"",GlobBerMedDisc!$BP$25)</f>
        <v>1</v>
      </c>
      <c r="C314" s="289" t="b">
        <v>1</v>
      </c>
      <c r="D314" s="151" t="str">
        <f t="shared" si="4"/>
        <v>_Glob_MedDisc_HasDose_24##WAAR</v>
      </c>
    </row>
    <row r="315" spans="1:4" s="151" customFormat="1" x14ac:dyDescent="0.2">
      <c r="A315" s="151" t="s">
        <v>7194</v>
      </c>
      <c r="B315" s="151" t="b">
        <f>IF(ISBLANK(GlobBerMedDisc!$BP$26),"",GlobBerMedDisc!$BP$26)</f>
        <v>1</v>
      </c>
      <c r="C315" s="289" t="b">
        <v>1</v>
      </c>
      <c r="D315" s="151" t="str">
        <f t="shared" si="4"/>
        <v>_Glob_MedDisc_HasDose_25##WAAR</v>
      </c>
    </row>
    <row r="316" spans="1:4" s="151" customFormat="1" x14ac:dyDescent="0.2">
      <c r="A316" s="151" t="s">
        <v>7196</v>
      </c>
      <c r="B316" s="151" t="b">
        <f>IF(ISBLANK(GlobBerMedDisc!$BP$27),"",GlobBerMedDisc!$BP$27)</f>
        <v>1</v>
      </c>
      <c r="C316" s="289" t="b">
        <v>1</v>
      </c>
      <c r="D316" s="151" t="str">
        <f t="shared" si="4"/>
        <v>_Glob_MedDisc_HasDose_26##WAAR</v>
      </c>
    </row>
    <row r="317" spans="1:4" s="151" customFormat="1" x14ac:dyDescent="0.2">
      <c r="A317" s="151" t="s">
        <v>7198</v>
      </c>
      <c r="B317" s="151" t="b">
        <f>IF(ISBLANK(GlobBerMedDisc!$BP$28),"",GlobBerMedDisc!$BP$28)</f>
        <v>1</v>
      </c>
      <c r="C317" s="289" t="b">
        <v>1</v>
      </c>
      <c r="D317" s="151" t="str">
        <f t="shared" si="4"/>
        <v>_Glob_MedDisc_HasDose_27##WAAR</v>
      </c>
    </row>
    <row r="318" spans="1:4" s="151" customFormat="1" x14ac:dyDescent="0.2">
      <c r="A318" s="151" t="s">
        <v>7200</v>
      </c>
      <c r="B318" s="151" t="b">
        <f>IF(ISBLANK(GlobBerMedDisc!$BP$29),"",GlobBerMedDisc!$BP$29)</f>
        <v>1</v>
      </c>
      <c r="C318" s="289" t="b">
        <v>1</v>
      </c>
      <c r="D318" s="151" t="str">
        <f t="shared" si="4"/>
        <v>_Glob_MedDisc_HasDose_28##WAAR</v>
      </c>
    </row>
    <row r="319" spans="1:4" s="151" customFormat="1" x14ac:dyDescent="0.2">
      <c r="A319" s="151" t="s">
        <v>7202</v>
      </c>
      <c r="B319" s="151" t="b">
        <f>IF(ISBLANK(GlobBerMedDisc!$BP$30),"",GlobBerMedDisc!$BP$30)</f>
        <v>1</v>
      </c>
      <c r="C319" s="289" t="b">
        <v>1</v>
      </c>
      <c r="D319" s="151" t="str">
        <f t="shared" si="4"/>
        <v>_Glob_MedDisc_HasDose_29##WAAR</v>
      </c>
    </row>
    <row r="320" spans="1:4" s="151" customFormat="1" x14ac:dyDescent="0.2">
      <c r="A320" s="151" t="s">
        <v>7204</v>
      </c>
      <c r="B320" s="151" t="b">
        <f>IF(ISBLANK(GlobBerMedDisc!$BP$31),"",GlobBerMedDisc!$BP$31)</f>
        <v>1</v>
      </c>
      <c r="C320" s="289" t="b">
        <v>1</v>
      </c>
      <c r="D320" s="151" t="str">
        <f t="shared" si="4"/>
        <v>_Glob_MedDisc_HasDose_30##WAAR</v>
      </c>
    </row>
    <row r="321" spans="1:6" x14ac:dyDescent="0.2">
      <c r="A321" s="151" t="s">
        <v>1908</v>
      </c>
      <c r="B321" s="151" t="str">
        <f>IF(ISBLANK(GlobBerMedDisc!$B$2),"",GlobBerMedDisc!$B$2)</f>
        <v/>
      </c>
      <c r="C321" s="44"/>
      <c r="D321" s="151" t="str">
        <f t="shared" si="4"/>
        <v>_Glob_MedDisc_Ind_01##</v>
      </c>
      <c r="E321" s="151"/>
      <c r="F321" s="151"/>
    </row>
    <row r="322" spans="1:6" x14ac:dyDescent="0.2">
      <c r="A322" s="151" t="s">
        <v>1909</v>
      </c>
      <c r="B322" s="151" t="str">
        <f>IF(ISBLANK(GlobBerMedDisc!$B$3),"",GlobBerMedDisc!$B$3)</f>
        <v/>
      </c>
      <c r="C322" s="44"/>
      <c r="D322" s="151" t="str">
        <f t="shared" si="4"/>
        <v>_Glob_MedDisc_Ind_02##</v>
      </c>
      <c r="E322" s="151"/>
      <c r="F322" s="151"/>
    </row>
    <row r="323" spans="1:6" x14ac:dyDescent="0.2">
      <c r="A323" s="151" t="s">
        <v>1910</v>
      </c>
      <c r="B323" s="151" t="str">
        <f>IF(ISBLANK(GlobBerMedDisc!$B$4),"",GlobBerMedDisc!$B$4)</f>
        <v/>
      </c>
      <c r="C323" s="44"/>
      <c r="D323" s="151" t="str">
        <f t="shared" ref="D323:D386" si="5">A323&amp;"##"&amp;B323</f>
        <v>_Glob_MedDisc_Ind_03##</v>
      </c>
      <c r="E323" s="151"/>
      <c r="F323" s="151"/>
    </row>
    <row r="324" spans="1:6" x14ac:dyDescent="0.2">
      <c r="A324" s="151" t="s">
        <v>1911</v>
      </c>
      <c r="B324" s="151" t="str">
        <f>IF(ISBLANK(GlobBerMedDisc!$B$5),"",GlobBerMedDisc!$B$5)</f>
        <v/>
      </c>
      <c r="C324" s="44"/>
      <c r="D324" s="151" t="str">
        <f t="shared" si="5"/>
        <v>_Glob_MedDisc_Ind_04##</v>
      </c>
      <c r="E324" s="151"/>
      <c r="F324" s="151"/>
    </row>
    <row r="325" spans="1:6" x14ac:dyDescent="0.2">
      <c r="A325" s="151" t="s">
        <v>1912</v>
      </c>
      <c r="B325" s="151" t="str">
        <f>IF(ISBLANK(GlobBerMedDisc!$B$6),"",GlobBerMedDisc!$B$6)</f>
        <v/>
      </c>
      <c r="C325" s="44"/>
      <c r="D325" s="151" t="str">
        <f t="shared" si="5"/>
        <v>_Glob_MedDisc_Ind_05##</v>
      </c>
      <c r="E325" s="151"/>
      <c r="F325" s="151"/>
    </row>
    <row r="326" spans="1:6" s="151" customFormat="1" x14ac:dyDescent="0.2">
      <c r="A326" s="151" t="s">
        <v>1913</v>
      </c>
      <c r="B326" s="151" t="str">
        <f>IF(ISBLANK(GlobBerMedDisc!$B$7),"",GlobBerMedDisc!$B$7)</f>
        <v/>
      </c>
      <c r="C326" s="44"/>
      <c r="D326" s="151" t="str">
        <f t="shared" si="5"/>
        <v>_Glob_MedDisc_Ind_06##</v>
      </c>
    </row>
    <row r="327" spans="1:6" s="151" customFormat="1" x14ac:dyDescent="0.2">
      <c r="A327" s="151" t="s">
        <v>1914</v>
      </c>
      <c r="B327" s="151" t="str">
        <f>IF(ISBLANK(GlobBerMedDisc!$B$8),"",GlobBerMedDisc!$B$8)</f>
        <v/>
      </c>
      <c r="C327" s="44"/>
      <c r="D327" s="151" t="str">
        <f t="shared" si="5"/>
        <v>_Glob_MedDisc_Ind_07##</v>
      </c>
    </row>
    <row r="328" spans="1:6" s="151" customFormat="1" x14ac:dyDescent="0.2">
      <c r="A328" s="151" t="s">
        <v>1915</v>
      </c>
      <c r="B328" s="151" t="str">
        <f>IF(ISBLANK(GlobBerMedDisc!$B$9),"",GlobBerMedDisc!$B$9)</f>
        <v/>
      </c>
      <c r="C328" s="44"/>
      <c r="D328" s="151" t="str">
        <f t="shared" si="5"/>
        <v>_Glob_MedDisc_Ind_08##</v>
      </c>
    </row>
    <row r="329" spans="1:6" s="151" customFormat="1" x14ac:dyDescent="0.2">
      <c r="A329" s="151" t="s">
        <v>1916</v>
      </c>
      <c r="B329" s="151" t="str">
        <f>IF(ISBLANK(GlobBerMedDisc!$B$10),"",GlobBerMedDisc!$B$10)</f>
        <v/>
      </c>
      <c r="C329" s="44"/>
      <c r="D329" s="151" t="str">
        <f t="shared" si="5"/>
        <v>_Glob_MedDisc_Ind_09##</v>
      </c>
    </row>
    <row r="330" spans="1:6" s="151" customFormat="1" x14ac:dyDescent="0.2">
      <c r="A330" s="151" t="s">
        <v>1917</v>
      </c>
      <c r="B330" s="151" t="str">
        <f>IF(ISBLANK(GlobBerMedDisc!$B$11),"",GlobBerMedDisc!$B$11)</f>
        <v/>
      </c>
      <c r="C330" s="44"/>
      <c r="D330" s="151" t="str">
        <f t="shared" si="5"/>
        <v>_Glob_MedDisc_Ind_10##</v>
      </c>
    </row>
    <row r="331" spans="1:6" s="151" customFormat="1" x14ac:dyDescent="0.2">
      <c r="A331" s="151" t="s">
        <v>1918</v>
      </c>
      <c r="B331" s="151" t="str">
        <f>IF(ISBLANK(GlobBerMedDisc!$B$12),"",GlobBerMedDisc!$B$12)</f>
        <v/>
      </c>
      <c r="C331" s="44"/>
      <c r="D331" s="151" t="str">
        <f t="shared" si="5"/>
        <v>_Glob_MedDisc_Ind_11##</v>
      </c>
    </row>
    <row r="332" spans="1:6" s="151" customFormat="1" x14ac:dyDescent="0.2">
      <c r="A332" s="151" t="s">
        <v>1919</v>
      </c>
      <c r="B332" s="151" t="str">
        <f>IF(ISBLANK(GlobBerMedDisc!$B$13),"",GlobBerMedDisc!$B$13)</f>
        <v/>
      </c>
      <c r="C332" s="44"/>
      <c r="D332" s="151" t="str">
        <f t="shared" si="5"/>
        <v>_Glob_MedDisc_Ind_12##</v>
      </c>
    </row>
    <row r="333" spans="1:6" s="151" customFormat="1" x14ac:dyDescent="0.2">
      <c r="A333" s="151" t="s">
        <v>1920</v>
      </c>
      <c r="B333" s="151" t="str">
        <f>IF(ISBLANK(GlobBerMedDisc!$B$14),"",GlobBerMedDisc!$B$14)</f>
        <v/>
      </c>
      <c r="C333" s="44"/>
      <c r="D333" s="151" t="str">
        <f t="shared" si="5"/>
        <v>_Glob_MedDisc_Ind_13##</v>
      </c>
    </row>
    <row r="334" spans="1:6" s="151" customFormat="1" x14ac:dyDescent="0.2">
      <c r="A334" s="151" t="s">
        <v>1921</v>
      </c>
      <c r="B334" s="151" t="str">
        <f>IF(ISBLANK(GlobBerMedDisc!$B$15),"",GlobBerMedDisc!$B$15)</f>
        <v/>
      </c>
      <c r="C334" s="44"/>
      <c r="D334" s="151" t="str">
        <f t="shared" si="5"/>
        <v>_Glob_MedDisc_Ind_14##</v>
      </c>
    </row>
    <row r="335" spans="1:6" s="151" customFormat="1" x14ac:dyDescent="0.2">
      <c r="A335" s="151" t="s">
        <v>1922</v>
      </c>
      <c r="B335" s="151" t="str">
        <f>IF(ISBLANK(GlobBerMedDisc!$B$16),"",GlobBerMedDisc!$B$16)</f>
        <v/>
      </c>
      <c r="C335" s="44"/>
      <c r="D335" s="151" t="str">
        <f t="shared" si="5"/>
        <v>_Glob_MedDisc_Ind_15##</v>
      </c>
    </row>
    <row r="336" spans="1:6" x14ac:dyDescent="0.2">
      <c r="A336" s="151" t="s">
        <v>1923</v>
      </c>
      <c r="B336" s="151" t="str">
        <f>IF(ISBLANK(GlobBerMedDisc!$B$17),"",GlobBerMedDisc!$B$17)</f>
        <v/>
      </c>
      <c r="C336" s="44"/>
      <c r="D336" s="151" t="str">
        <f t="shared" si="5"/>
        <v>_Glob_MedDisc_Ind_16##</v>
      </c>
      <c r="E336" s="151"/>
      <c r="F336" s="151"/>
    </row>
    <row r="337" spans="1:6" x14ac:dyDescent="0.2">
      <c r="A337" s="151" t="s">
        <v>1924</v>
      </c>
      <c r="B337" s="151" t="str">
        <f>IF(ISBLANK(GlobBerMedDisc!$B$18),"",GlobBerMedDisc!$B$18)</f>
        <v/>
      </c>
      <c r="C337" s="44"/>
      <c r="D337" s="151" t="str">
        <f t="shared" si="5"/>
        <v>_Glob_MedDisc_Ind_17##</v>
      </c>
      <c r="E337" s="151"/>
      <c r="F337" s="151"/>
    </row>
    <row r="338" spans="1:6" x14ac:dyDescent="0.2">
      <c r="A338" s="151" t="s">
        <v>1925</v>
      </c>
      <c r="B338" s="151" t="str">
        <f>IF(ISBLANK(GlobBerMedDisc!$B$19),"",GlobBerMedDisc!$B$19)</f>
        <v/>
      </c>
      <c r="C338" s="44"/>
      <c r="D338" s="151" t="str">
        <f t="shared" si="5"/>
        <v>_Glob_MedDisc_Ind_18##</v>
      </c>
      <c r="E338" s="151"/>
      <c r="F338" s="151"/>
    </row>
    <row r="339" spans="1:6" x14ac:dyDescent="0.2">
      <c r="A339" s="151" t="s">
        <v>1926</v>
      </c>
      <c r="B339" s="151" t="str">
        <f>IF(ISBLANK(GlobBerMedDisc!$B$20),"",GlobBerMedDisc!$B$20)</f>
        <v/>
      </c>
      <c r="C339" s="44"/>
      <c r="D339" s="151" t="str">
        <f t="shared" si="5"/>
        <v>_Glob_MedDisc_Ind_19##</v>
      </c>
      <c r="E339" s="151"/>
      <c r="F339" s="151"/>
    </row>
    <row r="340" spans="1:6" x14ac:dyDescent="0.2">
      <c r="A340" s="151" t="s">
        <v>1927</v>
      </c>
      <c r="B340" s="151" t="str">
        <f>IF(ISBLANK(GlobBerMedDisc!$B$21),"",GlobBerMedDisc!$B$21)</f>
        <v/>
      </c>
      <c r="C340" s="44"/>
      <c r="D340" s="151" t="str">
        <f t="shared" si="5"/>
        <v>_Glob_MedDisc_Ind_20##</v>
      </c>
      <c r="E340" s="151"/>
      <c r="F340" s="151"/>
    </row>
    <row r="341" spans="1:6" x14ac:dyDescent="0.2">
      <c r="A341" s="151" t="s">
        <v>1928</v>
      </c>
      <c r="B341" s="151" t="str">
        <f>IF(ISBLANK(GlobBerMedDisc!$B$22),"",GlobBerMedDisc!$B$22)</f>
        <v/>
      </c>
      <c r="C341" s="44"/>
      <c r="D341" s="151" t="str">
        <f t="shared" si="5"/>
        <v>_Glob_MedDisc_Ind_21##</v>
      </c>
      <c r="E341" s="151"/>
      <c r="F341" s="151"/>
    </row>
    <row r="342" spans="1:6" x14ac:dyDescent="0.2">
      <c r="A342" s="151" t="s">
        <v>1929</v>
      </c>
      <c r="B342" s="151" t="str">
        <f>IF(ISBLANK(GlobBerMedDisc!$B$23),"",GlobBerMedDisc!$B$23)</f>
        <v/>
      </c>
      <c r="C342" s="44"/>
      <c r="D342" s="151" t="str">
        <f t="shared" si="5"/>
        <v>_Glob_MedDisc_Ind_22##</v>
      </c>
      <c r="E342" s="151"/>
      <c r="F342" s="151"/>
    </row>
    <row r="343" spans="1:6" x14ac:dyDescent="0.2">
      <c r="A343" s="151" t="s">
        <v>1930</v>
      </c>
      <c r="B343" s="151" t="str">
        <f>IF(ISBLANK(GlobBerMedDisc!$B$24),"",GlobBerMedDisc!$B$24)</f>
        <v/>
      </c>
      <c r="C343" s="44"/>
      <c r="D343" s="151" t="str">
        <f t="shared" si="5"/>
        <v>_Glob_MedDisc_Ind_23##</v>
      </c>
      <c r="E343" s="151"/>
      <c r="F343" s="151"/>
    </row>
    <row r="344" spans="1:6" x14ac:dyDescent="0.2">
      <c r="A344" s="151" t="s">
        <v>1931</v>
      </c>
      <c r="B344" s="151" t="str">
        <f>IF(ISBLANK(GlobBerMedDisc!$B$25),"",GlobBerMedDisc!$B$25)</f>
        <v/>
      </c>
      <c r="C344" s="44"/>
      <c r="D344" s="151" t="str">
        <f t="shared" si="5"/>
        <v>_Glob_MedDisc_Ind_24##</v>
      </c>
      <c r="E344" s="151"/>
      <c r="F344" s="151"/>
    </row>
    <row r="345" spans="1:6" x14ac:dyDescent="0.2">
      <c r="A345" s="151" t="s">
        <v>1932</v>
      </c>
      <c r="B345" s="151" t="str">
        <f>IF(ISBLANK(GlobBerMedDisc!$B$26),"",GlobBerMedDisc!$B$26)</f>
        <v/>
      </c>
      <c r="C345" s="44"/>
      <c r="D345" s="151" t="str">
        <f t="shared" si="5"/>
        <v>_Glob_MedDisc_Ind_25##</v>
      </c>
      <c r="E345" s="151"/>
      <c r="F345" s="151"/>
    </row>
    <row r="346" spans="1:6" x14ac:dyDescent="0.2">
      <c r="A346" s="151" t="s">
        <v>1933</v>
      </c>
      <c r="B346" s="151" t="str">
        <f>IF(ISBLANK(GlobBerMedDisc!$B$27),"",GlobBerMedDisc!$B$27)</f>
        <v/>
      </c>
      <c r="C346" s="44"/>
      <c r="D346" s="151" t="str">
        <f t="shared" si="5"/>
        <v>_Glob_MedDisc_Ind_26##</v>
      </c>
      <c r="E346" s="151"/>
      <c r="F346" s="151"/>
    </row>
    <row r="347" spans="1:6" x14ac:dyDescent="0.2">
      <c r="A347" s="151" t="s">
        <v>1934</v>
      </c>
      <c r="B347" s="151" t="str">
        <f>IF(ISBLANK(GlobBerMedDisc!$B$28),"",GlobBerMedDisc!$B$28)</f>
        <v/>
      </c>
      <c r="C347" s="44"/>
      <c r="D347" s="151" t="str">
        <f t="shared" si="5"/>
        <v>_Glob_MedDisc_Ind_27##</v>
      </c>
      <c r="E347" s="151"/>
      <c r="F347" s="151"/>
    </row>
    <row r="348" spans="1:6" x14ac:dyDescent="0.2">
      <c r="A348" s="151" t="s">
        <v>1935</v>
      </c>
      <c r="B348" s="151" t="str">
        <f>IF(ISBLANK(GlobBerMedDisc!$B$29),"",GlobBerMedDisc!$B$29)</f>
        <v/>
      </c>
      <c r="C348" s="44"/>
      <c r="D348" s="151" t="str">
        <f t="shared" si="5"/>
        <v>_Glob_MedDisc_Ind_28##</v>
      </c>
      <c r="E348" s="151"/>
      <c r="F348" s="151"/>
    </row>
    <row r="349" spans="1:6" x14ac:dyDescent="0.2">
      <c r="A349" s="151" t="s">
        <v>1936</v>
      </c>
      <c r="B349" s="151" t="str">
        <f>IF(ISBLANK(GlobBerMedDisc!$B$30),"",GlobBerMedDisc!$B$30)</f>
        <v/>
      </c>
      <c r="C349" s="44"/>
      <c r="D349" s="151" t="str">
        <f t="shared" si="5"/>
        <v>_Glob_MedDisc_Ind_29##</v>
      </c>
      <c r="E349" s="151"/>
      <c r="F349" s="151"/>
    </row>
    <row r="350" spans="1:6" x14ac:dyDescent="0.2">
      <c r="A350" s="151" t="s">
        <v>1937</v>
      </c>
      <c r="B350" s="151" t="str">
        <f>IF(ISBLANK(GlobBerMedDisc!$B$31),"",GlobBerMedDisc!$B$31)</f>
        <v/>
      </c>
      <c r="C350" s="44"/>
      <c r="D350" s="151" t="str">
        <f t="shared" si="5"/>
        <v>_Glob_MedDisc_Ind_30##</v>
      </c>
      <c r="E350" s="151"/>
      <c r="F350" s="151"/>
    </row>
    <row r="351" spans="1:6" x14ac:dyDescent="0.2">
      <c r="A351" s="151" t="s">
        <v>1938</v>
      </c>
      <c r="B351" s="151">
        <f>IF(ISBLANK(GlobBerMedDisc!$R$2),"",GlobBerMedDisc!$R$2)</f>
        <v>0</v>
      </c>
      <c r="C351" s="153">
        <v>0</v>
      </c>
      <c r="D351" s="151" t="str">
        <f t="shared" si="5"/>
        <v>_Glob_MedDisc_Inloop_01##0</v>
      </c>
      <c r="E351" s="151"/>
    </row>
    <row r="352" spans="1:6" x14ac:dyDescent="0.2">
      <c r="A352" s="151" t="s">
        <v>1939</v>
      </c>
      <c r="B352" s="151">
        <f>IF(ISBLANK(GlobBerMedDisc!$R$3),"",GlobBerMedDisc!$R$3)</f>
        <v>0</v>
      </c>
      <c r="C352" s="153">
        <v>0</v>
      </c>
      <c r="D352" s="151" t="str">
        <f t="shared" si="5"/>
        <v>_Glob_MedDisc_Inloop_02##0</v>
      </c>
      <c r="E352" s="151"/>
    </row>
    <row r="353" spans="1:8" x14ac:dyDescent="0.2">
      <c r="A353" s="151" t="s">
        <v>1940</v>
      </c>
      <c r="B353" s="151">
        <f>IF(ISBLANK(GlobBerMedDisc!$R$4),"",GlobBerMedDisc!$R$4)</f>
        <v>0</v>
      </c>
      <c r="C353" s="153">
        <v>0</v>
      </c>
      <c r="D353" s="151" t="str">
        <f t="shared" si="5"/>
        <v>_Glob_MedDisc_Inloop_03##0</v>
      </c>
      <c r="E353" s="151"/>
      <c r="G353" s="151"/>
      <c r="H353" s="151"/>
    </row>
    <row r="354" spans="1:8" x14ac:dyDescent="0.2">
      <c r="A354" s="151" t="s">
        <v>1941</v>
      </c>
      <c r="B354" s="151">
        <f>IF(ISBLANK(GlobBerMedDisc!$R$5),"",GlobBerMedDisc!$R$5)</f>
        <v>0</v>
      </c>
      <c r="C354" s="153">
        <v>0</v>
      </c>
      <c r="D354" s="151" t="str">
        <f t="shared" si="5"/>
        <v>_Glob_MedDisc_Inloop_04##0</v>
      </c>
      <c r="E354" s="151"/>
      <c r="G354" s="151"/>
      <c r="H354" s="151"/>
    </row>
    <row r="355" spans="1:8" x14ac:dyDescent="0.2">
      <c r="A355" s="151" t="s">
        <v>1942</v>
      </c>
      <c r="B355" s="151">
        <f>IF(ISBLANK(GlobBerMedDisc!$R$6),"",GlobBerMedDisc!$R$6)</f>
        <v>0</v>
      </c>
      <c r="C355" s="153">
        <v>0</v>
      </c>
      <c r="D355" s="151" t="str">
        <f t="shared" si="5"/>
        <v>_Glob_MedDisc_Inloop_05##0</v>
      </c>
      <c r="E355" s="151"/>
      <c r="G355" s="151"/>
      <c r="H355" s="151"/>
    </row>
    <row r="356" spans="1:8" x14ac:dyDescent="0.2">
      <c r="A356" s="151" t="s">
        <v>1943</v>
      </c>
      <c r="B356" s="151">
        <f>IF(ISBLANK(GlobBerMedDisc!$R$7),"",GlobBerMedDisc!$R$7)</f>
        <v>0</v>
      </c>
      <c r="C356" s="153">
        <v>0</v>
      </c>
      <c r="D356" s="151" t="str">
        <f t="shared" si="5"/>
        <v>_Glob_MedDisc_Inloop_06##0</v>
      </c>
      <c r="E356" s="151"/>
      <c r="G356" s="151"/>
      <c r="H356" s="151"/>
    </row>
    <row r="357" spans="1:8" x14ac:dyDescent="0.2">
      <c r="A357" s="151" t="s">
        <v>1944</v>
      </c>
      <c r="B357" s="151">
        <f>IF(ISBLANK(GlobBerMedDisc!$R$8),"",GlobBerMedDisc!$R$8)</f>
        <v>0</v>
      </c>
      <c r="C357" s="153">
        <v>0</v>
      </c>
      <c r="D357" s="151" t="str">
        <f t="shared" si="5"/>
        <v>_Glob_MedDisc_Inloop_07##0</v>
      </c>
      <c r="E357" s="151"/>
      <c r="G357" s="151"/>
      <c r="H357" s="151"/>
    </row>
    <row r="358" spans="1:8" x14ac:dyDescent="0.2">
      <c r="A358" s="151" t="s">
        <v>1945</v>
      </c>
      <c r="B358" s="151">
        <f>IF(ISBLANK(GlobBerMedDisc!$R$9),"",GlobBerMedDisc!$R$9)</f>
        <v>0</v>
      </c>
      <c r="C358" s="153">
        <v>0</v>
      </c>
      <c r="D358" s="151" t="str">
        <f t="shared" si="5"/>
        <v>_Glob_MedDisc_Inloop_08##0</v>
      </c>
      <c r="E358" s="151"/>
      <c r="G358" s="151"/>
      <c r="H358" s="151"/>
    </row>
    <row r="359" spans="1:8" x14ac:dyDescent="0.2">
      <c r="A359" s="151" t="s">
        <v>1946</v>
      </c>
      <c r="B359" s="151">
        <f>IF(ISBLANK(GlobBerMedDisc!$R$10),"",GlobBerMedDisc!$R$10)</f>
        <v>0</v>
      </c>
      <c r="C359" s="153">
        <v>0</v>
      </c>
      <c r="D359" s="151" t="str">
        <f t="shared" si="5"/>
        <v>_Glob_MedDisc_Inloop_09##0</v>
      </c>
      <c r="E359" s="151"/>
      <c r="G359" s="151"/>
      <c r="H359" s="151"/>
    </row>
    <row r="360" spans="1:8" x14ac:dyDescent="0.2">
      <c r="A360" s="151" t="s">
        <v>1947</v>
      </c>
      <c r="B360" s="151">
        <f>IF(ISBLANK(GlobBerMedDisc!$R$11),"",GlobBerMedDisc!$R$11)</f>
        <v>0</v>
      </c>
      <c r="C360" s="153">
        <v>0</v>
      </c>
      <c r="D360" s="151" t="str">
        <f t="shared" si="5"/>
        <v>_Glob_MedDisc_Inloop_10##0</v>
      </c>
      <c r="E360" s="151"/>
      <c r="G360" s="151"/>
      <c r="H360" s="151"/>
    </row>
    <row r="361" spans="1:8" x14ac:dyDescent="0.2">
      <c r="A361" s="151" t="s">
        <v>1948</v>
      </c>
      <c r="B361" s="151">
        <f>IF(ISBLANK(GlobBerMedDisc!$R$12),"",GlobBerMedDisc!$R$12)</f>
        <v>0</v>
      </c>
      <c r="C361" s="153">
        <v>0</v>
      </c>
      <c r="D361" s="151" t="str">
        <f t="shared" si="5"/>
        <v>_Glob_MedDisc_Inloop_11##0</v>
      </c>
      <c r="E361" s="151"/>
      <c r="G361" s="151"/>
      <c r="H361" s="151"/>
    </row>
    <row r="362" spans="1:8" x14ac:dyDescent="0.2">
      <c r="A362" s="151" t="s">
        <v>1949</v>
      </c>
      <c r="B362" s="151">
        <f>IF(ISBLANK(GlobBerMedDisc!$R$13),"",GlobBerMedDisc!$R$13)</f>
        <v>0</v>
      </c>
      <c r="C362" s="153">
        <v>0</v>
      </c>
      <c r="D362" s="151" t="str">
        <f t="shared" si="5"/>
        <v>_Glob_MedDisc_Inloop_12##0</v>
      </c>
      <c r="E362" s="151"/>
      <c r="G362" s="151"/>
      <c r="H362" s="151"/>
    </row>
    <row r="363" spans="1:8" x14ac:dyDescent="0.2">
      <c r="A363" s="151" t="s">
        <v>1950</v>
      </c>
      <c r="B363" s="151">
        <f>IF(ISBLANK(GlobBerMedDisc!$R$14),"",GlobBerMedDisc!$R$14)</f>
        <v>0</v>
      </c>
      <c r="C363" s="153">
        <v>0</v>
      </c>
      <c r="D363" s="151" t="str">
        <f t="shared" si="5"/>
        <v>_Glob_MedDisc_Inloop_13##0</v>
      </c>
      <c r="E363" s="151"/>
      <c r="G363" s="151"/>
      <c r="H363" s="151"/>
    </row>
    <row r="364" spans="1:8" x14ac:dyDescent="0.2">
      <c r="A364" s="151" t="s">
        <v>1951</v>
      </c>
      <c r="B364" s="151">
        <f>IF(ISBLANK(GlobBerMedDisc!$R$15),"",GlobBerMedDisc!$R$15)</f>
        <v>0</v>
      </c>
      <c r="C364" s="153">
        <v>0</v>
      </c>
      <c r="D364" s="151" t="str">
        <f t="shared" si="5"/>
        <v>_Glob_MedDisc_Inloop_14##0</v>
      </c>
      <c r="E364" s="151"/>
    </row>
    <row r="365" spans="1:8" x14ac:dyDescent="0.2">
      <c r="A365" s="151" t="s">
        <v>1952</v>
      </c>
      <c r="B365" s="151">
        <f>IF(ISBLANK(GlobBerMedDisc!$R$16),"",GlobBerMedDisc!$R$16)</f>
        <v>0</v>
      </c>
      <c r="C365" s="153">
        <v>0</v>
      </c>
      <c r="D365" s="151" t="str">
        <f t="shared" si="5"/>
        <v>_Glob_MedDisc_Inloop_15##0</v>
      </c>
      <c r="E365" s="151"/>
    </row>
    <row r="366" spans="1:8" x14ac:dyDescent="0.2">
      <c r="A366" s="151" t="s">
        <v>1953</v>
      </c>
      <c r="B366" s="151">
        <f>IF(ISBLANK(GlobBerMedDisc!$R$17),"",GlobBerMedDisc!$R$17)</f>
        <v>0</v>
      </c>
      <c r="C366" s="153">
        <v>0</v>
      </c>
      <c r="D366" s="151" t="str">
        <f t="shared" si="5"/>
        <v>_Glob_MedDisc_Inloop_16##0</v>
      </c>
      <c r="E366" s="151"/>
    </row>
    <row r="367" spans="1:8" s="151" customFormat="1" x14ac:dyDescent="0.2">
      <c r="A367" s="151" t="s">
        <v>1954</v>
      </c>
      <c r="B367" s="151">
        <f>IF(ISBLANK(GlobBerMedDisc!$R$18),"",GlobBerMedDisc!$R$18)</f>
        <v>0</v>
      </c>
      <c r="C367" s="153">
        <v>0</v>
      </c>
      <c r="D367" s="151" t="str">
        <f t="shared" si="5"/>
        <v>_Glob_MedDisc_Inloop_17##0</v>
      </c>
    </row>
    <row r="368" spans="1:8" s="151" customFormat="1" x14ac:dyDescent="0.2">
      <c r="A368" s="151" t="s">
        <v>1955</v>
      </c>
      <c r="B368" s="151">
        <f>IF(ISBLANK(GlobBerMedDisc!$R$19),"",GlobBerMedDisc!$R$19)</f>
        <v>0</v>
      </c>
      <c r="C368" s="153">
        <v>0</v>
      </c>
      <c r="D368" s="151" t="str">
        <f t="shared" si="5"/>
        <v>_Glob_MedDisc_Inloop_18##0</v>
      </c>
    </row>
    <row r="369" spans="1:5" s="151" customFormat="1" x14ac:dyDescent="0.2">
      <c r="A369" s="151" t="s">
        <v>1956</v>
      </c>
      <c r="B369" s="151">
        <f>IF(ISBLANK(GlobBerMedDisc!$R$20),"",GlobBerMedDisc!$R$20)</f>
        <v>0</v>
      </c>
      <c r="C369" s="153">
        <v>0</v>
      </c>
      <c r="D369" s="151" t="str">
        <f t="shared" si="5"/>
        <v>_Glob_MedDisc_Inloop_19##0</v>
      </c>
    </row>
    <row r="370" spans="1:5" s="151" customFormat="1" x14ac:dyDescent="0.2">
      <c r="A370" s="151" t="s">
        <v>1957</v>
      </c>
      <c r="B370" s="151">
        <f>IF(ISBLANK(GlobBerMedDisc!$R$21),"",GlobBerMedDisc!$R$21)</f>
        <v>0</v>
      </c>
      <c r="C370" s="153">
        <v>0</v>
      </c>
      <c r="D370" s="151" t="str">
        <f t="shared" si="5"/>
        <v>_Glob_MedDisc_Inloop_20##0</v>
      </c>
    </row>
    <row r="371" spans="1:5" s="151" customFormat="1" x14ac:dyDescent="0.2">
      <c r="A371" s="151" t="s">
        <v>1958</v>
      </c>
      <c r="B371" s="151">
        <f>IF(ISBLANK(GlobBerMedDisc!$R$22),"",GlobBerMedDisc!$R$22)</f>
        <v>0</v>
      </c>
      <c r="C371" s="153">
        <v>0</v>
      </c>
      <c r="D371" s="151" t="str">
        <f t="shared" si="5"/>
        <v>_Glob_MedDisc_Inloop_21##0</v>
      </c>
    </row>
    <row r="372" spans="1:5" s="151" customFormat="1" x14ac:dyDescent="0.2">
      <c r="A372" s="151" t="s">
        <v>1959</v>
      </c>
      <c r="B372" s="151">
        <f>IF(ISBLANK(GlobBerMedDisc!$R$23),"",GlobBerMedDisc!$R$23)</f>
        <v>0</v>
      </c>
      <c r="C372" s="153">
        <v>0</v>
      </c>
      <c r="D372" s="151" t="str">
        <f t="shared" si="5"/>
        <v>_Glob_MedDisc_Inloop_22##0</v>
      </c>
    </row>
    <row r="373" spans="1:5" s="151" customFormat="1" x14ac:dyDescent="0.2">
      <c r="A373" s="151" t="s">
        <v>1960</v>
      </c>
      <c r="B373" s="151">
        <f>IF(ISBLANK(GlobBerMedDisc!$R$24),"",GlobBerMedDisc!$R$24)</f>
        <v>0</v>
      </c>
      <c r="C373" s="153">
        <v>0</v>
      </c>
      <c r="D373" s="151" t="str">
        <f t="shared" si="5"/>
        <v>_Glob_MedDisc_Inloop_23##0</v>
      </c>
    </row>
    <row r="374" spans="1:5" s="151" customFormat="1" x14ac:dyDescent="0.2">
      <c r="A374" s="151" t="s">
        <v>1961</v>
      </c>
      <c r="B374" s="151">
        <f>IF(ISBLANK(GlobBerMedDisc!$R$25),"",GlobBerMedDisc!$R$25)</f>
        <v>0</v>
      </c>
      <c r="C374" s="153">
        <v>0</v>
      </c>
      <c r="D374" s="151" t="str">
        <f t="shared" si="5"/>
        <v>_Glob_MedDisc_Inloop_24##0</v>
      </c>
    </row>
    <row r="375" spans="1:5" s="151" customFormat="1" x14ac:dyDescent="0.2">
      <c r="A375" s="151" t="s">
        <v>1962</v>
      </c>
      <c r="B375" s="151">
        <f>IF(ISBLANK(GlobBerMedDisc!$R$26),"",GlobBerMedDisc!$R$26)</f>
        <v>0</v>
      </c>
      <c r="C375" s="153">
        <v>0</v>
      </c>
      <c r="D375" s="151" t="str">
        <f t="shared" si="5"/>
        <v>_Glob_MedDisc_Inloop_25##0</v>
      </c>
    </row>
    <row r="376" spans="1:5" s="151" customFormat="1" x14ac:dyDescent="0.2">
      <c r="A376" s="151" t="s">
        <v>1963</v>
      </c>
      <c r="B376" s="151">
        <f>IF(ISBLANK(GlobBerMedDisc!$R$27),"",GlobBerMedDisc!$R$27)</f>
        <v>0</v>
      </c>
      <c r="C376" s="153">
        <v>0</v>
      </c>
      <c r="D376" s="151" t="str">
        <f t="shared" si="5"/>
        <v>_Glob_MedDisc_Inloop_26##0</v>
      </c>
    </row>
    <row r="377" spans="1:5" s="151" customFormat="1" x14ac:dyDescent="0.2">
      <c r="A377" s="151" t="s">
        <v>1964</v>
      </c>
      <c r="B377" s="151">
        <f>IF(ISBLANK(GlobBerMedDisc!$R$28),"",GlobBerMedDisc!$R$28)</f>
        <v>0</v>
      </c>
      <c r="C377" s="153">
        <v>0</v>
      </c>
      <c r="D377" s="151" t="str">
        <f t="shared" si="5"/>
        <v>_Glob_MedDisc_Inloop_27##0</v>
      </c>
    </row>
    <row r="378" spans="1:5" s="151" customFormat="1" x14ac:dyDescent="0.2">
      <c r="A378" s="151" t="s">
        <v>1965</v>
      </c>
      <c r="B378" s="151">
        <f>IF(ISBLANK(GlobBerMedDisc!$R$29),"",GlobBerMedDisc!$R$29)</f>
        <v>0</v>
      </c>
      <c r="C378" s="153">
        <v>0</v>
      </c>
      <c r="D378" s="151" t="str">
        <f t="shared" si="5"/>
        <v>_Glob_MedDisc_Inloop_28##0</v>
      </c>
    </row>
    <row r="379" spans="1:5" s="151" customFormat="1" x14ac:dyDescent="0.2">
      <c r="A379" s="151" t="s">
        <v>1966</v>
      </c>
      <c r="B379" s="151">
        <f>IF(ISBLANK(GlobBerMedDisc!$R$30),"",GlobBerMedDisc!$R$30)</f>
        <v>0</v>
      </c>
      <c r="C379" s="153">
        <v>0</v>
      </c>
      <c r="D379" s="151" t="str">
        <f t="shared" si="5"/>
        <v>_Glob_MedDisc_Inloop_29##0</v>
      </c>
    </row>
    <row r="380" spans="1:5" s="151" customFormat="1" x14ac:dyDescent="0.2">
      <c r="A380" s="151" t="s">
        <v>1967</v>
      </c>
      <c r="B380" s="151">
        <f>IF(ISBLANK(GlobBerMedDisc!$R$31),"",GlobBerMedDisc!$R$31)</f>
        <v>0</v>
      </c>
      <c r="C380" s="153">
        <v>0</v>
      </c>
      <c r="D380" s="151" t="str">
        <f t="shared" si="5"/>
        <v>_Glob_MedDisc_Inloop_30##0</v>
      </c>
    </row>
    <row r="381" spans="1:5" s="151" customFormat="1" x14ac:dyDescent="0.2">
      <c r="A381" s="151" t="s">
        <v>5385</v>
      </c>
      <c r="B381" t="str">
        <f>IF(ISBLANK(GlobBerMedDisc!$AX$2),"",GlobBerMedDisc!$AX$2)</f>
        <v/>
      </c>
      <c r="C381" s="44"/>
      <c r="D381" s="151" t="str">
        <f t="shared" si="5"/>
        <v>_Glob_MedDisc_MaxConc_01##</v>
      </c>
      <c r="E381"/>
    </row>
    <row r="382" spans="1:5" s="151" customFormat="1" x14ac:dyDescent="0.2">
      <c r="A382" s="151" t="s">
        <v>5387</v>
      </c>
      <c r="B382" t="str">
        <f>IF(ISBLANK(GlobBerMedDisc!$AX$3),"",GlobBerMedDisc!$AX$3)</f>
        <v/>
      </c>
      <c r="C382" s="44"/>
      <c r="D382" s="151" t="str">
        <f t="shared" si="5"/>
        <v>_Glob_MedDisc_MaxConc_02##</v>
      </c>
      <c r="E382"/>
    </row>
    <row r="383" spans="1:5" s="151" customFormat="1" x14ac:dyDescent="0.2">
      <c r="A383" s="151" t="s">
        <v>5389</v>
      </c>
      <c r="B383" t="str">
        <f>IF(ISBLANK(GlobBerMedDisc!$AX$4),"",GlobBerMedDisc!$AX$4)</f>
        <v/>
      </c>
      <c r="C383" s="44"/>
      <c r="D383" s="151" t="str">
        <f t="shared" si="5"/>
        <v>_Glob_MedDisc_MaxConc_03##</v>
      </c>
      <c r="E383"/>
    </row>
    <row r="384" spans="1:5" s="151" customFormat="1" x14ac:dyDescent="0.2">
      <c r="A384" s="151" t="s">
        <v>5391</v>
      </c>
      <c r="B384" t="str">
        <f>IF(ISBLANK(GlobBerMedDisc!$AX$5),"",GlobBerMedDisc!$AX$5)</f>
        <v/>
      </c>
      <c r="C384" s="44"/>
      <c r="D384" s="151" t="str">
        <f t="shared" si="5"/>
        <v>_Glob_MedDisc_MaxConc_04##</v>
      </c>
      <c r="E384"/>
    </row>
    <row r="385" spans="1:6" s="151" customFormat="1" x14ac:dyDescent="0.2">
      <c r="A385" s="151" t="s">
        <v>5393</v>
      </c>
      <c r="B385" t="str">
        <f>IF(ISBLANK(GlobBerMedDisc!$AX$6),"",GlobBerMedDisc!$AX$6)</f>
        <v/>
      </c>
      <c r="C385" s="44"/>
      <c r="D385" s="151" t="str">
        <f t="shared" si="5"/>
        <v>_Glob_MedDisc_MaxConc_05##</v>
      </c>
      <c r="E385"/>
    </row>
    <row r="386" spans="1:6" s="151" customFormat="1" x14ac:dyDescent="0.2">
      <c r="A386" s="151" t="s">
        <v>5395</v>
      </c>
      <c r="B386" t="str">
        <f>IF(ISBLANK(GlobBerMedDisc!$AX$7),"",GlobBerMedDisc!$AX$7)</f>
        <v/>
      </c>
      <c r="C386" s="44"/>
      <c r="D386" s="151" t="str">
        <f t="shared" si="5"/>
        <v>_Glob_MedDisc_MaxConc_06##</v>
      </c>
      <c r="E386"/>
    </row>
    <row r="387" spans="1:6" s="151" customFormat="1" x14ac:dyDescent="0.2">
      <c r="A387" s="151" t="s">
        <v>5397</v>
      </c>
      <c r="B387" t="str">
        <f>IF(ISBLANK(GlobBerMedDisc!$AX$8),"",GlobBerMedDisc!$AX$8)</f>
        <v/>
      </c>
      <c r="C387" s="44"/>
      <c r="D387" s="151" t="str">
        <f t="shared" ref="D387:D450" si="6">A387&amp;"##"&amp;B387</f>
        <v>_Glob_MedDisc_MaxConc_07##</v>
      </c>
      <c r="E387"/>
    </row>
    <row r="388" spans="1:6" s="151" customFormat="1" x14ac:dyDescent="0.2">
      <c r="A388" s="151" t="s">
        <v>5399</v>
      </c>
      <c r="B388" t="str">
        <f>IF(ISBLANK(GlobBerMedDisc!$AX$9),"",GlobBerMedDisc!$AX$9)</f>
        <v/>
      </c>
      <c r="C388" s="44"/>
      <c r="D388" s="151" t="str">
        <f t="shared" si="6"/>
        <v>_Glob_MedDisc_MaxConc_08##</v>
      </c>
      <c r="E388"/>
    </row>
    <row r="389" spans="1:6" s="151" customFormat="1" x14ac:dyDescent="0.2">
      <c r="A389" s="151" t="s">
        <v>5401</v>
      </c>
      <c r="B389" t="str">
        <f>IF(ISBLANK(GlobBerMedDisc!$AX$10),"",GlobBerMedDisc!$AX$10)</f>
        <v/>
      </c>
      <c r="C389" s="44"/>
      <c r="D389" s="151" t="str">
        <f t="shared" si="6"/>
        <v>_Glob_MedDisc_MaxConc_09##</v>
      </c>
      <c r="E389"/>
    </row>
    <row r="390" spans="1:6" s="151" customFormat="1" x14ac:dyDescent="0.2">
      <c r="A390" s="151" t="s">
        <v>5403</v>
      </c>
      <c r="B390" t="str">
        <f>IF(ISBLANK(GlobBerMedDisc!$AX$11),"",GlobBerMedDisc!$AX$11)</f>
        <v/>
      </c>
      <c r="C390" s="44"/>
      <c r="D390" s="151" t="str">
        <f t="shared" si="6"/>
        <v>_Glob_MedDisc_MaxConc_10##</v>
      </c>
      <c r="E390"/>
    </row>
    <row r="391" spans="1:6" s="151" customFormat="1" x14ac:dyDescent="0.2">
      <c r="A391" s="151" t="s">
        <v>5405</v>
      </c>
      <c r="B391" t="str">
        <f>IF(ISBLANK(GlobBerMedDisc!$AX$12),"",GlobBerMedDisc!$AX$12)</f>
        <v/>
      </c>
      <c r="C391" s="44"/>
      <c r="D391" s="151" t="str">
        <f t="shared" si="6"/>
        <v>_Glob_MedDisc_MaxConc_11##</v>
      </c>
      <c r="E391"/>
    </row>
    <row r="392" spans="1:6" s="151" customFormat="1" x14ac:dyDescent="0.2">
      <c r="A392" s="151" t="s">
        <v>5407</v>
      </c>
      <c r="B392" t="str">
        <f>IF(ISBLANK(GlobBerMedDisc!$AX$13),"",GlobBerMedDisc!$AX$13)</f>
        <v/>
      </c>
      <c r="C392" s="44"/>
      <c r="D392" s="151" t="str">
        <f t="shared" si="6"/>
        <v>_Glob_MedDisc_MaxConc_12##</v>
      </c>
      <c r="E392"/>
    </row>
    <row r="393" spans="1:6" s="151" customFormat="1" x14ac:dyDescent="0.2">
      <c r="A393" s="151" t="s">
        <v>5409</v>
      </c>
      <c r="B393" t="str">
        <f>IF(ISBLANK(GlobBerMedDisc!$AX$14),"",GlobBerMedDisc!$AX$14)</f>
        <v/>
      </c>
      <c r="C393" s="44"/>
      <c r="D393" s="151" t="str">
        <f t="shared" si="6"/>
        <v>_Glob_MedDisc_MaxConc_13##</v>
      </c>
      <c r="E393"/>
    </row>
    <row r="394" spans="1:6" s="151" customFormat="1" x14ac:dyDescent="0.2">
      <c r="A394" s="151" t="s">
        <v>5411</v>
      </c>
      <c r="B394" t="str">
        <f>IF(ISBLANK(GlobBerMedDisc!$AX$15),"",GlobBerMedDisc!$AX$15)</f>
        <v/>
      </c>
      <c r="C394" s="44"/>
      <c r="D394" s="151" t="str">
        <f t="shared" si="6"/>
        <v>_Glob_MedDisc_MaxConc_14##</v>
      </c>
      <c r="E394"/>
    </row>
    <row r="395" spans="1:6" s="151" customFormat="1" x14ac:dyDescent="0.2">
      <c r="A395" s="151" t="s">
        <v>5413</v>
      </c>
      <c r="B395" t="str">
        <f>IF(ISBLANK(GlobBerMedDisc!$AX$16),"",GlobBerMedDisc!$AX$16)</f>
        <v/>
      </c>
      <c r="C395" s="44"/>
      <c r="D395" s="151" t="str">
        <f t="shared" si="6"/>
        <v>_Glob_MedDisc_MaxConc_15##</v>
      </c>
      <c r="E395"/>
    </row>
    <row r="396" spans="1:6" s="151" customFormat="1" x14ac:dyDescent="0.2">
      <c r="A396" s="151" t="s">
        <v>5415</v>
      </c>
      <c r="B396" t="str">
        <f>IF(ISBLANK(GlobBerMedDisc!$AX$17),"",GlobBerMedDisc!$AX$17)</f>
        <v/>
      </c>
      <c r="C396" s="44"/>
      <c r="D396" s="151" t="str">
        <f t="shared" si="6"/>
        <v>_Glob_MedDisc_MaxConc_16##</v>
      </c>
      <c r="E396"/>
    </row>
    <row r="397" spans="1:6" s="151" customFormat="1" x14ac:dyDescent="0.2">
      <c r="A397" s="151" t="s">
        <v>5417</v>
      </c>
      <c r="B397" t="str">
        <f>IF(ISBLANK(GlobBerMedDisc!$AX$18),"",GlobBerMedDisc!$AX$18)</f>
        <v/>
      </c>
      <c r="C397" s="44"/>
      <c r="D397" s="151" t="str">
        <f t="shared" si="6"/>
        <v>_Glob_MedDisc_MaxConc_17##</v>
      </c>
      <c r="F397"/>
    </row>
    <row r="398" spans="1:6" s="151" customFormat="1" x14ac:dyDescent="0.2">
      <c r="A398" s="151" t="s">
        <v>5419</v>
      </c>
      <c r="B398" t="str">
        <f>IF(ISBLANK(GlobBerMedDisc!$AX$19),"",GlobBerMedDisc!$AX$19)</f>
        <v/>
      </c>
      <c r="C398" s="44"/>
      <c r="D398" s="151" t="str">
        <f t="shared" si="6"/>
        <v>_Glob_MedDisc_MaxConc_18##</v>
      </c>
      <c r="F398"/>
    </row>
    <row r="399" spans="1:6" s="151" customFormat="1" x14ac:dyDescent="0.2">
      <c r="A399" s="151" t="s">
        <v>5421</v>
      </c>
      <c r="B399" t="str">
        <f>IF(ISBLANK(GlobBerMedDisc!$AX$20),"",GlobBerMedDisc!$AX$20)</f>
        <v/>
      </c>
      <c r="C399" s="44"/>
      <c r="D399" s="151" t="str">
        <f t="shared" si="6"/>
        <v>_Glob_MedDisc_MaxConc_19##</v>
      </c>
      <c r="F399"/>
    </row>
    <row r="400" spans="1:6" s="151" customFormat="1" x14ac:dyDescent="0.2">
      <c r="A400" s="151" t="s">
        <v>5423</v>
      </c>
      <c r="B400" t="str">
        <f>IF(ISBLANK(GlobBerMedDisc!$AX$21),"",GlobBerMedDisc!$AX$21)</f>
        <v/>
      </c>
      <c r="C400" s="44"/>
      <c r="D400" s="151" t="str">
        <f t="shared" si="6"/>
        <v>_Glob_MedDisc_MaxConc_20##</v>
      </c>
      <c r="F400"/>
    </row>
    <row r="401" spans="1:6" s="151" customFormat="1" x14ac:dyDescent="0.2">
      <c r="A401" s="151" t="s">
        <v>5425</v>
      </c>
      <c r="B401" t="str">
        <f>IF(ISBLANK(GlobBerMedDisc!$AX$22),"",GlobBerMedDisc!$AX$22)</f>
        <v/>
      </c>
      <c r="C401" s="44"/>
      <c r="D401" s="151" t="str">
        <f t="shared" si="6"/>
        <v>_Glob_MedDisc_MaxConc_21##</v>
      </c>
      <c r="F401"/>
    </row>
    <row r="402" spans="1:6" s="151" customFormat="1" x14ac:dyDescent="0.2">
      <c r="A402" s="151" t="s">
        <v>5427</v>
      </c>
      <c r="B402" t="str">
        <f>IF(ISBLANK(GlobBerMedDisc!$AX$23),"",GlobBerMedDisc!$AX$23)</f>
        <v/>
      </c>
      <c r="C402" s="44"/>
      <c r="D402" s="151" t="str">
        <f t="shared" si="6"/>
        <v>_Glob_MedDisc_MaxConc_22##</v>
      </c>
      <c r="F402"/>
    </row>
    <row r="403" spans="1:6" s="151" customFormat="1" x14ac:dyDescent="0.2">
      <c r="A403" s="151" t="s">
        <v>5429</v>
      </c>
      <c r="B403" t="str">
        <f>IF(ISBLANK(GlobBerMedDisc!$AX$24),"",GlobBerMedDisc!$AX$24)</f>
        <v/>
      </c>
      <c r="C403" s="44"/>
      <c r="D403" s="151" t="str">
        <f t="shared" si="6"/>
        <v>_Glob_MedDisc_MaxConc_23##</v>
      </c>
      <c r="F403"/>
    </row>
    <row r="404" spans="1:6" s="151" customFormat="1" x14ac:dyDescent="0.2">
      <c r="A404" s="151" t="s">
        <v>5431</v>
      </c>
      <c r="B404" t="str">
        <f>IF(ISBLANK(GlobBerMedDisc!$AX$25),"",GlobBerMedDisc!$AX$25)</f>
        <v/>
      </c>
      <c r="C404" s="44"/>
      <c r="D404" s="151" t="str">
        <f t="shared" si="6"/>
        <v>_Glob_MedDisc_MaxConc_24##</v>
      </c>
      <c r="F404"/>
    </row>
    <row r="405" spans="1:6" s="151" customFormat="1" x14ac:dyDescent="0.2">
      <c r="A405" s="151" t="s">
        <v>5433</v>
      </c>
      <c r="B405" t="str">
        <f>IF(ISBLANK(GlobBerMedDisc!$AX$26),"",GlobBerMedDisc!$AX$26)</f>
        <v/>
      </c>
      <c r="C405" s="44"/>
      <c r="D405" s="151" t="str">
        <f t="shared" si="6"/>
        <v>_Glob_MedDisc_MaxConc_25##</v>
      </c>
      <c r="F405"/>
    </row>
    <row r="406" spans="1:6" s="151" customFormat="1" x14ac:dyDescent="0.2">
      <c r="A406" s="151" t="s">
        <v>5435</v>
      </c>
      <c r="B406" t="str">
        <f>IF(ISBLANK(GlobBerMedDisc!$AX$27),"",GlobBerMedDisc!$AX$27)</f>
        <v/>
      </c>
      <c r="C406" s="44"/>
      <c r="D406" s="151" t="str">
        <f t="shared" si="6"/>
        <v>_Glob_MedDisc_MaxConc_26##</v>
      </c>
      <c r="F406"/>
    </row>
    <row r="407" spans="1:6" s="151" customFormat="1" x14ac:dyDescent="0.2">
      <c r="A407" s="151" t="s">
        <v>5437</v>
      </c>
      <c r="B407" t="str">
        <f>IF(ISBLANK(GlobBerMedDisc!$AX$28),"",GlobBerMedDisc!$AX$28)</f>
        <v/>
      </c>
      <c r="C407" s="44"/>
      <c r="D407" s="151" t="str">
        <f t="shared" si="6"/>
        <v>_Glob_MedDisc_MaxConc_27##</v>
      </c>
      <c r="F407"/>
    </row>
    <row r="408" spans="1:6" s="151" customFormat="1" x14ac:dyDescent="0.2">
      <c r="A408" s="151" t="s">
        <v>5439</v>
      </c>
      <c r="B408" t="str">
        <f>IF(ISBLANK(GlobBerMedDisc!$AX$29),"",GlobBerMedDisc!$AX$29)</f>
        <v/>
      </c>
      <c r="C408" s="44"/>
      <c r="D408" s="151" t="str">
        <f t="shared" si="6"/>
        <v>_Glob_MedDisc_MaxConc_28##</v>
      </c>
      <c r="F408"/>
    </row>
    <row r="409" spans="1:6" s="151" customFormat="1" x14ac:dyDescent="0.2">
      <c r="A409" s="151" t="s">
        <v>5441</v>
      </c>
      <c r="B409" t="str">
        <f>IF(ISBLANK(GlobBerMedDisc!$AX$30),"",GlobBerMedDisc!$AX$30)</f>
        <v/>
      </c>
      <c r="C409" s="44"/>
      <c r="D409" s="151" t="str">
        <f t="shared" si="6"/>
        <v>_Glob_MedDisc_MaxConc_29##</v>
      </c>
      <c r="F409"/>
    </row>
    <row r="410" spans="1:6" s="151" customFormat="1" x14ac:dyDescent="0.2">
      <c r="A410" s="151" t="s">
        <v>5443</v>
      </c>
      <c r="B410" t="str">
        <f>IF(ISBLANK(GlobBerMedDisc!$AX$31),"",GlobBerMedDisc!$AX$31)</f>
        <v/>
      </c>
      <c r="C410" s="44"/>
      <c r="D410" s="151" t="str">
        <f t="shared" si="6"/>
        <v>_Glob_MedDisc_MaxConc_30##</v>
      </c>
      <c r="F410"/>
    </row>
    <row r="411" spans="1:6" s="151" customFormat="1" x14ac:dyDescent="0.2">
      <c r="A411" s="151" t="s">
        <v>5731</v>
      </c>
      <c r="B411" s="151" t="str">
        <f>IF(ISBLANK(GlobBerMedDisc!$BJ$2),"",GlobBerMedDisc!$BJ$2)</f>
        <v/>
      </c>
      <c r="D411" s="151" t="str">
        <f t="shared" si="6"/>
        <v>_Glob_MedDisc_MaxDose_01##</v>
      </c>
      <c r="F411"/>
    </row>
    <row r="412" spans="1:6" s="151" customFormat="1" x14ac:dyDescent="0.2">
      <c r="A412" s="151" t="s">
        <v>5733</v>
      </c>
      <c r="B412" s="151" t="str">
        <f>IF(ISBLANK(GlobBerMedDisc!$BJ$3),"",GlobBerMedDisc!$BJ$3)</f>
        <v/>
      </c>
      <c r="D412" s="151" t="str">
        <f t="shared" si="6"/>
        <v>_Glob_MedDisc_MaxDose_02##</v>
      </c>
      <c r="F412"/>
    </row>
    <row r="413" spans="1:6" s="151" customFormat="1" x14ac:dyDescent="0.2">
      <c r="A413" s="151" t="s">
        <v>5735</v>
      </c>
      <c r="B413" s="151" t="str">
        <f>IF(ISBLANK(GlobBerMedDisc!$BJ$4),"",GlobBerMedDisc!$BJ$4)</f>
        <v/>
      </c>
      <c r="D413" s="151" t="str">
        <f t="shared" si="6"/>
        <v>_Glob_MedDisc_MaxDose_03##</v>
      </c>
      <c r="F413"/>
    </row>
    <row r="414" spans="1:6" s="151" customFormat="1" x14ac:dyDescent="0.2">
      <c r="A414" s="151" t="s">
        <v>5737</v>
      </c>
      <c r="B414" s="151" t="str">
        <f>IF(ISBLANK(GlobBerMedDisc!$BJ$5),"",GlobBerMedDisc!$BJ$5)</f>
        <v/>
      </c>
      <c r="D414" s="151" t="str">
        <f t="shared" si="6"/>
        <v>_Glob_MedDisc_MaxDose_04##</v>
      </c>
      <c r="F414"/>
    </row>
    <row r="415" spans="1:6" s="151" customFormat="1" x14ac:dyDescent="0.2">
      <c r="A415" s="151" t="s">
        <v>5739</v>
      </c>
      <c r="B415" s="151" t="str">
        <f>IF(ISBLANK(GlobBerMedDisc!$BJ$6),"",GlobBerMedDisc!$BJ$6)</f>
        <v/>
      </c>
      <c r="D415" s="151" t="str">
        <f t="shared" si="6"/>
        <v>_Glob_MedDisc_MaxDose_05##</v>
      </c>
      <c r="F415"/>
    </row>
    <row r="416" spans="1:6" s="151" customFormat="1" x14ac:dyDescent="0.2">
      <c r="A416" s="151" t="s">
        <v>5741</v>
      </c>
      <c r="B416" s="151" t="str">
        <f>IF(ISBLANK(GlobBerMedDisc!$BJ$7),"",GlobBerMedDisc!$BJ$7)</f>
        <v/>
      </c>
      <c r="D416" s="151" t="str">
        <f t="shared" si="6"/>
        <v>_Glob_MedDisc_MaxDose_06##</v>
      </c>
    </row>
    <row r="417" spans="1:6" s="151" customFormat="1" x14ac:dyDescent="0.2">
      <c r="A417" s="151" t="s">
        <v>5743</v>
      </c>
      <c r="B417" s="151" t="str">
        <f>IF(ISBLANK(GlobBerMedDisc!$BJ$8),"",GlobBerMedDisc!$BJ$8)</f>
        <v/>
      </c>
      <c r="D417" s="151" t="str">
        <f t="shared" si="6"/>
        <v>_Glob_MedDisc_MaxDose_07##</v>
      </c>
    </row>
    <row r="418" spans="1:6" s="151" customFormat="1" x14ac:dyDescent="0.2">
      <c r="A418" s="151" t="s">
        <v>5745</v>
      </c>
      <c r="B418" s="151" t="str">
        <f>IF(ISBLANK(GlobBerMedDisc!$BJ$9),"",GlobBerMedDisc!$BJ$9)</f>
        <v/>
      </c>
      <c r="D418" s="151" t="str">
        <f t="shared" si="6"/>
        <v>_Glob_MedDisc_MaxDose_08##</v>
      </c>
    </row>
    <row r="419" spans="1:6" s="151" customFormat="1" x14ac:dyDescent="0.2">
      <c r="A419" s="151" t="s">
        <v>5747</v>
      </c>
      <c r="B419" s="151" t="str">
        <f>IF(ISBLANK(GlobBerMedDisc!$BJ$10),"",GlobBerMedDisc!$BJ$10)</f>
        <v/>
      </c>
      <c r="D419" s="151" t="str">
        <f t="shared" si="6"/>
        <v>_Glob_MedDisc_MaxDose_09##</v>
      </c>
    </row>
    <row r="420" spans="1:6" s="151" customFormat="1" x14ac:dyDescent="0.2">
      <c r="A420" s="151" t="s">
        <v>5749</v>
      </c>
      <c r="B420" s="151" t="str">
        <f>IF(ISBLANK(GlobBerMedDisc!$BJ$11),"",GlobBerMedDisc!$BJ$11)</f>
        <v/>
      </c>
      <c r="D420" s="151" t="str">
        <f t="shared" si="6"/>
        <v>_Glob_MedDisc_MaxDose_10##</v>
      </c>
    </row>
    <row r="421" spans="1:6" s="151" customFormat="1" x14ac:dyDescent="0.2">
      <c r="A421" s="151" t="s">
        <v>5751</v>
      </c>
      <c r="B421" s="151" t="str">
        <f>IF(ISBLANK(GlobBerMedDisc!$BJ$12),"",GlobBerMedDisc!$BJ$12)</f>
        <v/>
      </c>
      <c r="D421" s="151" t="str">
        <f t="shared" si="6"/>
        <v>_Glob_MedDisc_MaxDose_11##</v>
      </c>
    </row>
    <row r="422" spans="1:6" s="151" customFormat="1" x14ac:dyDescent="0.2">
      <c r="A422" s="151" t="s">
        <v>5753</v>
      </c>
      <c r="B422" s="151" t="str">
        <f>IF(ISBLANK(GlobBerMedDisc!$BJ$13),"",GlobBerMedDisc!$BJ$13)</f>
        <v/>
      </c>
      <c r="D422" s="151" t="str">
        <f t="shared" si="6"/>
        <v>_Glob_MedDisc_MaxDose_12##</v>
      </c>
    </row>
    <row r="423" spans="1:6" s="151" customFormat="1" x14ac:dyDescent="0.2">
      <c r="A423" s="151" t="s">
        <v>5755</v>
      </c>
      <c r="B423" s="151" t="str">
        <f>IF(ISBLANK(GlobBerMedDisc!$BJ$14),"",GlobBerMedDisc!$BJ$14)</f>
        <v/>
      </c>
      <c r="D423" s="151" t="str">
        <f t="shared" si="6"/>
        <v>_Glob_MedDisc_MaxDose_13##</v>
      </c>
    </row>
    <row r="424" spans="1:6" s="151" customFormat="1" x14ac:dyDescent="0.2">
      <c r="A424" s="151" t="s">
        <v>5757</v>
      </c>
      <c r="B424" s="151" t="str">
        <f>IF(ISBLANK(GlobBerMedDisc!$BJ$15),"",GlobBerMedDisc!$BJ$15)</f>
        <v/>
      </c>
      <c r="D424" s="151" t="str">
        <f t="shared" si="6"/>
        <v>_Glob_MedDisc_MaxDose_14##</v>
      </c>
    </row>
    <row r="425" spans="1:6" s="151" customFormat="1" x14ac:dyDescent="0.2">
      <c r="A425" s="151" t="s">
        <v>5759</v>
      </c>
      <c r="B425" s="151" t="str">
        <f>IF(ISBLANK(GlobBerMedDisc!$BJ$16),"",GlobBerMedDisc!$BJ$16)</f>
        <v/>
      </c>
      <c r="D425" s="151" t="str">
        <f t="shared" si="6"/>
        <v>_Glob_MedDisc_MaxDose_15##</v>
      </c>
    </row>
    <row r="426" spans="1:6" s="151" customFormat="1" x14ac:dyDescent="0.2">
      <c r="A426" s="151" t="s">
        <v>5761</v>
      </c>
      <c r="B426" s="151" t="str">
        <f>IF(ISBLANK(GlobBerMedDisc!$BJ$17),"",GlobBerMedDisc!$BJ$17)</f>
        <v/>
      </c>
      <c r="D426" s="151" t="str">
        <f t="shared" si="6"/>
        <v>_Glob_MedDisc_MaxDose_16##</v>
      </c>
      <c r="F426"/>
    </row>
    <row r="427" spans="1:6" x14ac:dyDescent="0.2">
      <c r="A427" s="151" t="s">
        <v>5763</v>
      </c>
      <c r="B427" s="151" t="str">
        <f>IF(ISBLANK(GlobBerMedDisc!$BJ$18),"",GlobBerMedDisc!$BJ$18)</f>
        <v/>
      </c>
      <c r="C427" s="151"/>
      <c r="D427" s="151" t="str">
        <f t="shared" si="6"/>
        <v>_Glob_MedDisc_MaxDose_17##</v>
      </c>
    </row>
    <row r="428" spans="1:6" x14ac:dyDescent="0.2">
      <c r="A428" s="151" t="s">
        <v>5765</v>
      </c>
      <c r="B428" s="151" t="str">
        <f>IF(ISBLANK(GlobBerMedDisc!$BJ$19),"",GlobBerMedDisc!$BJ$19)</f>
        <v/>
      </c>
      <c r="C428" s="151"/>
      <c r="D428" s="151" t="str">
        <f t="shared" si="6"/>
        <v>_Glob_MedDisc_MaxDose_18##</v>
      </c>
    </row>
    <row r="429" spans="1:6" x14ac:dyDescent="0.2">
      <c r="A429" s="151" t="s">
        <v>5767</v>
      </c>
      <c r="B429" s="151" t="str">
        <f>IF(ISBLANK(GlobBerMedDisc!$BJ$20),"",GlobBerMedDisc!$BJ$20)</f>
        <v/>
      </c>
      <c r="C429" s="151"/>
      <c r="D429" s="151" t="str">
        <f t="shared" si="6"/>
        <v>_Glob_MedDisc_MaxDose_19##</v>
      </c>
    </row>
    <row r="430" spans="1:6" x14ac:dyDescent="0.2">
      <c r="A430" s="151" t="s">
        <v>5769</v>
      </c>
      <c r="B430" s="151" t="str">
        <f>IF(ISBLANK(GlobBerMedDisc!$BJ$21),"",GlobBerMedDisc!$BJ$21)</f>
        <v/>
      </c>
      <c r="C430" s="151"/>
      <c r="D430" s="151" t="str">
        <f t="shared" si="6"/>
        <v>_Glob_MedDisc_MaxDose_20##</v>
      </c>
    </row>
    <row r="431" spans="1:6" x14ac:dyDescent="0.2">
      <c r="A431" s="151" t="s">
        <v>5771</v>
      </c>
      <c r="B431" s="151" t="str">
        <f>IF(ISBLANK(GlobBerMedDisc!$BJ$22),"",GlobBerMedDisc!$BJ$22)</f>
        <v/>
      </c>
      <c r="C431" s="151"/>
      <c r="D431" s="151" t="str">
        <f t="shared" si="6"/>
        <v>_Glob_MedDisc_MaxDose_21##</v>
      </c>
    </row>
    <row r="432" spans="1:6" x14ac:dyDescent="0.2">
      <c r="A432" s="151" t="s">
        <v>5773</v>
      </c>
      <c r="B432" s="151" t="str">
        <f>IF(ISBLANK(GlobBerMedDisc!$BJ$23),"",GlobBerMedDisc!$BJ$23)</f>
        <v/>
      </c>
      <c r="C432" s="151"/>
      <c r="D432" s="151" t="str">
        <f t="shared" si="6"/>
        <v>_Glob_MedDisc_MaxDose_22##</v>
      </c>
    </row>
    <row r="433" spans="1:4" x14ac:dyDescent="0.2">
      <c r="A433" s="151" t="s">
        <v>5775</v>
      </c>
      <c r="B433" s="151" t="str">
        <f>IF(ISBLANK(GlobBerMedDisc!$BJ$24),"",GlobBerMedDisc!$BJ$24)</f>
        <v/>
      </c>
      <c r="C433" s="151"/>
      <c r="D433" s="151" t="str">
        <f t="shared" si="6"/>
        <v>_Glob_MedDisc_MaxDose_23##</v>
      </c>
    </row>
    <row r="434" spans="1:4" x14ac:dyDescent="0.2">
      <c r="A434" s="151" t="s">
        <v>5777</v>
      </c>
      <c r="B434" s="151" t="str">
        <f>IF(ISBLANK(GlobBerMedDisc!$BJ$25),"",GlobBerMedDisc!$BJ$25)</f>
        <v/>
      </c>
      <c r="C434" s="151"/>
      <c r="D434" s="151" t="str">
        <f t="shared" si="6"/>
        <v>_Glob_MedDisc_MaxDose_24##</v>
      </c>
    </row>
    <row r="435" spans="1:4" x14ac:dyDescent="0.2">
      <c r="A435" s="151" t="s">
        <v>5779</v>
      </c>
      <c r="B435" s="151" t="str">
        <f>IF(ISBLANK(GlobBerMedDisc!$BJ$26),"",GlobBerMedDisc!$BJ$26)</f>
        <v/>
      </c>
      <c r="C435" s="151"/>
      <c r="D435" s="151" t="str">
        <f t="shared" si="6"/>
        <v>_Glob_MedDisc_MaxDose_25##</v>
      </c>
    </row>
    <row r="436" spans="1:4" x14ac:dyDescent="0.2">
      <c r="A436" s="151" t="s">
        <v>5781</v>
      </c>
      <c r="B436" s="151" t="str">
        <f>IF(ISBLANK(GlobBerMedDisc!$BJ$27),"",GlobBerMedDisc!$BJ$27)</f>
        <v/>
      </c>
      <c r="C436" s="151"/>
      <c r="D436" s="151" t="str">
        <f t="shared" si="6"/>
        <v>_Glob_MedDisc_MaxDose_26##</v>
      </c>
    </row>
    <row r="437" spans="1:4" x14ac:dyDescent="0.2">
      <c r="A437" s="151" t="s">
        <v>5783</v>
      </c>
      <c r="B437" s="151" t="str">
        <f>IF(ISBLANK(GlobBerMedDisc!$BJ$28),"",GlobBerMedDisc!$BJ$28)</f>
        <v/>
      </c>
      <c r="C437" s="151"/>
      <c r="D437" s="151" t="str">
        <f t="shared" si="6"/>
        <v>_Glob_MedDisc_MaxDose_27##</v>
      </c>
    </row>
    <row r="438" spans="1:4" x14ac:dyDescent="0.2">
      <c r="A438" s="151" t="s">
        <v>5785</v>
      </c>
      <c r="B438" s="151" t="str">
        <f>IF(ISBLANK(GlobBerMedDisc!$BJ$29),"",GlobBerMedDisc!$BJ$29)</f>
        <v/>
      </c>
      <c r="C438" s="151"/>
      <c r="D438" s="151" t="str">
        <f t="shared" si="6"/>
        <v>_Glob_MedDisc_MaxDose_28##</v>
      </c>
    </row>
    <row r="439" spans="1:4" x14ac:dyDescent="0.2">
      <c r="A439" s="151" t="s">
        <v>5787</v>
      </c>
      <c r="B439" s="151" t="str">
        <f>IF(ISBLANK(GlobBerMedDisc!$BJ$30),"",GlobBerMedDisc!$BJ$30)</f>
        <v/>
      </c>
      <c r="C439" s="151"/>
      <c r="D439" s="151" t="str">
        <f t="shared" si="6"/>
        <v>_Glob_MedDisc_MaxDose_29##</v>
      </c>
    </row>
    <row r="440" spans="1:4" x14ac:dyDescent="0.2">
      <c r="A440" s="151" t="s">
        <v>5789</v>
      </c>
      <c r="B440" s="151" t="str">
        <f>IF(ISBLANK(GlobBerMedDisc!$BJ$31),"",GlobBerMedDisc!$BJ$31)</f>
        <v/>
      </c>
      <c r="C440" s="151"/>
      <c r="D440" s="151" t="str">
        <f t="shared" si="6"/>
        <v>_Glob_MedDisc_MaxDose_30##</v>
      </c>
    </row>
    <row r="441" spans="1:4" s="151" customFormat="1" x14ac:dyDescent="0.2">
      <c r="A441" s="151" t="s">
        <v>7814</v>
      </c>
      <c r="B441" s="151" t="str">
        <f>IF(ISBLANK(GlobBerMedDisc!$BT$2),"",GlobBerMedDisc!$BT$2)</f>
        <v/>
      </c>
      <c r="D441" s="151" t="str">
        <f t="shared" si="6"/>
        <v>_Glob_MedDisc_MaxKeer_01##</v>
      </c>
    </row>
    <row r="442" spans="1:4" s="151" customFormat="1" x14ac:dyDescent="0.2">
      <c r="A442" s="151" t="s">
        <v>7816</v>
      </c>
      <c r="B442" s="151" t="str">
        <f>IF(ISBLANK(GlobBerMedDisc!$BT$3),"",GlobBerMedDisc!$BT$3)</f>
        <v/>
      </c>
      <c r="D442" s="151" t="str">
        <f t="shared" si="6"/>
        <v>_Glob_MedDisc_MaxKeer_02##</v>
      </c>
    </row>
    <row r="443" spans="1:4" s="151" customFormat="1" x14ac:dyDescent="0.2">
      <c r="A443" s="151" t="s">
        <v>7818</v>
      </c>
      <c r="B443" s="151" t="str">
        <f>IF(ISBLANK(GlobBerMedDisc!$BT$4),"",GlobBerMedDisc!$BT$4)</f>
        <v/>
      </c>
      <c r="D443" s="151" t="str">
        <f t="shared" si="6"/>
        <v>_Glob_MedDisc_MaxKeer_03##</v>
      </c>
    </row>
    <row r="444" spans="1:4" s="151" customFormat="1" x14ac:dyDescent="0.2">
      <c r="A444" s="151" t="s">
        <v>7820</v>
      </c>
      <c r="B444" s="151" t="str">
        <f>IF(ISBLANK(GlobBerMedDisc!$BT$5),"",GlobBerMedDisc!$BT$5)</f>
        <v/>
      </c>
      <c r="D444" s="151" t="str">
        <f t="shared" si="6"/>
        <v>_Glob_MedDisc_MaxKeer_04##</v>
      </c>
    </row>
    <row r="445" spans="1:4" s="151" customFormat="1" x14ac:dyDescent="0.2">
      <c r="A445" s="151" t="s">
        <v>7822</v>
      </c>
      <c r="B445" s="151" t="str">
        <f>IF(ISBLANK(GlobBerMedDisc!$BT$6),"",GlobBerMedDisc!$BT$6)</f>
        <v/>
      </c>
      <c r="D445" s="151" t="str">
        <f t="shared" si="6"/>
        <v>_Glob_MedDisc_MaxKeer_05##</v>
      </c>
    </row>
    <row r="446" spans="1:4" s="151" customFormat="1" x14ac:dyDescent="0.2">
      <c r="A446" s="151" t="s">
        <v>7824</v>
      </c>
      <c r="B446" s="151" t="str">
        <f>IF(ISBLANK(GlobBerMedDisc!$BT$7),"",GlobBerMedDisc!$BT$7)</f>
        <v/>
      </c>
      <c r="D446" s="151" t="str">
        <f t="shared" si="6"/>
        <v>_Glob_MedDisc_MaxKeer_06##</v>
      </c>
    </row>
    <row r="447" spans="1:4" s="151" customFormat="1" x14ac:dyDescent="0.2">
      <c r="A447" s="151" t="s">
        <v>7826</v>
      </c>
      <c r="B447" s="151" t="str">
        <f>IF(ISBLANK(GlobBerMedDisc!$BT$8),"",GlobBerMedDisc!$BT$8)</f>
        <v/>
      </c>
      <c r="D447" s="151" t="str">
        <f t="shared" si="6"/>
        <v>_Glob_MedDisc_MaxKeer_07##</v>
      </c>
    </row>
    <row r="448" spans="1:4" s="151" customFormat="1" x14ac:dyDescent="0.2">
      <c r="A448" s="151" t="s">
        <v>7828</v>
      </c>
      <c r="B448" s="151" t="str">
        <f>IF(ISBLANK(GlobBerMedDisc!$BT$9),"",GlobBerMedDisc!$BT$9)</f>
        <v/>
      </c>
      <c r="D448" s="151" t="str">
        <f t="shared" si="6"/>
        <v>_Glob_MedDisc_MaxKeer_08##</v>
      </c>
    </row>
    <row r="449" spans="1:4" s="151" customFormat="1" x14ac:dyDescent="0.2">
      <c r="A449" s="151" t="s">
        <v>7830</v>
      </c>
      <c r="B449" s="151" t="str">
        <f>IF(ISBLANK(GlobBerMedDisc!$BT$10),"",GlobBerMedDisc!$BT$10)</f>
        <v/>
      </c>
      <c r="D449" s="151" t="str">
        <f t="shared" si="6"/>
        <v>_Glob_MedDisc_MaxKeer_09##</v>
      </c>
    </row>
    <row r="450" spans="1:4" s="151" customFormat="1" x14ac:dyDescent="0.2">
      <c r="A450" s="151" t="s">
        <v>7832</v>
      </c>
      <c r="B450" s="151" t="str">
        <f>IF(ISBLANK(GlobBerMedDisc!$BT$11),"",GlobBerMedDisc!$BT$11)</f>
        <v/>
      </c>
      <c r="D450" s="151" t="str">
        <f t="shared" si="6"/>
        <v>_Glob_MedDisc_MaxKeer_10##</v>
      </c>
    </row>
    <row r="451" spans="1:4" s="151" customFormat="1" x14ac:dyDescent="0.2">
      <c r="A451" s="151" t="s">
        <v>7834</v>
      </c>
      <c r="B451" s="151" t="str">
        <f>IF(ISBLANK(GlobBerMedDisc!$BT$12),"",GlobBerMedDisc!$BT$12)</f>
        <v/>
      </c>
      <c r="D451" s="151" t="str">
        <f t="shared" ref="D451:D514" si="7">A451&amp;"##"&amp;B451</f>
        <v>_Glob_MedDisc_MaxKeer_11##</v>
      </c>
    </row>
    <row r="452" spans="1:4" s="151" customFormat="1" x14ac:dyDescent="0.2">
      <c r="A452" s="151" t="s">
        <v>7836</v>
      </c>
      <c r="B452" s="151" t="str">
        <f>IF(ISBLANK(GlobBerMedDisc!$BT$13),"",GlobBerMedDisc!$BT$13)</f>
        <v/>
      </c>
      <c r="D452" s="151" t="str">
        <f t="shared" si="7"/>
        <v>_Glob_MedDisc_MaxKeer_12##</v>
      </c>
    </row>
    <row r="453" spans="1:4" s="151" customFormat="1" x14ac:dyDescent="0.2">
      <c r="A453" s="151" t="s">
        <v>7838</v>
      </c>
      <c r="B453" s="151" t="str">
        <f>IF(ISBLANK(GlobBerMedDisc!$BT$14),"",GlobBerMedDisc!$BT$14)</f>
        <v/>
      </c>
      <c r="D453" s="151" t="str">
        <f t="shared" si="7"/>
        <v>_Glob_MedDisc_MaxKeer_13##</v>
      </c>
    </row>
    <row r="454" spans="1:4" s="151" customFormat="1" x14ac:dyDescent="0.2">
      <c r="A454" s="151" t="s">
        <v>7840</v>
      </c>
      <c r="B454" s="151" t="str">
        <f>IF(ISBLANK(GlobBerMedDisc!$BT$15),"",GlobBerMedDisc!$BT$15)</f>
        <v/>
      </c>
      <c r="D454" s="151" t="str">
        <f t="shared" si="7"/>
        <v>_Glob_MedDisc_MaxKeer_14##</v>
      </c>
    </row>
    <row r="455" spans="1:4" s="151" customFormat="1" x14ac:dyDescent="0.2">
      <c r="A455" s="151" t="s">
        <v>7842</v>
      </c>
      <c r="B455" s="151" t="str">
        <f>IF(ISBLANK(GlobBerMedDisc!$BT$16),"",GlobBerMedDisc!$BT$16)</f>
        <v/>
      </c>
      <c r="D455" s="151" t="str">
        <f t="shared" si="7"/>
        <v>_Glob_MedDisc_MaxKeer_15##</v>
      </c>
    </row>
    <row r="456" spans="1:4" s="151" customFormat="1" x14ac:dyDescent="0.2">
      <c r="A456" s="151" t="s">
        <v>7844</v>
      </c>
      <c r="B456" s="151" t="str">
        <f>IF(ISBLANK(GlobBerMedDisc!$BT$17),"",GlobBerMedDisc!$BT$17)</f>
        <v/>
      </c>
      <c r="D456" s="151" t="str">
        <f t="shared" si="7"/>
        <v>_Glob_MedDisc_MaxKeer_16##</v>
      </c>
    </row>
    <row r="457" spans="1:4" s="151" customFormat="1" x14ac:dyDescent="0.2">
      <c r="A457" s="151" t="s">
        <v>7846</v>
      </c>
      <c r="B457" s="151" t="str">
        <f>IF(ISBLANK(GlobBerMedDisc!$BT$18),"",GlobBerMedDisc!$BT$18)</f>
        <v/>
      </c>
      <c r="D457" s="151" t="str">
        <f t="shared" si="7"/>
        <v>_Glob_MedDisc_MaxKeer_17##</v>
      </c>
    </row>
    <row r="458" spans="1:4" s="151" customFormat="1" x14ac:dyDescent="0.2">
      <c r="A458" s="151" t="s">
        <v>7848</v>
      </c>
      <c r="B458" s="151" t="str">
        <f>IF(ISBLANK(GlobBerMedDisc!$BT$19),"",GlobBerMedDisc!$BT$19)</f>
        <v/>
      </c>
      <c r="D458" s="151" t="str">
        <f t="shared" si="7"/>
        <v>_Glob_MedDisc_MaxKeer_18##</v>
      </c>
    </row>
    <row r="459" spans="1:4" s="151" customFormat="1" x14ac:dyDescent="0.2">
      <c r="A459" s="151" t="s">
        <v>7850</v>
      </c>
      <c r="B459" s="151" t="str">
        <f>IF(ISBLANK(GlobBerMedDisc!$BT$20),"",GlobBerMedDisc!$BT$20)</f>
        <v/>
      </c>
      <c r="D459" s="151" t="str">
        <f t="shared" si="7"/>
        <v>_Glob_MedDisc_MaxKeer_19##</v>
      </c>
    </row>
    <row r="460" spans="1:4" s="151" customFormat="1" x14ac:dyDescent="0.2">
      <c r="A460" s="151" t="s">
        <v>7852</v>
      </c>
      <c r="B460" s="151" t="str">
        <f>IF(ISBLANK(GlobBerMedDisc!$BT$21),"",GlobBerMedDisc!$BT$21)</f>
        <v/>
      </c>
      <c r="D460" s="151" t="str">
        <f t="shared" si="7"/>
        <v>_Glob_MedDisc_MaxKeer_20##</v>
      </c>
    </row>
    <row r="461" spans="1:4" s="151" customFormat="1" x14ac:dyDescent="0.2">
      <c r="A461" s="151" t="s">
        <v>7854</v>
      </c>
      <c r="B461" s="151" t="str">
        <f>IF(ISBLANK(GlobBerMedDisc!$BT$22),"",GlobBerMedDisc!$BT$22)</f>
        <v/>
      </c>
      <c r="D461" s="151" t="str">
        <f t="shared" si="7"/>
        <v>_Glob_MedDisc_MaxKeer_21##</v>
      </c>
    </row>
    <row r="462" spans="1:4" s="151" customFormat="1" x14ac:dyDescent="0.2">
      <c r="A462" s="151" t="s">
        <v>7856</v>
      </c>
      <c r="B462" s="151" t="str">
        <f>IF(ISBLANK(GlobBerMedDisc!$BT$23),"",GlobBerMedDisc!$BT$23)</f>
        <v/>
      </c>
      <c r="D462" s="151" t="str">
        <f t="shared" si="7"/>
        <v>_Glob_MedDisc_MaxKeer_22##</v>
      </c>
    </row>
    <row r="463" spans="1:4" s="151" customFormat="1" x14ac:dyDescent="0.2">
      <c r="A463" s="151" t="s">
        <v>7858</v>
      </c>
      <c r="B463" s="151" t="str">
        <f>IF(ISBLANK(GlobBerMedDisc!$BT$24),"",GlobBerMedDisc!$BT$24)</f>
        <v/>
      </c>
      <c r="D463" s="151" t="str">
        <f t="shared" si="7"/>
        <v>_Glob_MedDisc_MaxKeer_23##</v>
      </c>
    </row>
    <row r="464" spans="1:4" s="151" customFormat="1" x14ac:dyDescent="0.2">
      <c r="A464" s="151" t="s">
        <v>7860</v>
      </c>
      <c r="B464" s="151" t="str">
        <f>IF(ISBLANK(GlobBerMedDisc!$BT$25),"",GlobBerMedDisc!$BT$25)</f>
        <v/>
      </c>
      <c r="D464" s="151" t="str">
        <f t="shared" si="7"/>
        <v>_Glob_MedDisc_MaxKeer_24##</v>
      </c>
    </row>
    <row r="465" spans="1:6" s="151" customFormat="1" x14ac:dyDescent="0.2">
      <c r="A465" s="151" t="s">
        <v>7862</v>
      </c>
      <c r="B465" s="151" t="str">
        <f>IF(ISBLANK(GlobBerMedDisc!$BT$26),"",GlobBerMedDisc!$BT$26)</f>
        <v/>
      </c>
      <c r="D465" s="151" t="str">
        <f t="shared" si="7"/>
        <v>_Glob_MedDisc_MaxKeer_25##</v>
      </c>
    </row>
    <row r="466" spans="1:6" s="151" customFormat="1" x14ac:dyDescent="0.2">
      <c r="A466" s="151" t="s">
        <v>7864</v>
      </c>
      <c r="B466" s="151" t="str">
        <f>IF(ISBLANK(GlobBerMedDisc!$BT$27),"",GlobBerMedDisc!$BT$27)</f>
        <v/>
      </c>
      <c r="D466" s="151" t="str">
        <f t="shared" si="7"/>
        <v>_Glob_MedDisc_MaxKeer_26##</v>
      </c>
    </row>
    <row r="467" spans="1:6" s="151" customFormat="1" x14ac:dyDescent="0.2">
      <c r="A467" s="151" t="s">
        <v>7866</v>
      </c>
      <c r="B467" s="151" t="str">
        <f>IF(ISBLANK(GlobBerMedDisc!$BT$28),"",GlobBerMedDisc!$BT$28)</f>
        <v/>
      </c>
      <c r="D467" s="151" t="str">
        <f t="shared" si="7"/>
        <v>_Glob_MedDisc_MaxKeer_27##</v>
      </c>
    </row>
    <row r="468" spans="1:6" s="151" customFormat="1" x14ac:dyDescent="0.2">
      <c r="A468" s="151" t="s">
        <v>7868</v>
      </c>
      <c r="B468" s="151" t="str">
        <f>IF(ISBLANK(GlobBerMedDisc!$BT$29),"",GlobBerMedDisc!$BT$29)</f>
        <v/>
      </c>
      <c r="D468" s="151" t="str">
        <f t="shared" si="7"/>
        <v>_Glob_MedDisc_MaxKeer_28##</v>
      </c>
    </row>
    <row r="469" spans="1:6" s="151" customFormat="1" x14ac:dyDescent="0.2">
      <c r="A469" s="151" t="s">
        <v>7870</v>
      </c>
      <c r="B469" s="151" t="str">
        <f>IF(ISBLANK(GlobBerMedDisc!$BT$30),"",GlobBerMedDisc!$BT$30)</f>
        <v/>
      </c>
      <c r="D469" s="151" t="str">
        <f t="shared" si="7"/>
        <v>_Glob_MedDisc_MaxKeer_29##</v>
      </c>
    </row>
    <row r="470" spans="1:6" s="151" customFormat="1" x14ac:dyDescent="0.2">
      <c r="A470" s="151" t="s">
        <v>7872</v>
      </c>
      <c r="B470" s="151" t="str">
        <f>IF(ISBLANK(GlobBerMedDisc!$BT$31),"",GlobBerMedDisc!$BT$31)</f>
        <v/>
      </c>
      <c r="D470" s="151" t="str">
        <f t="shared" si="7"/>
        <v>_Glob_MedDisc_MaxKeer_30##</v>
      </c>
    </row>
    <row r="471" spans="1:6" x14ac:dyDescent="0.2">
      <c r="A471" s="151" t="s">
        <v>5445</v>
      </c>
      <c r="B471" s="151" t="str">
        <f>IF(ISBLANK(GlobBerMedDisc!$AZ$2),"",GlobBerMedDisc!$AZ$2)</f>
        <v/>
      </c>
      <c r="C471" s="44"/>
      <c r="D471" s="151" t="str">
        <f t="shared" si="7"/>
        <v>_Glob_MedDisc_MinTijd_01##</v>
      </c>
      <c r="E471" s="151"/>
      <c r="F471" s="151"/>
    </row>
    <row r="472" spans="1:6" x14ac:dyDescent="0.2">
      <c r="A472" s="151" t="s">
        <v>5447</v>
      </c>
      <c r="B472" s="151" t="str">
        <f>IF(ISBLANK(GlobBerMedDisc!$AZ$3),"",GlobBerMedDisc!$AZ$3)</f>
        <v/>
      </c>
      <c r="C472" s="44"/>
      <c r="D472" s="151" t="str">
        <f t="shared" si="7"/>
        <v>_Glob_MedDisc_MinTijd_02##</v>
      </c>
      <c r="E472" s="151"/>
      <c r="F472" s="151"/>
    </row>
    <row r="473" spans="1:6" x14ac:dyDescent="0.2">
      <c r="A473" s="151" t="s">
        <v>5449</v>
      </c>
      <c r="B473" s="151" t="str">
        <f>IF(ISBLANK(GlobBerMedDisc!$AZ$4),"",GlobBerMedDisc!$AZ$4)</f>
        <v/>
      </c>
      <c r="C473" s="44"/>
      <c r="D473" s="151" t="str">
        <f t="shared" si="7"/>
        <v>_Glob_MedDisc_MinTijd_03##</v>
      </c>
      <c r="E473" s="151"/>
      <c r="F473" s="151"/>
    </row>
    <row r="474" spans="1:6" x14ac:dyDescent="0.2">
      <c r="A474" s="151" t="s">
        <v>5451</v>
      </c>
      <c r="B474" s="151" t="str">
        <f>IF(ISBLANK(GlobBerMedDisc!$AZ$5),"",GlobBerMedDisc!$AZ$5)</f>
        <v/>
      </c>
      <c r="C474" s="44"/>
      <c r="D474" s="151" t="str">
        <f t="shared" si="7"/>
        <v>_Glob_MedDisc_MinTijd_04##</v>
      </c>
      <c r="E474" s="151"/>
      <c r="F474" s="151"/>
    </row>
    <row r="475" spans="1:6" x14ac:dyDescent="0.2">
      <c r="A475" s="151" t="s">
        <v>5453</v>
      </c>
      <c r="B475" s="151" t="str">
        <f>IF(ISBLANK(GlobBerMedDisc!$AZ$6),"",GlobBerMedDisc!$AZ$6)</f>
        <v/>
      </c>
      <c r="C475" s="44"/>
      <c r="D475" s="151" t="str">
        <f t="shared" si="7"/>
        <v>_Glob_MedDisc_MinTijd_05##</v>
      </c>
      <c r="E475" s="151"/>
      <c r="F475" s="151"/>
    </row>
    <row r="476" spans="1:6" x14ac:dyDescent="0.2">
      <c r="A476" s="151" t="s">
        <v>5455</v>
      </c>
      <c r="B476" s="151" t="str">
        <f>IF(ISBLANK(GlobBerMedDisc!$AZ$7),"",GlobBerMedDisc!$AZ$7)</f>
        <v/>
      </c>
      <c r="C476" s="44"/>
      <c r="D476" s="151" t="str">
        <f t="shared" si="7"/>
        <v>_Glob_MedDisc_MinTijd_06##</v>
      </c>
      <c r="E476" s="151"/>
      <c r="F476" s="151"/>
    </row>
    <row r="477" spans="1:6" x14ac:dyDescent="0.2">
      <c r="A477" s="151" t="s">
        <v>5457</v>
      </c>
      <c r="B477" s="151" t="str">
        <f>IF(ISBLANK(GlobBerMedDisc!$AZ$8),"",GlobBerMedDisc!$AZ$8)</f>
        <v/>
      </c>
      <c r="C477" s="44"/>
      <c r="D477" s="151" t="str">
        <f t="shared" si="7"/>
        <v>_Glob_MedDisc_MinTijd_07##</v>
      </c>
      <c r="E477" s="151"/>
      <c r="F477" s="151"/>
    </row>
    <row r="478" spans="1:6" x14ac:dyDescent="0.2">
      <c r="A478" s="151" t="s">
        <v>5459</v>
      </c>
      <c r="B478" s="151" t="str">
        <f>IF(ISBLANK(GlobBerMedDisc!$AZ$9),"",GlobBerMedDisc!$AZ$9)</f>
        <v/>
      </c>
      <c r="C478" s="44"/>
      <c r="D478" s="151" t="str">
        <f t="shared" si="7"/>
        <v>_Glob_MedDisc_MinTijd_08##</v>
      </c>
      <c r="E478" s="151"/>
      <c r="F478" s="151"/>
    </row>
    <row r="479" spans="1:6" x14ac:dyDescent="0.2">
      <c r="A479" s="151" t="s">
        <v>5461</v>
      </c>
      <c r="B479" s="151" t="str">
        <f>IF(ISBLANK(GlobBerMedDisc!$AZ$10),"",GlobBerMedDisc!$AZ$10)</f>
        <v/>
      </c>
      <c r="C479" s="44"/>
      <c r="D479" s="151" t="str">
        <f t="shared" si="7"/>
        <v>_Glob_MedDisc_MinTijd_09##</v>
      </c>
      <c r="E479" s="151"/>
      <c r="F479" s="151"/>
    </row>
    <row r="480" spans="1:6" x14ac:dyDescent="0.2">
      <c r="A480" s="151" t="s">
        <v>5463</v>
      </c>
      <c r="B480" s="151" t="str">
        <f>IF(ISBLANK(GlobBerMedDisc!$AZ$11),"",GlobBerMedDisc!$AZ$11)</f>
        <v/>
      </c>
      <c r="C480" s="44"/>
      <c r="D480" s="151" t="str">
        <f t="shared" si="7"/>
        <v>_Glob_MedDisc_MinTijd_10##</v>
      </c>
      <c r="E480" s="151"/>
      <c r="F480" s="151"/>
    </row>
    <row r="481" spans="1:6" x14ac:dyDescent="0.2">
      <c r="A481" s="151" t="s">
        <v>5465</v>
      </c>
      <c r="B481" s="151" t="str">
        <f>IF(ISBLANK(GlobBerMedDisc!$AZ$12),"",GlobBerMedDisc!$AZ$12)</f>
        <v/>
      </c>
      <c r="C481" s="44"/>
      <c r="D481" s="151" t="str">
        <f t="shared" si="7"/>
        <v>_Glob_MedDisc_MinTijd_11##</v>
      </c>
      <c r="E481" s="151"/>
      <c r="F481" s="151"/>
    </row>
    <row r="482" spans="1:6" x14ac:dyDescent="0.2">
      <c r="A482" s="151" t="s">
        <v>5467</v>
      </c>
      <c r="B482" s="151" t="str">
        <f>IF(ISBLANK(GlobBerMedDisc!$AZ$13),"",GlobBerMedDisc!$AZ$13)</f>
        <v/>
      </c>
      <c r="C482" s="44"/>
      <c r="D482" s="151" t="str">
        <f t="shared" si="7"/>
        <v>_Glob_MedDisc_MinTijd_12##</v>
      </c>
      <c r="E482" s="151"/>
      <c r="F482" s="151"/>
    </row>
    <row r="483" spans="1:6" x14ac:dyDescent="0.2">
      <c r="A483" s="151" t="s">
        <v>5469</v>
      </c>
      <c r="B483" s="151" t="str">
        <f>IF(ISBLANK(GlobBerMedDisc!$AZ$14),"",GlobBerMedDisc!$AZ$14)</f>
        <v/>
      </c>
      <c r="C483" s="44"/>
      <c r="D483" s="151" t="str">
        <f t="shared" si="7"/>
        <v>_Glob_MedDisc_MinTijd_13##</v>
      </c>
      <c r="E483" s="151"/>
      <c r="F483" s="151"/>
    </row>
    <row r="484" spans="1:6" x14ac:dyDescent="0.2">
      <c r="A484" s="151" t="s">
        <v>5471</v>
      </c>
      <c r="B484" s="151" t="str">
        <f>IF(ISBLANK(GlobBerMedDisc!$AZ$15),"",GlobBerMedDisc!$AZ$15)</f>
        <v/>
      </c>
      <c r="C484" s="44"/>
      <c r="D484" s="151" t="str">
        <f t="shared" si="7"/>
        <v>_Glob_MedDisc_MinTijd_14##</v>
      </c>
      <c r="E484" s="151"/>
      <c r="F484" s="151"/>
    </row>
    <row r="485" spans="1:6" x14ac:dyDescent="0.2">
      <c r="A485" s="151" t="s">
        <v>5473</v>
      </c>
      <c r="B485" s="151" t="str">
        <f>IF(ISBLANK(GlobBerMedDisc!$AZ$16),"",GlobBerMedDisc!$AZ$16)</f>
        <v/>
      </c>
      <c r="C485" s="44"/>
      <c r="D485" s="151" t="str">
        <f t="shared" si="7"/>
        <v>_Glob_MedDisc_MinTijd_15##</v>
      </c>
      <c r="E485" s="151"/>
      <c r="F485" s="151"/>
    </row>
    <row r="486" spans="1:6" x14ac:dyDescent="0.2">
      <c r="A486" s="151" t="s">
        <v>5475</v>
      </c>
      <c r="B486" s="151" t="str">
        <f>IF(ISBLANK(GlobBerMedDisc!$AZ$17),"",GlobBerMedDisc!$AZ$17)</f>
        <v/>
      </c>
      <c r="C486" s="44"/>
      <c r="D486" s="151" t="str">
        <f t="shared" si="7"/>
        <v>_Glob_MedDisc_MinTijd_16##</v>
      </c>
      <c r="E486" s="151"/>
      <c r="F486" s="151"/>
    </row>
    <row r="487" spans="1:6" x14ac:dyDescent="0.2">
      <c r="A487" s="151" t="s">
        <v>5477</v>
      </c>
      <c r="B487" s="151" t="str">
        <f>IF(ISBLANK(GlobBerMedDisc!$AZ$18),"",GlobBerMedDisc!$AZ$18)</f>
        <v/>
      </c>
      <c r="C487" s="44"/>
      <c r="D487" s="151" t="str">
        <f t="shared" si="7"/>
        <v>_Glob_MedDisc_MinTijd_17##</v>
      </c>
      <c r="E487" s="151"/>
      <c r="F487" s="151"/>
    </row>
    <row r="488" spans="1:6" x14ac:dyDescent="0.2">
      <c r="A488" s="151" t="s">
        <v>5479</v>
      </c>
      <c r="B488" s="151" t="str">
        <f>IF(ISBLANK(GlobBerMedDisc!$AZ$19),"",GlobBerMedDisc!$AZ$19)</f>
        <v/>
      </c>
      <c r="C488" s="44"/>
      <c r="D488" s="151" t="str">
        <f t="shared" si="7"/>
        <v>_Glob_MedDisc_MinTijd_18##</v>
      </c>
      <c r="E488" s="151"/>
      <c r="F488" s="151"/>
    </row>
    <row r="489" spans="1:6" x14ac:dyDescent="0.2">
      <c r="A489" s="151" t="s">
        <v>5481</v>
      </c>
      <c r="B489" s="151" t="str">
        <f>IF(ISBLANK(GlobBerMedDisc!$AZ$20),"",GlobBerMedDisc!$AZ$20)</f>
        <v/>
      </c>
      <c r="C489" s="44"/>
      <c r="D489" s="151" t="str">
        <f t="shared" si="7"/>
        <v>_Glob_MedDisc_MinTijd_19##</v>
      </c>
      <c r="E489" s="151"/>
      <c r="F489" s="151"/>
    </row>
    <row r="490" spans="1:6" x14ac:dyDescent="0.2">
      <c r="A490" s="151" t="s">
        <v>5483</v>
      </c>
      <c r="B490" s="151" t="str">
        <f>IF(ISBLANK(GlobBerMedDisc!$AZ$21),"",GlobBerMedDisc!$AZ$21)</f>
        <v/>
      </c>
      <c r="C490" s="44"/>
      <c r="D490" s="151" t="str">
        <f t="shared" si="7"/>
        <v>_Glob_MedDisc_MinTijd_20##</v>
      </c>
      <c r="E490" s="151"/>
      <c r="F490" s="151"/>
    </row>
    <row r="491" spans="1:6" x14ac:dyDescent="0.2">
      <c r="A491" s="151" t="s">
        <v>5485</v>
      </c>
      <c r="B491" s="151" t="str">
        <f>IF(ISBLANK(GlobBerMedDisc!$AZ$22),"",GlobBerMedDisc!$AZ$22)</f>
        <v/>
      </c>
      <c r="C491" s="44"/>
      <c r="D491" s="151" t="str">
        <f t="shared" si="7"/>
        <v>_Glob_MedDisc_MinTijd_21##</v>
      </c>
      <c r="E491" s="151"/>
      <c r="F491" s="151"/>
    </row>
    <row r="492" spans="1:6" x14ac:dyDescent="0.2">
      <c r="A492" s="151" t="s">
        <v>5487</v>
      </c>
      <c r="B492" s="151" t="str">
        <f>IF(ISBLANK(GlobBerMedDisc!$AZ$23),"",GlobBerMedDisc!$AZ$23)</f>
        <v/>
      </c>
      <c r="C492" s="44"/>
      <c r="D492" s="151" t="str">
        <f t="shared" si="7"/>
        <v>_Glob_MedDisc_MinTijd_22##</v>
      </c>
      <c r="E492" s="151"/>
      <c r="F492" s="151"/>
    </row>
    <row r="493" spans="1:6" x14ac:dyDescent="0.2">
      <c r="A493" s="151" t="s">
        <v>5489</v>
      </c>
      <c r="B493" s="151" t="str">
        <f>IF(ISBLANK(GlobBerMedDisc!$AZ$24),"",GlobBerMedDisc!$AZ$24)</f>
        <v/>
      </c>
      <c r="C493" s="44"/>
      <c r="D493" s="151" t="str">
        <f t="shared" si="7"/>
        <v>_Glob_MedDisc_MinTijd_23##</v>
      </c>
      <c r="E493" s="151"/>
      <c r="F493" s="151"/>
    </row>
    <row r="494" spans="1:6" x14ac:dyDescent="0.2">
      <c r="A494" s="151" t="s">
        <v>5491</v>
      </c>
      <c r="B494" s="151" t="str">
        <f>IF(ISBLANK(GlobBerMedDisc!$AZ$25),"",GlobBerMedDisc!$AZ$25)</f>
        <v/>
      </c>
      <c r="C494" s="44"/>
      <c r="D494" s="151" t="str">
        <f t="shared" si="7"/>
        <v>_Glob_MedDisc_MinTijd_24##</v>
      </c>
      <c r="E494" s="151"/>
      <c r="F494" s="151"/>
    </row>
    <row r="495" spans="1:6" x14ac:dyDescent="0.2">
      <c r="A495" s="151" t="s">
        <v>5493</v>
      </c>
      <c r="B495" s="151" t="str">
        <f>IF(ISBLANK(GlobBerMedDisc!$AZ$26),"",GlobBerMedDisc!$AZ$26)</f>
        <v/>
      </c>
      <c r="C495" s="44"/>
      <c r="D495" s="151" t="str">
        <f t="shared" si="7"/>
        <v>_Glob_MedDisc_MinTijd_25##</v>
      </c>
      <c r="E495" s="151"/>
      <c r="F495" s="151"/>
    </row>
    <row r="496" spans="1:6" x14ac:dyDescent="0.2">
      <c r="A496" s="151" t="s">
        <v>5495</v>
      </c>
      <c r="B496" s="151" t="str">
        <f>IF(ISBLANK(GlobBerMedDisc!$AZ$27),"",GlobBerMedDisc!$AZ$27)</f>
        <v/>
      </c>
      <c r="C496" s="44"/>
      <c r="D496" s="151" t="str">
        <f t="shared" si="7"/>
        <v>_Glob_MedDisc_MinTijd_26##</v>
      </c>
      <c r="E496" s="151"/>
      <c r="F496" s="151"/>
    </row>
    <row r="497" spans="1:6" x14ac:dyDescent="0.2">
      <c r="A497" s="151" t="s">
        <v>5497</v>
      </c>
      <c r="B497" s="151" t="str">
        <f>IF(ISBLANK(GlobBerMedDisc!$AZ$28),"",GlobBerMedDisc!$AZ$28)</f>
        <v/>
      </c>
      <c r="C497" s="44"/>
      <c r="D497" s="151" t="str">
        <f t="shared" si="7"/>
        <v>_Glob_MedDisc_MinTijd_27##</v>
      </c>
      <c r="E497" s="151"/>
      <c r="F497" s="151"/>
    </row>
    <row r="498" spans="1:6" x14ac:dyDescent="0.2">
      <c r="A498" s="151" t="s">
        <v>5499</v>
      </c>
      <c r="B498" s="151" t="str">
        <f>IF(ISBLANK(GlobBerMedDisc!$AZ$29),"",GlobBerMedDisc!$AZ$29)</f>
        <v/>
      </c>
      <c r="C498" s="44"/>
      <c r="D498" s="151" t="str">
        <f t="shared" si="7"/>
        <v>_Glob_MedDisc_MinTijd_28##</v>
      </c>
      <c r="E498" s="151"/>
      <c r="F498" s="151"/>
    </row>
    <row r="499" spans="1:6" x14ac:dyDescent="0.2">
      <c r="A499" s="151" t="s">
        <v>5501</v>
      </c>
      <c r="B499" s="151" t="str">
        <f>IF(ISBLANK(GlobBerMedDisc!$AZ$30),"",GlobBerMedDisc!$AZ$30)</f>
        <v/>
      </c>
      <c r="C499" s="44"/>
      <c r="D499" s="151" t="str">
        <f t="shared" si="7"/>
        <v>_Glob_MedDisc_MinTijd_29##</v>
      </c>
      <c r="E499" s="151"/>
      <c r="F499" s="151"/>
    </row>
    <row r="500" spans="1:6" x14ac:dyDescent="0.2">
      <c r="A500" s="151" t="s">
        <v>5503</v>
      </c>
      <c r="B500" s="151" t="str">
        <f>IF(ISBLANK(GlobBerMedDisc!$AZ$31),"",GlobBerMedDisc!$AZ$31)</f>
        <v/>
      </c>
      <c r="C500" s="44"/>
      <c r="D500" s="151" t="str">
        <f t="shared" si="7"/>
        <v>_Glob_MedDisc_MinTijd_30##</v>
      </c>
      <c r="E500" s="151"/>
      <c r="F500" s="151"/>
    </row>
    <row r="501" spans="1:6" x14ac:dyDescent="0.2">
      <c r="A501" s="151" t="s">
        <v>5791</v>
      </c>
      <c r="B501" t="str">
        <f>IF(ISBLANK(GlobBerMedDisc!$BG$2),"",GlobBerMedDisc!$BG$2)</f>
        <v/>
      </c>
      <c r="C501" s="151"/>
      <c r="D501" s="151" t="str">
        <f t="shared" si="7"/>
        <v>_Glob_MedDisc_NormDose_01##</v>
      </c>
    </row>
    <row r="502" spans="1:6" x14ac:dyDescent="0.2">
      <c r="A502" s="151" t="s">
        <v>5793</v>
      </c>
      <c r="B502" t="str">
        <f>IF(ISBLANK(GlobBerMedDisc!$BG$3),"",GlobBerMedDisc!$BG$3)</f>
        <v/>
      </c>
      <c r="C502" s="151"/>
      <c r="D502" s="151" t="str">
        <f t="shared" si="7"/>
        <v>_Glob_MedDisc_NormDose_02##</v>
      </c>
    </row>
    <row r="503" spans="1:6" x14ac:dyDescent="0.2">
      <c r="A503" s="151" t="s">
        <v>5795</v>
      </c>
      <c r="B503" t="str">
        <f>IF(ISBLANK(GlobBerMedDisc!$BG$4),"",GlobBerMedDisc!$BG$4)</f>
        <v/>
      </c>
      <c r="C503" s="151"/>
      <c r="D503" s="151" t="str">
        <f t="shared" si="7"/>
        <v>_Glob_MedDisc_NormDose_03##</v>
      </c>
      <c r="F503" s="151"/>
    </row>
    <row r="504" spans="1:6" x14ac:dyDescent="0.2">
      <c r="A504" s="151" t="s">
        <v>5797</v>
      </c>
      <c r="B504" t="str">
        <f>IF(ISBLANK(GlobBerMedDisc!$BG$5),"",GlobBerMedDisc!$BG$5)</f>
        <v/>
      </c>
      <c r="C504" s="151"/>
      <c r="D504" s="151" t="str">
        <f t="shared" si="7"/>
        <v>_Glob_MedDisc_NormDose_04##</v>
      </c>
      <c r="F504" s="151"/>
    </row>
    <row r="505" spans="1:6" x14ac:dyDescent="0.2">
      <c r="A505" s="151" t="s">
        <v>5799</v>
      </c>
      <c r="B505" s="151" t="str">
        <f>IF(ISBLANK(GlobBerMedDisc!$BG$6),"",GlobBerMedDisc!$BG$6)</f>
        <v/>
      </c>
      <c r="C505" s="151"/>
      <c r="D505" s="151" t="str">
        <f t="shared" si="7"/>
        <v>_Glob_MedDisc_NormDose_05##</v>
      </c>
      <c r="F505" s="151"/>
    </row>
    <row r="506" spans="1:6" x14ac:dyDescent="0.2">
      <c r="A506" s="151" t="s">
        <v>5801</v>
      </c>
      <c r="B506" s="151" t="str">
        <f>IF(ISBLANK(GlobBerMedDisc!$BG$7),"",GlobBerMedDisc!$BG$7)</f>
        <v/>
      </c>
      <c r="C506" s="151"/>
      <c r="D506" s="151" t="str">
        <f t="shared" si="7"/>
        <v>_Glob_MedDisc_NormDose_06##</v>
      </c>
      <c r="E506" s="151"/>
      <c r="F506" s="151"/>
    </row>
    <row r="507" spans="1:6" x14ac:dyDescent="0.2">
      <c r="A507" s="151" t="s">
        <v>5803</v>
      </c>
      <c r="B507" s="151" t="str">
        <f>IF(ISBLANK(GlobBerMedDisc!$BG$8),"",GlobBerMedDisc!$BG$8)</f>
        <v/>
      </c>
      <c r="C507" s="151"/>
      <c r="D507" s="151" t="str">
        <f t="shared" si="7"/>
        <v>_Glob_MedDisc_NormDose_07##</v>
      </c>
      <c r="E507" s="151"/>
      <c r="F507" s="151"/>
    </row>
    <row r="508" spans="1:6" x14ac:dyDescent="0.2">
      <c r="A508" s="151" t="s">
        <v>5805</v>
      </c>
      <c r="B508" s="151" t="str">
        <f>IF(ISBLANK(GlobBerMedDisc!$BG$9),"",GlobBerMedDisc!$BG$9)</f>
        <v/>
      </c>
      <c r="C508" s="151"/>
      <c r="D508" s="151" t="str">
        <f t="shared" si="7"/>
        <v>_Glob_MedDisc_NormDose_08##</v>
      </c>
      <c r="E508" s="151"/>
      <c r="F508" s="151"/>
    </row>
    <row r="509" spans="1:6" x14ac:dyDescent="0.2">
      <c r="A509" s="151" t="s">
        <v>5807</v>
      </c>
      <c r="B509" s="151" t="str">
        <f>IF(ISBLANK(GlobBerMedDisc!$BG$10),"",GlobBerMedDisc!$BG$10)</f>
        <v/>
      </c>
      <c r="C509" s="151"/>
      <c r="D509" s="151" t="str">
        <f t="shared" si="7"/>
        <v>_Glob_MedDisc_NormDose_09##</v>
      </c>
      <c r="E509" s="151"/>
      <c r="F509" s="151"/>
    </row>
    <row r="510" spans="1:6" x14ac:dyDescent="0.2">
      <c r="A510" s="151" t="s">
        <v>5809</v>
      </c>
      <c r="B510" s="151" t="str">
        <f>IF(ISBLANK(GlobBerMedDisc!$BG$11),"",GlobBerMedDisc!$BG$11)</f>
        <v/>
      </c>
      <c r="C510" s="151"/>
      <c r="D510" s="151" t="str">
        <f t="shared" si="7"/>
        <v>_Glob_MedDisc_NormDose_10##</v>
      </c>
      <c r="E510" s="151"/>
      <c r="F510" s="151"/>
    </row>
    <row r="511" spans="1:6" x14ac:dyDescent="0.2">
      <c r="A511" s="151" t="s">
        <v>5811</v>
      </c>
      <c r="B511" s="151" t="str">
        <f>IF(ISBLANK(GlobBerMedDisc!$BG$12),"",GlobBerMedDisc!$BG$12)</f>
        <v/>
      </c>
      <c r="C511" s="151"/>
      <c r="D511" s="151" t="str">
        <f t="shared" si="7"/>
        <v>_Glob_MedDisc_NormDose_11##</v>
      </c>
      <c r="E511" s="151"/>
      <c r="F511" s="151"/>
    </row>
    <row r="512" spans="1:6" x14ac:dyDescent="0.2">
      <c r="A512" s="151" t="s">
        <v>5813</v>
      </c>
      <c r="B512" s="151" t="str">
        <f>IF(ISBLANK(GlobBerMedDisc!$BG$13),"",GlobBerMedDisc!$BG$13)</f>
        <v/>
      </c>
      <c r="C512" s="151"/>
      <c r="D512" s="151" t="str">
        <f t="shared" si="7"/>
        <v>_Glob_MedDisc_NormDose_12##</v>
      </c>
      <c r="E512" s="151"/>
      <c r="F512" s="151"/>
    </row>
    <row r="513" spans="1:6" x14ac:dyDescent="0.2">
      <c r="A513" s="151" t="s">
        <v>5815</v>
      </c>
      <c r="B513" s="151" t="str">
        <f>IF(ISBLANK(GlobBerMedDisc!$BG$14),"",GlobBerMedDisc!$BG$14)</f>
        <v/>
      </c>
      <c r="C513" s="151"/>
      <c r="D513" s="151" t="str">
        <f t="shared" si="7"/>
        <v>_Glob_MedDisc_NormDose_13##</v>
      </c>
      <c r="E513" s="151"/>
      <c r="F513" s="151"/>
    </row>
    <row r="514" spans="1:6" x14ac:dyDescent="0.2">
      <c r="A514" s="151" t="s">
        <v>5817</v>
      </c>
      <c r="B514" s="151" t="str">
        <f>IF(ISBLANK(GlobBerMedDisc!$BG$15),"",GlobBerMedDisc!$BG$15)</f>
        <v/>
      </c>
      <c r="C514" s="151"/>
      <c r="D514" s="151" t="str">
        <f t="shared" si="7"/>
        <v>_Glob_MedDisc_NormDose_14##</v>
      </c>
      <c r="E514" s="151"/>
    </row>
    <row r="515" spans="1:6" x14ac:dyDescent="0.2">
      <c r="A515" s="151" t="s">
        <v>5819</v>
      </c>
      <c r="B515" t="str">
        <f>IF(ISBLANK(GlobBerMedDisc!$BG$16),"",GlobBerMedDisc!$BG$16)</f>
        <v/>
      </c>
      <c r="C515" s="151"/>
      <c r="D515" s="151" t="str">
        <f t="shared" ref="D515:D578" si="8">A515&amp;"##"&amp;B515</f>
        <v>_Glob_MedDisc_NormDose_15##</v>
      </c>
      <c r="E515" s="151"/>
    </row>
    <row r="516" spans="1:6" x14ac:dyDescent="0.2">
      <c r="A516" s="151" t="s">
        <v>5821</v>
      </c>
      <c r="B516" t="str">
        <f>IF(ISBLANK(GlobBerMedDisc!$BG$17),"",GlobBerMedDisc!$BG$17)</f>
        <v/>
      </c>
      <c r="C516" s="151"/>
      <c r="D516" s="151" t="str">
        <f t="shared" si="8"/>
        <v>_Glob_MedDisc_NormDose_16##</v>
      </c>
    </row>
    <row r="517" spans="1:6" x14ac:dyDescent="0.2">
      <c r="A517" s="151" t="s">
        <v>5823</v>
      </c>
      <c r="B517" t="str">
        <f>IF(ISBLANK(GlobBerMedDisc!$BG$18),"",GlobBerMedDisc!$BG$18)</f>
        <v/>
      </c>
      <c r="C517" s="151"/>
      <c r="D517" s="151" t="str">
        <f t="shared" si="8"/>
        <v>_Glob_MedDisc_NormDose_17##</v>
      </c>
      <c r="F517" s="151"/>
    </row>
    <row r="518" spans="1:6" x14ac:dyDescent="0.2">
      <c r="A518" s="151" t="s">
        <v>5825</v>
      </c>
      <c r="B518" t="str">
        <f>IF(ISBLANK(GlobBerMedDisc!$BG$19),"",GlobBerMedDisc!$BG$19)</f>
        <v/>
      </c>
      <c r="C518" s="151"/>
      <c r="D518" s="151" t="str">
        <f t="shared" si="8"/>
        <v>_Glob_MedDisc_NormDose_18##</v>
      </c>
      <c r="F518" s="151"/>
    </row>
    <row r="519" spans="1:6" x14ac:dyDescent="0.2">
      <c r="A519" s="151" t="s">
        <v>5827</v>
      </c>
      <c r="B519" t="str">
        <f>IF(ISBLANK(GlobBerMedDisc!$BG$20),"",GlobBerMedDisc!$BG$20)</f>
        <v/>
      </c>
      <c r="C519" s="151"/>
      <c r="D519" s="151" t="str">
        <f t="shared" si="8"/>
        <v>_Glob_MedDisc_NormDose_19##</v>
      </c>
      <c r="F519" s="151"/>
    </row>
    <row r="520" spans="1:6" x14ac:dyDescent="0.2">
      <c r="A520" s="151" t="s">
        <v>5829</v>
      </c>
      <c r="B520" t="str">
        <f>IF(ISBLANK(GlobBerMedDisc!$BG$21),"",GlobBerMedDisc!$BG$21)</f>
        <v/>
      </c>
      <c r="C520" s="151"/>
      <c r="D520" s="151" t="str">
        <f t="shared" si="8"/>
        <v>_Glob_MedDisc_NormDose_20##</v>
      </c>
      <c r="F520" s="151"/>
    </row>
    <row r="521" spans="1:6" x14ac:dyDescent="0.2">
      <c r="A521" s="151" t="s">
        <v>5831</v>
      </c>
      <c r="B521" t="str">
        <f>IF(ISBLANK(GlobBerMedDisc!$BG$22),"",GlobBerMedDisc!$BG$22)</f>
        <v/>
      </c>
      <c r="C521" s="151"/>
      <c r="D521" s="151" t="str">
        <f t="shared" si="8"/>
        <v>_Glob_MedDisc_NormDose_21##</v>
      </c>
      <c r="F521" s="151"/>
    </row>
    <row r="522" spans="1:6" x14ac:dyDescent="0.2">
      <c r="A522" s="151" t="s">
        <v>5833</v>
      </c>
      <c r="B522" t="str">
        <f>IF(ISBLANK(GlobBerMedDisc!$BG$23),"",GlobBerMedDisc!$BG$23)</f>
        <v/>
      </c>
      <c r="C522" s="151"/>
      <c r="D522" s="151" t="str">
        <f t="shared" si="8"/>
        <v>_Glob_MedDisc_NormDose_22##</v>
      </c>
      <c r="F522" s="151"/>
    </row>
    <row r="523" spans="1:6" x14ac:dyDescent="0.2">
      <c r="A523" s="151" t="s">
        <v>5835</v>
      </c>
      <c r="B523" t="str">
        <f>IF(ISBLANK(GlobBerMedDisc!$BG$24),"",GlobBerMedDisc!$BG$24)</f>
        <v/>
      </c>
      <c r="C523" s="151"/>
      <c r="D523" s="151" t="str">
        <f t="shared" si="8"/>
        <v>_Glob_MedDisc_NormDose_23##</v>
      </c>
      <c r="F523" s="151"/>
    </row>
    <row r="524" spans="1:6" x14ac:dyDescent="0.2">
      <c r="A524" s="151" t="s">
        <v>5837</v>
      </c>
      <c r="B524" t="str">
        <f>IF(ISBLANK(GlobBerMedDisc!$BG$25),"",GlobBerMedDisc!$BG$25)</f>
        <v/>
      </c>
      <c r="C524" s="151"/>
      <c r="D524" s="151" t="str">
        <f t="shared" si="8"/>
        <v>_Glob_MedDisc_NormDose_24##</v>
      </c>
      <c r="F524" s="151"/>
    </row>
    <row r="525" spans="1:6" x14ac:dyDescent="0.2">
      <c r="A525" s="151" t="s">
        <v>5839</v>
      </c>
      <c r="B525" t="str">
        <f>IF(ISBLANK(GlobBerMedDisc!$BG$26),"",GlobBerMedDisc!$BG$26)</f>
        <v/>
      </c>
      <c r="C525" s="151"/>
      <c r="D525" s="151" t="str">
        <f t="shared" si="8"/>
        <v>_Glob_MedDisc_NormDose_25##</v>
      </c>
      <c r="F525" s="151"/>
    </row>
    <row r="526" spans="1:6" x14ac:dyDescent="0.2">
      <c r="A526" s="151" t="s">
        <v>5841</v>
      </c>
      <c r="B526" t="str">
        <f>IF(ISBLANK(GlobBerMedDisc!$BG$27),"",GlobBerMedDisc!$BG$27)</f>
        <v/>
      </c>
      <c r="C526" s="151"/>
      <c r="D526" s="151" t="str">
        <f t="shared" si="8"/>
        <v>_Glob_MedDisc_NormDose_26##</v>
      </c>
      <c r="F526" s="151"/>
    </row>
    <row r="527" spans="1:6" x14ac:dyDescent="0.2">
      <c r="A527" s="151" t="s">
        <v>5843</v>
      </c>
      <c r="B527" t="str">
        <f>IF(ISBLANK(GlobBerMedDisc!$BG$28),"",GlobBerMedDisc!$BG$28)</f>
        <v/>
      </c>
      <c r="C527" s="151"/>
      <c r="D527" s="151" t="str">
        <f t="shared" si="8"/>
        <v>_Glob_MedDisc_NormDose_27##</v>
      </c>
      <c r="F527" s="151"/>
    </row>
    <row r="528" spans="1:6" x14ac:dyDescent="0.2">
      <c r="A528" s="151" t="s">
        <v>5845</v>
      </c>
      <c r="B528" t="str">
        <f>IF(ISBLANK(GlobBerMedDisc!$BG$29),"",GlobBerMedDisc!$BG$29)</f>
        <v/>
      </c>
      <c r="C528" s="151"/>
      <c r="D528" s="151" t="str">
        <f t="shared" si="8"/>
        <v>_Glob_MedDisc_NormDose_28##</v>
      </c>
      <c r="F528" s="151"/>
    </row>
    <row r="529" spans="1:6" x14ac:dyDescent="0.2">
      <c r="A529" s="151" t="s">
        <v>5847</v>
      </c>
      <c r="B529" t="str">
        <f>IF(ISBLANK(GlobBerMedDisc!$BG$30),"",GlobBerMedDisc!$BG$30)</f>
        <v/>
      </c>
      <c r="C529" s="151"/>
      <c r="D529" s="151" t="str">
        <f t="shared" si="8"/>
        <v>_Glob_MedDisc_NormDose_29##</v>
      </c>
      <c r="F529" s="151"/>
    </row>
    <row r="530" spans="1:6" x14ac:dyDescent="0.2">
      <c r="A530" s="151" t="s">
        <v>5849</v>
      </c>
      <c r="B530" t="str">
        <f>IF(ISBLANK(GlobBerMedDisc!$BG$31),"",GlobBerMedDisc!$BG$31)</f>
        <v/>
      </c>
      <c r="C530" s="151"/>
      <c r="D530" s="151" t="str">
        <f t="shared" si="8"/>
        <v>_Glob_MedDisc_NormDose_30##</v>
      </c>
      <c r="F530" s="151"/>
    </row>
    <row r="531" spans="1:6" x14ac:dyDescent="0.2">
      <c r="A531" s="151" t="s">
        <v>5505</v>
      </c>
      <c r="B531" t="str">
        <f>IF(ISBLANK(GlobBerMedDisc!$AT$2),"",GlobBerMedDisc!$AT$2)</f>
        <v/>
      </c>
      <c r="C531" s="44"/>
      <c r="D531" s="151" t="str">
        <f t="shared" si="8"/>
        <v>_Glob_MedDisc_Onder_01##</v>
      </c>
      <c r="F531" s="151"/>
    </row>
    <row r="532" spans="1:6" x14ac:dyDescent="0.2">
      <c r="A532" s="151" t="s">
        <v>5507</v>
      </c>
      <c r="B532" t="str">
        <f>IF(ISBLANK(GlobBerMedDisc!$AT$3),"",GlobBerMedDisc!$AT$3)</f>
        <v/>
      </c>
      <c r="C532" s="44"/>
      <c r="D532" s="151" t="str">
        <f t="shared" si="8"/>
        <v>_Glob_MedDisc_Onder_02##</v>
      </c>
      <c r="F532" s="151"/>
    </row>
    <row r="533" spans="1:6" x14ac:dyDescent="0.2">
      <c r="A533" s="151" t="s">
        <v>5509</v>
      </c>
      <c r="B533" t="str">
        <f>IF(ISBLANK(GlobBerMedDisc!$AT$4),"",GlobBerMedDisc!$AT$4)</f>
        <v/>
      </c>
      <c r="C533" s="44"/>
      <c r="D533" s="151" t="str">
        <f t="shared" si="8"/>
        <v>_Glob_MedDisc_Onder_03##</v>
      </c>
      <c r="E533" s="151"/>
      <c r="F533" s="151"/>
    </row>
    <row r="534" spans="1:6" x14ac:dyDescent="0.2">
      <c r="A534" s="151" t="s">
        <v>5511</v>
      </c>
      <c r="B534" t="str">
        <f>IF(ISBLANK(GlobBerMedDisc!$AT$5),"",GlobBerMedDisc!$AT$5)</f>
        <v/>
      </c>
      <c r="C534" s="44"/>
      <c r="D534" s="151" t="str">
        <f t="shared" si="8"/>
        <v>_Glob_MedDisc_Onder_04##</v>
      </c>
      <c r="E534" s="151"/>
      <c r="F534" s="151"/>
    </row>
    <row r="535" spans="1:6" x14ac:dyDescent="0.2">
      <c r="A535" s="151" t="s">
        <v>5513</v>
      </c>
      <c r="B535" t="str">
        <f>IF(ISBLANK(GlobBerMedDisc!$AT$6),"",GlobBerMedDisc!$AT$6)</f>
        <v/>
      </c>
      <c r="C535" s="44"/>
      <c r="D535" s="151" t="str">
        <f t="shared" si="8"/>
        <v>_Glob_MedDisc_Onder_05##</v>
      </c>
      <c r="E535" s="151"/>
      <c r="F535" s="151"/>
    </row>
    <row r="536" spans="1:6" x14ac:dyDescent="0.2">
      <c r="A536" s="151" t="s">
        <v>5515</v>
      </c>
      <c r="B536" t="str">
        <f>IF(ISBLANK(GlobBerMedDisc!$AT$7),"",GlobBerMedDisc!$AT$7)</f>
        <v/>
      </c>
      <c r="C536" s="44"/>
      <c r="D536" s="151" t="str">
        <f t="shared" si="8"/>
        <v>_Glob_MedDisc_Onder_06##</v>
      </c>
      <c r="E536" s="151"/>
      <c r="F536" s="151"/>
    </row>
    <row r="537" spans="1:6" x14ac:dyDescent="0.2">
      <c r="A537" s="151" t="s">
        <v>5517</v>
      </c>
      <c r="B537" t="str">
        <f>IF(ISBLANK(GlobBerMedDisc!$AT$8),"",GlobBerMedDisc!$AT$8)</f>
        <v/>
      </c>
      <c r="C537" s="44"/>
      <c r="D537" s="151" t="str">
        <f t="shared" si="8"/>
        <v>_Glob_MedDisc_Onder_07##</v>
      </c>
      <c r="E537" s="151"/>
      <c r="F537" s="151"/>
    </row>
    <row r="538" spans="1:6" x14ac:dyDescent="0.2">
      <c r="A538" s="151" t="s">
        <v>5519</v>
      </c>
      <c r="B538" t="str">
        <f>IF(ISBLANK(GlobBerMedDisc!$AT$9),"",GlobBerMedDisc!$AT$9)</f>
        <v/>
      </c>
      <c r="C538" s="44"/>
      <c r="D538" s="151" t="str">
        <f t="shared" si="8"/>
        <v>_Glob_MedDisc_Onder_08##</v>
      </c>
      <c r="E538" s="151"/>
      <c r="F538" s="151"/>
    </row>
    <row r="539" spans="1:6" x14ac:dyDescent="0.2">
      <c r="A539" s="151" t="s">
        <v>5521</v>
      </c>
      <c r="B539" t="str">
        <f>IF(ISBLANK(GlobBerMedDisc!$AT$10),"",GlobBerMedDisc!$AT$10)</f>
        <v/>
      </c>
      <c r="C539" s="44"/>
      <c r="D539" s="151" t="str">
        <f t="shared" si="8"/>
        <v>_Glob_MedDisc_Onder_09##</v>
      </c>
      <c r="E539" s="151"/>
      <c r="F539" s="151"/>
    </row>
    <row r="540" spans="1:6" x14ac:dyDescent="0.2">
      <c r="A540" s="151" t="s">
        <v>5523</v>
      </c>
      <c r="B540" t="str">
        <f>IF(ISBLANK(GlobBerMedDisc!$AT$11),"",GlobBerMedDisc!$AT$11)</f>
        <v/>
      </c>
      <c r="C540" s="44"/>
      <c r="D540" s="151" t="str">
        <f t="shared" si="8"/>
        <v>_Glob_MedDisc_Onder_10##</v>
      </c>
      <c r="E540" s="151"/>
      <c r="F540" s="151"/>
    </row>
    <row r="541" spans="1:6" x14ac:dyDescent="0.2">
      <c r="A541" s="151" t="s">
        <v>5525</v>
      </c>
      <c r="B541" t="str">
        <f>IF(ISBLANK(GlobBerMedDisc!$AT$12),"",GlobBerMedDisc!$AT$12)</f>
        <v/>
      </c>
      <c r="C541" s="44"/>
      <c r="D541" s="151" t="str">
        <f t="shared" si="8"/>
        <v>_Glob_MedDisc_Onder_11##</v>
      </c>
      <c r="E541" s="151"/>
      <c r="F541" s="151"/>
    </row>
    <row r="542" spans="1:6" x14ac:dyDescent="0.2">
      <c r="A542" s="151" t="s">
        <v>5527</v>
      </c>
      <c r="B542" t="str">
        <f>IF(ISBLANK(GlobBerMedDisc!$AT$13),"",GlobBerMedDisc!$AT$13)</f>
        <v/>
      </c>
      <c r="C542" s="44"/>
      <c r="D542" s="151" t="str">
        <f t="shared" si="8"/>
        <v>_Glob_MedDisc_Onder_12##</v>
      </c>
      <c r="E542" s="151"/>
      <c r="F542" s="151"/>
    </row>
    <row r="543" spans="1:6" s="151" customFormat="1" x14ac:dyDescent="0.2">
      <c r="A543" s="151" t="s">
        <v>5529</v>
      </c>
      <c r="B543" t="str">
        <f>IF(ISBLANK(GlobBerMedDisc!$AT$14),"",GlobBerMedDisc!$AT$14)</f>
        <v/>
      </c>
      <c r="C543" s="44"/>
      <c r="D543" s="151" t="str">
        <f t="shared" si="8"/>
        <v>_Glob_MedDisc_Onder_13##</v>
      </c>
    </row>
    <row r="544" spans="1:6" x14ac:dyDescent="0.2">
      <c r="A544" s="151" t="s">
        <v>5531</v>
      </c>
      <c r="B544" t="str">
        <f>IF(ISBLANK(GlobBerMedDisc!$AT$15),"",GlobBerMedDisc!$AT$15)</f>
        <v/>
      </c>
      <c r="C544" s="44"/>
      <c r="D544" s="151" t="str">
        <f t="shared" si="8"/>
        <v>_Glob_MedDisc_Onder_14##</v>
      </c>
      <c r="F544" s="151"/>
    </row>
    <row r="545" spans="1:6" x14ac:dyDescent="0.2">
      <c r="A545" s="151" t="s">
        <v>5533</v>
      </c>
      <c r="B545" t="str">
        <f>IF(ISBLANK(GlobBerMedDisc!$AT$16),"",GlobBerMedDisc!$AT$16)</f>
        <v/>
      </c>
      <c r="C545" s="44"/>
      <c r="D545" s="151" t="str">
        <f t="shared" si="8"/>
        <v>_Glob_MedDisc_Onder_15##</v>
      </c>
      <c r="F545" s="151"/>
    </row>
    <row r="546" spans="1:6" x14ac:dyDescent="0.2">
      <c r="A546" s="151" t="s">
        <v>5535</v>
      </c>
      <c r="B546" t="str">
        <f>IF(ISBLANK(GlobBerMedDisc!$AT$17),"",GlobBerMedDisc!$AT$17)</f>
        <v/>
      </c>
      <c r="C546" s="44"/>
      <c r="D546" s="151" t="str">
        <f t="shared" si="8"/>
        <v>_Glob_MedDisc_Onder_16##</v>
      </c>
      <c r="F546" s="151"/>
    </row>
    <row r="547" spans="1:6" x14ac:dyDescent="0.2">
      <c r="A547" s="151" t="s">
        <v>5537</v>
      </c>
      <c r="B547" t="str">
        <f>IF(ISBLANK(GlobBerMedDisc!$AT$18),"",GlobBerMedDisc!$AT$18)</f>
        <v/>
      </c>
      <c r="C547" s="44"/>
      <c r="D547" s="151" t="str">
        <f t="shared" si="8"/>
        <v>_Glob_MedDisc_Onder_17##</v>
      </c>
      <c r="E547" s="151"/>
      <c r="F547" s="151"/>
    </row>
    <row r="548" spans="1:6" x14ac:dyDescent="0.2">
      <c r="A548" s="151" t="s">
        <v>5539</v>
      </c>
      <c r="B548" t="str">
        <f>IF(ISBLANK(GlobBerMedDisc!$AT$19),"",GlobBerMedDisc!$AT$19)</f>
        <v/>
      </c>
      <c r="C548" s="44"/>
      <c r="D548" s="151" t="str">
        <f t="shared" si="8"/>
        <v>_Glob_MedDisc_Onder_18##</v>
      </c>
      <c r="E548" s="151"/>
      <c r="F548" s="151"/>
    </row>
    <row r="549" spans="1:6" x14ac:dyDescent="0.2">
      <c r="A549" s="151" t="s">
        <v>5541</v>
      </c>
      <c r="B549" t="str">
        <f>IF(ISBLANK(GlobBerMedDisc!$AT$20),"",GlobBerMedDisc!$AT$20)</f>
        <v/>
      </c>
      <c r="C549" s="44"/>
      <c r="D549" s="151" t="str">
        <f t="shared" si="8"/>
        <v>_Glob_MedDisc_Onder_19##</v>
      </c>
      <c r="E549" s="151"/>
      <c r="F549" s="151"/>
    </row>
    <row r="550" spans="1:6" x14ac:dyDescent="0.2">
      <c r="A550" s="151" t="s">
        <v>5543</v>
      </c>
      <c r="B550" s="151" t="str">
        <f>IF(ISBLANK(GlobBerMedDisc!$AT$21),"",GlobBerMedDisc!$AT$21)</f>
        <v/>
      </c>
      <c r="C550" s="44"/>
      <c r="D550" s="151" t="str">
        <f t="shared" si="8"/>
        <v>_Glob_MedDisc_Onder_20##</v>
      </c>
      <c r="E550" s="151"/>
      <c r="F550" s="151"/>
    </row>
    <row r="551" spans="1:6" x14ac:dyDescent="0.2">
      <c r="A551" s="151" t="s">
        <v>5545</v>
      </c>
      <c r="B551" s="151" t="str">
        <f>IF(ISBLANK(GlobBerMedDisc!$AT$22),"",GlobBerMedDisc!$AT$22)</f>
        <v/>
      </c>
      <c r="C551" s="44"/>
      <c r="D551" s="151" t="str">
        <f t="shared" si="8"/>
        <v>_Glob_MedDisc_Onder_21##</v>
      </c>
      <c r="E551" s="151"/>
      <c r="F551" s="151"/>
    </row>
    <row r="552" spans="1:6" x14ac:dyDescent="0.2">
      <c r="A552" s="151" t="s">
        <v>5547</v>
      </c>
      <c r="B552" s="151" t="str">
        <f>IF(ISBLANK(GlobBerMedDisc!$AT$23),"",GlobBerMedDisc!$AT$23)</f>
        <v/>
      </c>
      <c r="C552" s="44"/>
      <c r="D552" s="151" t="str">
        <f t="shared" si="8"/>
        <v>_Glob_MedDisc_Onder_22##</v>
      </c>
      <c r="E552" s="151"/>
      <c r="F552" s="151"/>
    </row>
    <row r="553" spans="1:6" x14ac:dyDescent="0.2">
      <c r="A553" s="151" t="s">
        <v>5549</v>
      </c>
      <c r="B553" s="151" t="str">
        <f>IF(ISBLANK(GlobBerMedDisc!$AT$24),"",GlobBerMedDisc!$AT$24)</f>
        <v/>
      </c>
      <c r="C553" s="44"/>
      <c r="D553" s="151" t="str">
        <f t="shared" si="8"/>
        <v>_Glob_MedDisc_Onder_23##</v>
      </c>
      <c r="E553" s="151"/>
      <c r="F553" s="151"/>
    </row>
    <row r="554" spans="1:6" x14ac:dyDescent="0.2">
      <c r="A554" s="151" t="s">
        <v>5551</v>
      </c>
      <c r="B554" s="151" t="str">
        <f>IF(ISBLANK(GlobBerMedDisc!$AT$25),"",GlobBerMedDisc!$AT$25)</f>
        <v/>
      </c>
      <c r="C554" s="44"/>
      <c r="D554" s="151" t="str">
        <f t="shared" si="8"/>
        <v>_Glob_MedDisc_Onder_24##</v>
      </c>
      <c r="E554" s="151"/>
      <c r="F554" s="151"/>
    </row>
    <row r="555" spans="1:6" x14ac:dyDescent="0.2">
      <c r="A555" s="151" t="s">
        <v>5553</v>
      </c>
      <c r="B555" s="151" t="str">
        <f>IF(ISBLANK(GlobBerMedDisc!$AT$26),"",GlobBerMedDisc!$AT$26)</f>
        <v/>
      </c>
      <c r="C555" s="44"/>
      <c r="D555" s="151" t="str">
        <f t="shared" si="8"/>
        <v>_Glob_MedDisc_Onder_25##</v>
      </c>
      <c r="E555" s="151"/>
      <c r="F555" s="151"/>
    </row>
    <row r="556" spans="1:6" x14ac:dyDescent="0.2">
      <c r="A556" s="151" t="s">
        <v>5555</v>
      </c>
      <c r="B556" s="151" t="str">
        <f>IF(ISBLANK(GlobBerMedDisc!$AT$27),"",GlobBerMedDisc!$AT$27)</f>
        <v/>
      </c>
      <c r="C556" s="44"/>
      <c r="D556" s="151" t="str">
        <f t="shared" si="8"/>
        <v>_Glob_MedDisc_Onder_26##</v>
      </c>
      <c r="E556" s="151"/>
      <c r="F556" s="151"/>
    </row>
    <row r="557" spans="1:6" x14ac:dyDescent="0.2">
      <c r="A557" s="151" t="s">
        <v>5557</v>
      </c>
      <c r="B557" s="151" t="str">
        <f>IF(ISBLANK(GlobBerMedDisc!$AT$28),"",GlobBerMedDisc!$AT$28)</f>
        <v/>
      </c>
      <c r="C557" s="44"/>
      <c r="D557" s="151" t="str">
        <f t="shared" si="8"/>
        <v>_Glob_MedDisc_Onder_27##</v>
      </c>
      <c r="E557" s="151"/>
      <c r="F557" s="151"/>
    </row>
    <row r="558" spans="1:6" x14ac:dyDescent="0.2">
      <c r="A558" s="151" t="s">
        <v>5559</v>
      </c>
      <c r="B558" s="151" t="str">
        <f>IF(ISBLANK(GlobBerMedDisc!$AT$29),"",GlobBerMedDisc!$AT$29)</f>
        <v/>
      </c>
      <c r="C558" s="44"/>
      <c r="D558" s="151" t="str">
        <f t="shared" si="8"/>
        <v>_Glob_MedDisc_Onder_28##</v>
      </c>
      <c r="E558" s="151"/>
      <c r="F558" s="151"/>
    </row>
    <row r="559" spans="1:6" x14ac:dyDescent="0.2">
      <c r="A559" s="151" t="s">
        <v>5561</v>
      </c>
      <c r="B559" s="151" t="str">
        <f>IF(ISBLANK(GlobBerMedDisc!$AT$30),"",GlobBerMedDisc!$AT$30)</f>
        <v/>
      </c>
      <c r="C559" s="44"/>
      <c r="D559" s="151" t="str">
        <f t="shared" si="8"/>
        <v>_Glob_MedDisc_Onder_29##</v>
      </c>
      <c r="E559" s="151"/>
      <c r="F559" s="151"/>
    </row>
    <row r="560" spans="1:6" x14ac:dyDescent="0.2">
      <c r="A560" s="151" t="s">
        <v>5563</v>
      </c>
      <c r="B560" t="str">
        <f>IF(ISBLANK(GlobBerMedDisc!$AT$31),"",GlobBerMedDisc!$AT$31)</f>
        <v/>
      </c>
      <c r="C560" s="44"/>
      <c r="D560" s="151" t="str">
        <f t="shared" si="8"/>
        <v>_Glob_MedDisc_Onder_30##</v>
      </c>
      <c r="E560" s="151"/>
      <c r="F560" s="151"/>
    </row>
    <row r="561" spans="1:6" x14ac:dyDescent="0.2">
      <c r="A561" s="151" t="s">
        <v>1968</v>
      </c>
      <c r="B561" s="151">
        <f>IF(ISBLANK(GlobBerMedDisc!$P$2),"",GlobBerMedDisc!$P$2)</f>
        <v>1</v>
      </c>
      <c r="C561" s="7">
        <v>1</v>
      </c>
      <c r="D561" s="151" t="str">
        <f t="shared" si="8"/>
        <v>_Glob_MedDisc_OplKeuze_01##1</v>
      </c>
      <c r="E561" s="151"/>
      <c r="F561" s="151"/>
    </row>
    <row r="562" spans="1:6" x14ac:dyDescent="0.2">
      <c r="A562" s="151" t="s">
        <v>1969</v>
      </c>
      <c r="B562" s="151">
        <f>IF(ISBLANK(GlobBerMedDisc!$P$3),"",GlobBerMedDisc!$P$3)</f>
        <v>1</v>
      </c>
      <c r="C562" s="7">
        <v>1</v>
      </c>
      <c r="D562" s="151" t="str">
        <f t="shared" si="8"/>
        <v>_Glob_MedDisc_OplKeuze_02##1</v>
      </c>
      <c r="E562" s="151"/>
      <c r="F562" s="151"/>
    </row>
    <row r="563" spans="1:6" x14ac:dyDescent="0.2">
      <c r="A563" s="151" t="s">
        <v>1970</v>
      </c>
      <c r="B563" s="151">
        <f>IF(ISBLANK(GlobBerMedDisc!$P$4),"",GlobBerMedDisc!$P$4)</f>
        <v>1</v>
      </c>
      <c r="C563" s="7">
        <v>1</v>
      </c>
      <c r="D563" s="151" t="str">
        <f t="shared" si="8"/>
        <v>_Glob_MedDisc_OplKeuze_03##1</v>
      </c>
      <c r="E563" s="151"/>
      <c r="F563" s="151"/>
    </row>
    <row r="564" spans="1:6" x14ac:dyDescent="0.2">
      <c r="A564" s="151" t="s">
        <v>1971</v>
      </c>
      <c r="B564" s="151">
        <f>IF(ISBLANK(GlobBerMedDisc!$P$5),"",GlobBerMedDisc!$P$5)</f>
        <v>1</v>
      </c>
      <c r="C564" s="7">
        <v>1</v>
      </c>
      <c r="D564" s="151" t="str">
        <f t="shared" si="8"/>
        <v>_Glob_MedDisc_OplKeuze_04##1</v>
      </c>
      <c r="E564" s="151"/>
      <c r="F564" s="151"/>
    </row>
    <row r="565" spans="1:6" x14ac:dyDescent="0.2">
      <c r="A565" s="151" t="s">
        <v>1972</v>
      </c>
      <c r="B565" s="151">
        <f>IF(ISBLANK(GlobBerMedDisc!$P$6),"",GlobBerMedDisc!$P$6)</f>
        <v>1</v>
      </c>
      <c r="C565" s="7">
        <v>1</v>
      </c>
      <c r="D565" s="151" t="str">
        <f t="shared" si="8"/>
        <v>_Glob_MedDisc_OplKeuze_05##1</v>
      </c>
      <c r="E565" s="151"/>
      <c r="F565" s="151"/>
    </row>
    <row r="566" spans="1:6" x14ac:dyDescent="0.2">
      <c r="A566" s="151" t="s">
        <v>1973</v>
      </c>
      <c r="B566" s="151">
        <f>IF(ISBLANK(GlobBerMedDisc!$P$7),"",GlobBerMedDisc!$P$7)</f>
        <v>1</v>
      </c>
      <c r="C566" s="7">
        <v>1</v>
      </c>
      <c r="D566" s="151" t="str">
        <f t="shared" si="8"/>
        <v>_Glob_MedDisc_OplKeuze_06##1</v>
      </c>
      <c r="E566" s="151"/>
      <c r="F566" s="151"/>
    </row>
    <row r="567" spans="1:6" x14ac:dyDescent="0.2">
      <c r="A567" s="151" t="s">
        <v>1974</v>
      </c>
      <c r="B567" s="151">
        <f>IF(ISBLANK(GlobBerMedDisc!$P$8),"",GlobBerMedDisc!$P$8)</f>
        <v>1</v>
      </c>
      <c r="C567" s="7">
        <v>1</v>
      </c>
      <c r="D567" s="151" t="str">
        <f t="shared" si="8"/>
        <v>_Glob_MedDisc_OplKeuze_07##1</v>
      </c>
      <c r="E567" s="151"/>
      <c r="F567" s="151"/>
    </row>
    <row r="568" spans="1:6" x14ac:dyDescent="0.2">
      <c r="A568" s="151" t="s">
        <v>1975</v>
      </c>
      <c r="B568" s="151">
        <f>IF(ISBLANK(GlobBerMedDisc!$P$9),"",GlobBerMedDisc!$P$9)</f>
        <v>1</v>
      </c>
      <c r="C568" s="7">
        <v>1</v>
      </c>
      <c r="D568" s="151" t="str">
        <f t="shared" si="8"/>
        <v>_Glob_MedDisc_OplKeuze_08##1</v>
      </c>
      <c r="E568" s="151"/>
      <c r="F568" s="151"/>
    </row>
    <row r="569" spans="1:6" x14ac:dyDescent="0.2">
      <c r="A569" s="151" t="s">
        <v>1976</v>
      </c>
      <c r="B569" s="151">
        <f>IF(ISBLANK(GlobBerMedDisc!$P$10),"",GlobBerMedDisc!$P$10)</f>
        <v>1</v>
      </c>
      <c r="C569" s="7">
        <v>1</v>
      </c>
      <c r="D569" s="151" t="str">
        <f t="shared" si="8"/>
        <v>_Glob_MedDisc_OplKeuze_09##1</v>
      </c>
      <c r="E569" s="151"/>
      <c r="F569" s="151"/>
    </row>
    <row r="570" spans="1:6" x14ac:dyDescent="0.2">
      <c r="A570" s="151" t="s">
        <v>1977</v>
      </c>
      <c r="B570" s="151">
        <f>IF(ISBLANK(GlobBerMedDisc!$P$11),"",GlobBerMedDisc!$P$11)</f>
        <v>1</v>
      </c>
      <c r="C570" s="7">
        <v>1</v>
      </c>
      <c r="D570" s="151" t="str">
        <f t="shared" si="8"/>
        <v>_Glob_MedDisc_OplKeuze_10##1</v>
      </c>
      <c r="E570" s="151"/>
      <c r="F570" s="151"/>
    </row>
    <row r="571" spans="1:6" x14ac:dyDescent="0.2">
      <c r="A571" s="151" t="s">
        <v>1978</v>
      </c>
      <c r="B571" s="151">
        <f>IF(ISBLANK(GlobBerMedDisc!$P$12),"",GlobBerMedDisc!$P$12)</f>
        <v>1</v>
      </c>
      <c r="C571" s="7">
        <v>1</v>
      </c>
      <c r="D571" s="151" t="str">
        <f t="shared" si="8"/>
        <v>_Glob_MedDisc_OplKeuze_11##1</v>
      </c>
      <c r="E571" s="151"/>
      <c r="F571" s="151"/>
    </row>
    <row r="572" spans="1:6" x14ac:dyDescent="0.2">
      <c r="A572" s="151" t="s">
        <v>1979</v>
      </c>
      <c r="B572" s="151">
        <f>IF(ISBLANK(GlobBerMedDisc!$P$13),"",GlobBerMedDisc!$P$13)</f>
        <v>1</v>
      </c>
      <c r="C572" s="7">
        <v>1</v>
      </c>
      <c r="D572" s="151" t="str">
        <f t="shared" si="8"/>
        <v>_Glob_MedDisc_OplKeuze_12##1</v>
      </c>
      <c r="E572" s="151"/>
      <c r="F572" s="151"/>
    </row>
    <row r="573" spans="1:6" x14ac:dyDescent="0.2">
      <c r="A573" s="151" t="s">
        <v>1980</v>
      </c>
      <c r="B573" s="151">
        <f>IF(ISBLANK(GlobBerMedDisc!$P$14),"",GlobBerMedDisc!$P$14)</f>
        <v>1</v>
      </c>
      <c r="C573" s="7">
        <v>1</v>
      </c>
      <c r="D573" s="151" t="str">
        <f t="shared" si="8"/>
        <v>_Glob_MedDisc_OplKeuze_13##1</v>
      </c>
      <c r="E573" s="151"/>
      <c r="F573" s="151"/>
    </row>
    <row r="574" spans="1:6" x14ac:dyDescent="0.2">
      <c r="A574" s="151" t="s">
        <v>1981</v>
      </c>
      <c r="B574" s="151">
        <f>IF(ISBLANK(GlobBerMedDisc!$P$15),"",GlobBerMedDisc!$P$15)</f>
        <v>1</v>
      </c>
      <c r="C574" s="7">
        <v>1</v>
      </c>
      <c r="D574" s="151" t="str">
        <f t="shared" si="8"/>
        <v>_Glob_MedDisc_OplKeuze_14##1</v>
      </c>
      <c r="E574" s="151"/>
      <c r="F574" s="151"/>
    </row>
    <row r="575" spans="1:6" x14ac:dyDescent="0.2">
      <c r="A575" s="151" t="s">
        <v>1982</v>
      </c>
      <c r="B575" s="151">
        <f>IF(ISBLANK(GlobBerMedDisc!$P$16),"",GlobBerMedDisc!$P$16)</f>
        <v>1</v>
      </c>
      <c r="C575" s="7">
        <v>1</v>
      </c>
      <c r="D575" s="151" t="str">
        <f t="shared" si="8"/>
        <v>_Glob_MedDisc_OplKeuze_15##1</v>
      </c>
      <c r="E575" s="151"/>
      <c r="F575" s="151"/>
    </row>
    <row r="576" spans="1:6" x14ac:dyDescent="0.2">
      <c r="A576" s="151" t="s">
        <v>1983</v>
      </c>
      <c r="B576" s="151">
        <f>IF(ISBLANK(GlobBerMedDisc!$P$17),"",GlobBerMedDisc!$P$17)</f>
        <v>1</v>
      </c>
      <c r="C576" s="7">
        <v>1</v>
      </c>
      <c r="D576" s="151" t="str">
        <f t="shared" si="8"/>
        <v>_Glob_MedDisc_OplKeuze_16##1</v>
      </c>
      <c r="E576" s="151"/>
      <c r="F576" s="151"/>
    </row>
    <row r="577" spans="1:5" x14ac:dyDescent="0.2">
      <c r="A577" s="151" t="s">
        <v>1984</v>
      </c>
      <c r="B577" s="151">
        <f>IF(ISBLANK(GlobBerMedDisc!$P$18),"",GlobBerMedDisc!$P$18)</f>
        <v>1</v>
      </c>
      <c r="C577" s="7">
        <v>1</v>
      </c>
      <c r="D577" s="151" t="str">
        <f t="shared" si="8"/>
        <v>_Glob_MedDisc_OplKeuze_17##1</v>
      </c>
      <c r="E577" s="151"/>
    </row>
    <row r="578" spans="1:5" x14ac:dyDescent="0.2">
      <c r="A578" s="151" t="s">
        <v>1985</v>
      </c>
      <c r="B578" s="151">
        <f>IF(ISBLANK(GlobBerMedDisc!$P$19),"",GlobBerMedDisc!$P$19)</f>
        <v>1</v>
      </c>
      <c r="C578" s="7">
        <v>1</v>
      </c>
      <c r="D578" s="151" t="str">
        <f t="shared" si="8"/>
        <v>_Glob_MedDisc_OplKeuze_18##1</v>
      </c>
      <c r="E578" s="151"/>
    </row>
    <row r="579" spans="1:5" x14ac:dyDescent="0.2">
      <c r="A579" s="151" t="s">
        <v>1986</v>
      </c>
      <c r="B579" s="151">
        <f>IF(ISBLANK(GlobBerMedDisc!$P$20),"",GlobBerMedDisc!$P$20)</f>
        <v>1</v>
      </c>
      <c r="C579" s="7">
        <v>1</v>
      </c>
      <c r="D579" s="151" t="str">
        <f t="shared" ref="D579:D642" si="9">A579&amp;"##"&amp;B579</f>
        <v>_Glob_MedDisc_OplKeuze_19##1</v>
      </c>
      <c r="E579" s="151"/>
    </row>
    <row r="580" spans="1:5" x14ac:dyDescent="0.2">
      <c r="A580" s="151" t="s">
        <v>1987</v>
      </c>
      <c r="B580" s="151">
        <f>IF(ISBLANK(GlobBerMedDisc!$P$21),"",GlobBerMedDisc!$P$21)</f>
        <v>1</v>
      </c>
      <c r="C580" s="7">
        <v>1</v>
      </c>
      <c r="D580" s="151" t="str">
        <f t="shared" si="9"/>
        <v>_Glob_MedDisc_OplKeuze_20##1</v>
      </c>
      <c r="E580" s="151"/>
    </row>
    <row r="581" spans="1:5" x14ac:dyDescent="0.2">
      <c r="A581" s="151" t="s">
        <v>1988</v>
      </c>
      <c r="B581" s="151">
        <f>IF(ISBLANK(GlobBerMedDisc!$P$22),"",GlobBerMedDisc!$P$22)</f>
        <v>1</v>
      </c>
      <c r="C581" s="7">
        <v>1</v>
      </c>
      <c r="D581" s="151" t="str">
        <f t="shared" si="9"/>
        <v>_Glob_MedDisc_OplKeuze_21##1</v>
      </c>
      <c r="E581" s="151"/>
    </row>
    <row r="582" spans="1:5" x14ac:dyDescent="0.2">
      <c r="A582" s="151" t="s">
        <v>1989</v>
      </c>
      <c r="B582" s="151">
        <f>IF(ISBLANK(GlobBerMedDisc!$P$23),"",GlobBerMedDisc!$P$23)</f>
        <v>1</v>
      </c>
      <c r="C582" s="7">
        <v>1</v>
      </c>
      <c r="D582" s="151" t="str">
        <f t="shared" si="9"/>
        <v>_Glob_MedDisc_OplKeuze_22##1</v>
      </c>
      <c r="E582" s="151"/>
    </row>
    <row r="583" spans="1:5" x14ac:dyDescent="0.2">
      <c r="A583" s="151" t="s">
        <v>1990</v>
      </c>
      <c r="B583" s="151">
        <f>IF(ISBLANK(GlobBerMedDisc!$P$24),"",GlobBerMedDisc!$P$24)</f>
        <v>1</v>
      </c>
      <c r="C583" s="7">
        <v>1</v>
      </c>
      <c r="D583" s="151" t="str">
        <f t="shared" si="9"/>
        <v>_Glob_MedDisc_OplKeuze_23##1</v>
      </c>
      <c r="E583" s="151"/>
    </row>
    <row r="584" spans="1:5" x14ac:dyDescent="0.2">
      <c r="A584" s="151" t="s">
        <v>1991</v>
      </c>
      <c r="B584" s="151">
        <f>IF(ISBLANK(GlobBerMedDisc!$P$25),"",GlobBerMedDisc!$P$25)</f>
        <v>1</v>
      </c>
      <c r="C584" s="7">
        <v>1</v>
      </c>
      <c r="D584" s="151" t="str">
        <f t="shared" si="9"/>
        <v>_Glob_MedDisc_OplKeuze_24##1</v>
      </c>
      <c r="E584" s="151"/>
    </row>
    <row r="585" spans="1:5" x14ac:dyDescent="0.2">
      <c r="A585" s="151" t="s">
        <v>1992</v>
      </c>
      <c r="B585" s="151">
        <f>IF(ISBLANK(GlobBerMedDisc!$P$26),"",GlobBerMedDisc!$P$26)</f>
        <v>1</v>
      </c>
      <c r="C585" s="7">
        <v>1</v>
      </c>
      <c r="D585" s="151" t="str">
        <f t="shared" si="9"/>
        <v>_Glob_MedDisc_OplKeuze_25##1</v>
      </c>
      <c r="E585" s="151"/>
    </row>
    <row r="586" spans="1:5" x14ac:dyDescent="0.2">
      <c r="A586" s="151" t="s">
        <v>1993</v>
      </c>
      <c r="B586" s="151">
        <f>IF(ISBLANK(GlobBerMedDisc!$P$27),"",GlobBerMedDisc!$P$27)</f>
        <v>1</v>
      </c>
      <c r="C586" s="7">
        <v>1</v>
      </c>
      <c r="D586" s="151" t="str">
        <f t="shared" si="9"/>
        <v>_Glob_MedDisc_OplKeuze_26##1</v>
      </c>
      <c r="E586" s="151"/>
    </row>
    <row r="587" spans="1:5" x14ac:dyDescent="0.2">
      <c r="A587" s="151" t="s">
        <v>1994</v>
      </c>
      <c r="B587" s="151">
        <f>IF(ISBLANK(GlobBerMedDisc!$P$28),"",GlobBerMedDisc!$P$28)</f>
        <v>1</v>
      </c>
      <c r="C587" s="7">
        <v>1</v>
      </c>
      <c r="D587" s="151" t="str">
        <f t="shared" si="9"/>
        <v>_Glob_MedDisc_OplKeuze_27##1</v>
      </c>
      <c r="E587" s="151"/>
    </row>
    <row r="588" spans="1:5" x14ac:dyDescent="0.2">
      <c r="A588" s="151" t="s">
        <v>1995</v>
      </c>
      <c r="B588" s="151">
        <f>IF(ISBLANK(GlobBerMedDisc!$P$29),"",GlobBerMedDisc!$P$29)</f>
        <v>1</v>
      </c>
      <c r="C588" s="7">
        <v>1</v>
      </c>
      <c r="D588" s="151" t="str">
        <f t="shared" si="9"/>
        <v>_Glob_MedDisc_OplKeuze_28##1</v>
      </c>
      <c r="E588" s="151"/>
    </row>
    <row r="589" spans="1:5" x14ac:dyDescent="0.2">
      <c r="A589" s="151" t="s">
        <v>1996</v>
      </c>
      <c r="B589" s="151">
        <f>IF(ISBLANK(GlobBerMedDisc!$P$30),"",GlobBerMedDisc!$P$30)</f>
        <v>1</v>
      </c>
      <c r="C589" s="7">
        <v>1</v>
      </c>
      <c r="D589" s="151" t="str">
        <f t="shared" si="9"/>
        <v>_Glob_MedDisc_OplKeuze_29##1</v>
      </c>
      <c r="E589" s="151"/>
    </row>
    <row r="590" spans="1:5" x14ac:dyDescent="0.2">
      <c r="A590" s="151" t="s">
        <v>1997</v>
      </c>
      <c r="B590" s="151">
        <f>IF(ISBLANK(GlobBerMedDisc!$P$31),"",GlobBerMedDisc!$P$31)</f>
        <v>1</v>
      </c>
      <c r="C590" s="7">
        <v>1</v>
      </c>
      <c r="D590" s="151" t="str">
        <f t="shared" si="9"/>
        <v>_Glob_MedDisc_OplKeuze_30##1</v>
      </c>
      <c r="E590" s="151"/>
    </row>
    <row r="591" spans="1:5" x14ac:dyDescent="0.2">
      <c r="A591" s="151" t="s">
        <v>5565</v>
      </c>
      <c r="B591" s="151" t="str">
        <f>IF(ISBLANK(GlobBerMedDisc!$AY$2),"",GlobBerMedDisc!$AY$2)</f>
        <v/>
      </c>
      <c r="C591" s="7"/>
      <c r="D591" s="151" t="str">
        <f t="shared" si="9"/>
        <v>_Glob_MedDisc_OplVlst_01##</v>
      </c>
      <c r="E591" s="151"/>
    </row>
    <row r="592" spans="1:5" x14ac:dyDescent="0.2">
      <c r="A592" s="151" t="s">
        <v>5567</v>
      </c>
      <c r="B592" s="151" t="str">
        <f>IF(ISBLANK(GlobBerMedDisc!$AY$3),"",GlobBerMedDisc!$AY$3)</f>
        <v/>
      </c>
      <c r="C592" s="7"/>
      <c r="D592" s="151" t="str">
        <f t="shared" si="9"/>
        <v>_Glob_MedDisc_OplVlst_02##</v>
      </c>
      <c r="E592" s="151"/>
    </row>
    <row r="593" spans="1:6" x14ac:dyDescent="0.2">
      <c r="A593" s="151" t="s">
        <v>5569</v>
      </c>
      <c r="B593" s="151" t="str">
        <f>IF(ISBLANK(GlobBerMedDisc!$AY$4),"",GlobBerMedDisc!$AY$4)</f>
        <v/>
      </c>
      <c r="C593" s="7"/>
      <c r="D593" s="151" t="str">
        <f t="shared" si="9"/>
        <v>_Glob_MedDisc_OplVlst_03##</v>
      </c>
      <c r="E593" s="151"/>
    </row>
    <row r="594" spans="1:6" x14ac:dyDescent="0.2">
      <c r="A594" s="151" t="s">
        <v>5571</v>
      </c>
      <c r="B594" s="151" t="str">
        <f>IF(ISBLANK(GlobBerMedDisc!$AY$5),"",GlobBerMedDisc!$AY$5)</f>
        <v/>
      </c>
      <c r="C594" s="7"/>
      <c r="D594" s="151" t="str">
        <f t="shared" si="9"/>
        <v>_Glob_MedDisc_OplVlst_04##</v>
      </c>
      <c r="E594" s="151"/>
    </row>
    <row r="595" spans="1:6" x14ac:dyDescent="0.2">
      <c r="A595" s="151" t="s">
        <v>5573</v>
      </c>
      <c r="B595" s="151" t="str">
        <f>IF(ISBLANK(GlobBerMedDisc!$AY$6),"",GlobBerMedDisc!$AY$6)</f>
        <v/>
      </c>
      <c r="C595" s="7"/>
      <c r="D595" s="151" t="str">
        <f t="shared" si="9"/>
        <v>_Glob_MedDisc_OplVlst_05##</v>
      </c>
      <c r="E595" s="151"/>
    </row>
    <row r="596" spans="1:6" x14ac:dyDescent="0.2">
      <c r="A596" s="151" t="s">
        <v>5575</v>
      </c>
      <c r="B596" s="151" t="str">
        <f>IF(ISBLANK(GlobBerMedDisc!$AY$7),"",GlobBerMedDisc!$AY$7)</f>
        <v/>
      </c>
      <c r="C596" s="7"/>
      <c r="D596" s="151" t="str">
        <f t="shared" si="9"/>
        <v>_Glob_MedDisc_OplVlst_06##</v>
      </c>
      <c r="E596" s="151"/>
      <c r="F596" s="151"/>
    </row>
    <row r="597" spans="1:6" x14ac:dyDescent="0.2">
      <c r="A597" s="151" t="s">
        <v>5577</v>
      </c>
      <c r="B597" s="151" t="str">
        <f>IF(ISBLANK(GlobBerMedDisc!$AY$8),"",GlobBerMedDisc!$AY$8)</f>
        <v/>
      </c>
      <c r="C597" s="7"/>
      <c r="D597" s="151" t="str">
        <f t="shared" si="9"/>
        <v>_Glob_MedDisc_OplVlst_07##</v>
      </c>
      <c r="E597" s="151"/>
    </row>
    <row r="598" spans="1:6" x14ac:dyDescent="0.2">
      <c r="A598" s="151" t="s">
        <v>5579</v>
      </c>
      <c r="B598" s="151" t="str">
        <f>IF(ISBLANK(GlobBerMedDisc!$AY$9),"",GlobBerMedDisc!$AY$9)</f>
        <v/>
      </c>
      <c r="C598" s="7"/>
      <c r="D598" s="151" t="str">
        <f t="shared" si="9"/>
        <v>_Glob_MedDisc_OplVlst_08##</v>
      </c>
      <c r="E598" s="151"/>
    </row>
    <row r="599" spans="1:6" x14ac:dyDescent="0.2">
      <c r="A599" s="151" t="s">
        <v>5581</v>
      </c>
      <c r="B599" s="151" t="str">
        <f>IF(ISBLANK(GlobBerMedDisc!$AY$10),"",GlobBerMedDisc!$AY$10)</f>
        <v/>
      </c>
      <c r="C599" s="7"/>
      <c r="D599" s="151" t="str">
        <f t="shared" si="9"/>
        <v>_Glob_MedDisc_OplVlst_09##</v>
      </c>
      <c r="E599" s="151"/>
    </row>
    <row r="600" spans="1:6" x14ac:dyDescent="0.2">
      <c r="A600" s="151" t="s">
        <v>5583</v>
      </c>
      <c r="B600" s="151" t="str">
        <f>IF(ISBLANK(GlobBerMedDisc!$AY$11),"",GlobBerMedDisc!$AY$11)</f>
        <v/>
      </c>
      <c r="C600" s="7"/>
      <c r="D600" s="151" t="str">
        <f t="shared" si="9"/>
        <v>_Glob_MedDisc_OplVlst_10##</v>
      </c>
      <c r="E600" s="151"/>
    </row>
    <row r="601" spans="1:6" x14ac:dyDescent="0.2">
      <c r="A601" s="151" t="s">
        <v>5585</v>
      </c>
      <c r="B601" s="151" t="str">
        <f>IF(ISBLANK(GlobBerMedDisc!$AY$12),"",GlobBerMedDisc!$AY$12)</f>
        <v/>
      </c>
      <c r="C601" s="7"/>
      <c r="D601" s="151" t="str">
        <f t="shared" si="9"/>
        <v>_Glob_MedDisc_OplVlst_11##</v>
      </c>
      <c r="E601" s="151"/>
    </row>
    <row r="602" spans="1:6" x14ac:dyDescent="0.2">
      <c r="A602" s="151" t="s">
        <v>5587</v>
      </c>
      <c r="B602" s="151" t="str">
        <f>IF(ISBLANK(GlobBerMedDisc!$AY$13),"",GlobBerMedDisc!$AY$13)</f>
        <v/>
      </c>
      <c r="C602" s="7"/>
      <c r="D602" s="151" t="str">
        <f t="shared" si="9"/>
        <v>_Glob_MedDisc_OplVlst_12##</v>
      </c>
      <c r="E602" s="151"/>
    </row>
    <row r="603" spans="1:6" x14ac:dyDescent="0.2">
      <c r="A603" s="151" t="s">
        <v>5589</v>
      </c>
      <c r="B603" s="151" t="str">
        <f>IF(ISBLANK(GlobBerMedDisc!$AY$14),"",GlobBerMedDisc!$AY$14)</f>
        <v/>
      </c>
      <c r="C603" s="7"/>
      <c r="D603" s="151" t="str">
        <f t="shared" si="9"/>
        <v>_Glob_MedDisc_OplVlst_13##</v>
      </c>
      <c r="E603" s="151"/>
    </row>
    <row r="604" spans="1:6" x14ac:dyDescent="0.2">
      <c r="A604" s="151" t="s">
        <v>5591</v>
      </c>
      <c r="B604" s="151" t="str">
        <f>IF(ISBLANK(GlobBerMedDisc!$AY$15),"",GlobBerMedDisc!$AY$15)</f>
        <v/>
      </c>
      <c r="C604" s="7"/>
      <c r="D604" s="151" t="str">
        <f t="shared" si="9"/>
        <v>_Glob_MedDisc_OplVlst_14##</v>
      </c>
      <c r="E604" s="151"/>
    </row>
    <row r="605" spans="1:6" x14ac:dyDescent="0.2">
      <c r="A605" s="151" t="s">
        <v>5593</v>
      </c>
      <c r="B605" s="151" t="str">
        <f>IF(ISBLANK(GlobBerMedDisc!$AY$16),"",GlobBerMedDisc!$AY$16)</f>
        <v/>
      </c>
      <c r="C605" s="7"/>
      <c r="D605" s="151" t="str">
        <f t="shared" si="9"/>
        <v>_Glob_MedDisc_OplVlst_15##</v>
      </c>
      <c r="E605" s="151"/>
    </row>
    <row r="606" spans="1:6" x14ac:dyDescent="0.2">
      <c r="A606" s="151" t="s">
        <v>5595</v>
      </c>
      <c r="B606" s="151" t="str">
        <f>IF(ISBLANK(GlobBerMedDisc!$AY$17),"",GlobBerMedDisc!$AY$17)</f>
        <v/>
      </c>
      <c r="C606" s="7"/>
      <c r="D606" s="151" t="str">
        <f t="shared" si="9"/>
        <v>_Glob_MedDisc_OplVlst_16##</v>
      </c>
      <c r="E606" s="151"/>
    </row>
    <row r="607" spans="1:6" s="151" customFormat="1" x14ac:dyDescent="0.2">
      <c r="A607" s="151" t="s">
        <v>5597</v>
      </c>
      <c r="B607" s="151" t="str">
        <f>IF(ISBLANK(GlobBerMedDisc!$AY$18),"",GlobBerMedDisc!$AY$18)</f>
        <v/>
      </c>
      <c r="C607" s="7"/>
      <c r="D607" s="151" t="str">
        <f t="shared" si="9"/>
        <v>_Glob_MedDisc_OplVlst_17##</v>
      </c>
      <c r="E607"/>
      <c r="F607"/>
    </row>
    <row r="608" spans="1:6" s="151" customFormat="1" x14ac:dyDescent="0.2">
      <c r="A608" s="151" t="s">
        <v>5599</v>
      </c>
      <c r="B608" s="151" t="str">
        <f>IF(ISBLANK(GlobBerMedDisc!$AY$19),"",GlobBerMedDisc!$AY$19)</f>
        <v/>
      </c>
      <c r="C608" s="7"/>
      <c r="D608" s="151" t="str">
        <f t="shared" si="9"/>
        <v>_Glob_MedDisc_OplVlst_18##</v>
      </c>
      <c r="E608"/>
      <c r="F608"/>
    </row>
    <row r="609" spans="1:6" s="151" customFormat="1" x14ac:dyDescent="0.2">
      <c r="A609" s="151" t="s">
        <v>5601</v>
      </c>
      <c r="B609" s="151" t="str">
        <f>IF(ISBLANK(GlobBerMedDisc!$AY$20),"",GlobBerMedDisc!$AY$20)</f>
        <v/>
      </c>
      <c r="C609" s="7"/>
      <c r="D609" s="151" t="str">
        <f t="shared" si="9"/>
        <v>_Glob_MedDisc_OplVlst_19##</v>
      </c>
      <c r="E609"/>
      <c r="F609"/>
    </row>
    <row r="610" spans="1:6" s="151" customFormat="1" x14ac:dyDescent="0.2">
      <c r="A610" s="151" t="s">
        <v>5603</v>
      </c>
      <c r="B610" s="151" t="str">
        <f>IF(ISBLANK(GlobBerMedDisc!$AY$21),"",GlobBerMedDisc!$AY$21)</f>
        <v/>
      </c>
      <c r="C610" s="7"/>
      <c r="D610" s="151" t="str">
        <f t="shared" si="9"/>
        <v>_Glob_MedDisc_OplVlst_20##</v>
      </c>
      <c r="E610"/>
      <c r="F610"/>
    </row>
    <row r="611" spans="1:6" s="151" customFormat="1" x14ac:dyDescent="0.2">
      <c r="A611" s="151" t="s">
        <v>5605</v>
      </c>
      <c r="B611" s="151" t="str">
        <f>IF(ISBLANK(GlobBerMedDisc!$AY$22),"",GlobBerMedDisc!$AY$22)</f>
        <v/>
      </c>
      <c r="C611" s="7"/>
      <c r="D611" s="151" t="str">
        <f t="shared" si="9"/>
        <v>_Glob_MedDisc_OplVlst_21##</v>
      </c>
      <c r="E611"/>
      <c r="F611"/>
    </row>
    <row r="612" spans="1:6" s="151" customFormat="1" x14ac:dyDescent="0.2">
      <c r="A612" s="151" t="s">
        <v>5607</v>
      </c>
      <c r="B612" s="151" t="str">
        <f>IF(ISBLANK(GlobBerMedDisc!$AY$23),"",GlobBerMedDisc!$AY$23)</f>
        <v/>
      </c>
      <c r="C612" s="7"/>
      <c r="D612" s="151" t="str">
        <f t="shared" si="9"/>
        <v>_Glob_MedDisc_OplVlst_22##</v>
      </c>
      <c r="E612"/>
      <c r="F612"/>
    </row>
    <row r="613" spans="1:6" s="151" customFormat="1" x14ac:dyDescent="0.2">
      <c r="A613" s="151" t="s">
        <v>5609</v>
      </c>
      <c r="B613" s="151" t="str">
        <f>IF(ISBLANK(GlobBerMedDisc!$AY$24),"",GlobBerMedDisc!$AY$24)</f>
        <v/>
      </c>
      <c r="C613" s="7"/>
      <c r="D613" s="151" t="str">
        <f t="shared" si="9"/>
        <v>_Glob_MedDisc_OplVlst_23##</v>
      </c>
      <c r="E613"/>
      <c r="F613"/>
    </row>
    <row r="614" spans="1:6" s="151" customFormat="1" x14ac:dyDescent="0.2">
      <c r="A614" s="151" t="s">
        <v>5611</v>
      </c>
      <c r="B614" s="151" t="str">
        <f>IF(ISBLANK(GlobBerMedDisc!$AY$25),"",GlobBerMedDisc!$AY$25)</f>
        <v/>
      </c>
      <c r="C614" s="7"/>
      <c r="D614" s="151" t="str">
        <f t="shared" si="9"/>
        <v>_Glob_MedDisc_OplVlst_24##</v>
      </c>
      <c r="E614"/>
      <c r="F614"/>
    </row>
    <row r="615" spans="1:6" s="151" customFormat="1" x14ac:dyDescent="0.2">
      <c r="A615" s="151" t="s">
        <v>5613</v>
      </c>
      <c r="B615" s="151" t="str">
        <f>IF(ISBLANK(GlobBerMedDisc!$AY$26),"",GlobBerMedDisc!$AY$26)</f>
        <v/>
      </c>
      <c r="C615" s="7"/>
      <c r="D615" s="151" t="str">
        <f t="shared" si="9"/>
        <v>_Glob_MedDisc_OplVlst_25##</v>
      </c>
      <c r="E615"/>
      <c r="F615"/>
    </row>
    <row r="616" spans="1:6" s="151" customFormat="1" x14ac:dyDescent="0.2">
      <c r="A616" s="151" t="s">
        <v>5615</v>
      </c>
      <c r="B616" s="151" t="str">
        <f>IF(ISBLANK(GlobBerMedDisc!$AY$27),"",GlobBerMedDisc!$AY$27)</f>
        <v/>
      </c>
      <c r="C616" s="7"/>
      <c r="D616" s="151" t="str">
        <f t="shared" si="9"/>
        <v>_Glob_MedDisc_OplVlst_26##</v>
      </c>
      <c r="E616"/>
      <c r="F616"/>
    </row>
    <row r="617" spans="1:6" s="151" customFormat="1" x14ac:dyDescent="0.2">
      <c r="A617" s="151" t="s">
        <v>5617</v>
      </c>
      <c r="B617" s="151" t="str">
        <f>IF(ISBLANK(GlobBerMedDisc!$AY$28),"",GlobBerMedDisc!$AY$28)</f>
        <v/>
      </c>
      <c r="C617" s="7"/>
      <c r="D617" s="151" t="str">
        <f t="shared" si="9"/>
        <v>_Glob_MedDisc_OplVlst_27##</v>
      </c>
      <c r="E617"/>
      <c r="F617"/>
    </row>
    <row r="618" spans="1:6" s="151" customFormat="1" x14ac:dyDescent="0.2">
      <c r="A618" s="151" t="s">
        <v>5619</v>
      </c>
      <c r="B618" s="151" t="str">
        <f>IF(ISBLANK(GlobBerMedDisc!$AY$29),"",GlobBerMedDisc!$AY$29)</f>
        <v/>
      </c>
      <c r="C618" s="7"/>
      <c r="D618" s="151" t="str">
        <f t="shared" si="9"/>
        <v>_Glob_MedDisc_OplVlst_28##</v>
      </c>
      <c r="E618"/>
      <c r="F618"/>
    </row>
    <row r="619" spans="1:6" s="151" customFormat="1" x14ac:dyDescent="0.2">
      <c r="A619" s="151" t="s">
        <v>5621</v>
      </c>
      <c r="B619" s="151" t="str">
        <f>IF(ISBLANK(GlobBerMedDisc!$AY$30),"",GlobBerMedDisc!$AY$30)</f>
        <v/>
      </c>
      <c r="C619" s="7"/>
      <c r="D619" s="151" t="str">
        <f t="shared" si="9"/>
        <v>_Glob_MedDisc_OplVlst_29##</v>
      </c>
      <c r="E619"/>
      <c r="F619"/>
    </row>
    <row r="620" spans="1:6" s="151" customFormat="1" x14ac:dyDescent="0.2">
      <c r="A620" s="151" t="s">
        <v>5623</v>
      </c>
      <c r="B620" s="151" t="str">
        <f>IF(ISBLANK(GlobBerMedDisc!$AY$31),"",GlobBerMedDisc!$AY$31)</f>
        <v/>
      </c>
      <c r="C620" s="7"/>
      <c r="D620" s="151" t="str">
        <f t="shared" si="9"/>
        <v>_Glob_MedDisc_OplVlst_30##</v>
      </c>
      <c r="E620"/>
      <c r="F620"/>
    </row>
    <row r="621" spans="1:6" s="151" customFormat="1" x14ac:dyDescent="0.2">
      <c r="A621" s="151" t="s">
        <v>1998</v>
      </c>
      <c r="B621" s="151">
        <f>IF(ISBLANK(GlobBerMedDisc!$O$2),"",GlobBerMedDisc!$O$2)</f>
        <v>0</v>
      </c>
      <c r="C621" s="153">
        <v>0</v>
      </c>
      <c r="D621" s="151" t="str">
        <f t="shared" si="9"/>
        <v>_Glob_MedDisc_OplVol_01##0</v>
      </c>
      <c r="E621"/>
      <c r="F621"/>
    </row>
    <row r="622" spans="1:6" s="151" customFormat="1" x14ac:dyDescent="0.2">
      <c r="A622" s="151" t="s">
        <v>1999</v>
      </c>
      <c r="B622" s="151">
        <f>IF(ISBLANK(GlobBerMedDisc!$O$3),"",GlobBerMedDisc!$O$3)</f>
        <v>0</v>
      </c>
      <c r="C622" s="153">
        <v>0</v>
      </c>
      <c r="D622" s="151" t="str">
        <f t="shared" si="9"/>
        <v>_Glob_MedDisc_OplVol_02##0</v>
      </c>
      <c r="E622"/>
      <c r="F622"/>
    </row>
    <row r="623" spans="1:6" s="151" customFormat="1" x14ac:dyDescent="0.2">
      <c r="A623" s="151" t="s">
        <v>2000</v>
      </c>
      <c r="B623" s="151">
        <f>IF(ISBLANK(GlobBerMedDisc!$O$4),"",GlobBerMedDisc!$O$4)</f>
        <v>0</v>
      </c>
      <c r="C623" s="153">
        <v>0</v>
      </c>
      <c r="D623" s="151" t="str">
        <f t="shared" si="9"/>
        <v>_Glob_MedDisc_OplVol_03##0</v>
      </c>
      <c r="E623"/>
      <c r="F623"/>
    </row>
    <row r="624" spans="1:6" s="151" customFormat="1" x14ac:dyDescent="0.2">
      <c r="A624" s="151" t="s">
        <v>2001</v>
      </c>
      <c r="B624" s="151">
        <f>IF(ISBLANK(GlobBerMedDisc!$O$5),"",GlobBerMedDisc!$O$5)</f>
        <v>0</v>
      </c>
      <c r="C624" s="153">
        <v>0</v>
      </c>
      <c r="D624" s="151" t="str">
        <f t="shared" si="9"/>
        <v>_Glob_MedDisc_OplVol_04##0</v>
      </c>
      <c r="E624"/>
      <c r="F624"/>
    </row>
    <row r="625" spans="1:6" s="151" customFormat="1" x14ac:dyDescent="0.2">
      <c r="A625" s="151" t="s">
        <v>2002</v>
      </c>
      <c r="B625" s="151">
        <f>IF(ISBLANK(GlobBerMedDisc!$O$6),"",GlobBerMedDisc!$O$6)</f>
        <v>0</v>
      </c>
      <c r="C625" s="153">
        <v>0</v>
      </c>
      <c r="D625" s="151" t="str">
        <f t="shared" si="9"/>
        <v>_Glob_MedDisc_OplVol_05##0</v>
      </c>
      <c r="E625"/>
      <c r="F625"/>
    </row>
    <row r="626" spans="1:6" s="151" customFormat="1" x14ac:dyDescent="0.2">
      <c r="A626" s="151" t="s">
        <v>2003</v>
      </c>
      <c r="B626" s="151">
        <f>IF(ISBLANK(GlobBerMedDisc!$O$7),"",GlobBerMedDisc!$O$7)</f>
        <v>0</v>
      </c>
      <c r="C626" s="153">
        <v>0</v>
      </c>
      <c r="D626" s="151" t="str">
        <f t="shared" si="9"/>
        <v>_Glob_MedDisc_OplVol_06##0</v>
      </c>
      <c r="E626"/>
      <c r="F626"/>
    </row>
    <row r="627" spans="1:6" s="151" customFormat="1" x14ac:dyDescent="0.2">
      <c r="A627" s="151" t="s">
        <v>2004</v>
      </c>
      <c r="B627" s="151">
        <f>IF(ISBLANK(GlobBerMedDisc!$O$8),"",GlobBerMedDisc!$O$8)</f>
        <v>0</v>
      </c>
      <c r="C627" s="153">
        <v>0</v>
      </c>
      <c r="D627" s="151" t="str">
        <f t="shared" si="9"/>
        <v>_Glob_MedDisc_OplVol_07##0</v>
      </c>
      <c r="E627"/>
      <c r="F627"/>
    </row>
    <row r="628" spans="1:6" s="151" customFormat="1" x14ac:dyDescent="0.2">
      <c r="A628" s="151" t="s">
        <v>2005</v>
      </c>
      <c r="B628" s="151">
        <f>IF(ISBLANK(GlobBerMedDisc!$O$9),"",GlobBerMedDisc!$O$9)</f>
        <v>0</v>
      </c>
      <c r="C628" s="153">
        <v>0</v>
      </c>
      <c r="D628" s="151" t="str">
        <f t="shared" si="9"/>
        <v>_Glob_MedDisc_OplVol_08##0</v>
      </c>
      <c r="E628"/>
      <c r="F628"/>
    </row>
    <row r="629" spans="1:6" s="151" customFormat="1" x14ac:dyDescent="0.2">
      <c r="A629" s="151" t="s">
        <v>2006</v>
      </c>
      <c r="B629" s="151">
        <f>IF(ISBLANK(GlobBerMedDisc!$O$10),"",GlobBerMedDisc!$O$10)</f>
        <v>0</v>
      </c>
      <c r="C629" s="153">
        <v>0</v>
      </c>
      <c r="D629" s="151" t="str">
        <f t="shared" si="9"/>
        <v>_Glob_MedDisc_OplVol_09##0</v>
      </c>
      <c r="E629"/>
      <c r="F629"/>
    </row>
    <row r="630" spans="1:6" s="151" customFormat="1" x14ac:dyDescent="0.2">
      <c r="A630" s="151" t="s">
        <v>2007</v>
      </c>
      <c r="B630" s="151">
        <f>IF(ISBLANK(GlobBerMedDisc!$O$11),"",GlobBerMedDisc!$O$11)</f>
        <v>0</v>
      </c>
      <c r="C630" s="153">
        <v>0</v>
      </c>
      <c r="D630" s="151" t="str">
        <f t="shared" si="9"/>
        <v>_Glob_MedDisc_OplVol_10##0</v>
      </c>
      <c r="E630"/>
      <c r="F630"/>
    </row>
    <row r="631" spans="1:6" s="151" customFormat="1" x14ac:dyDescent="0.2">
      <c r="A631" s="151" t="s">
        <v>2008</v>
      </c>
      <c r="B631" s="151">
        <f>IF(ISBLANK(GlobBerMedDisc!$O$12),"",GlobBerMedDisc!$O$12)</f>
        <v>0</v>
      </c>
      <c r="C631" s="153">
        <v>0</v>
      </c>
      <c r="D631" s="151" t="str">
        <f t="shared" si="9"/>
        <v>_Glob_MedDisc_OplVol_11##0</v>
      </c>
      <c r="E631"/>
      <c r="F631"/>
    </row>
    <row r="632" spans="1:6" s="151" customFormat="1" x14ac:dyDescent="0.2">
      <c r="A632" s="151" t="s">
        <v>2009</v>
      </c>
      <c r="B632" s="151">
        <f>IF(ISBLANK(GlobBerMedDisc!$O$13),"",GlobBerMedDisc!$O$13)</f>
        <v>0</v>
      </c>
      <c r="C632" s="153">
        <v>0</v>
      </c>
      <c r="D632" s="151" t="str">
        <f t="shared" si="9"/>
        <v>_Glob_MedDisc_OplVol_12##0</v>
      </c>
      <c r="E632"/>
      <c r="F632"/>
    </row>
    <row r="633" spans="1:6" s="151" customFormat="1" x14ac:dyDescent="0.2">
      <c r="A633" s="151" t="s">
        <v>2010</v>
      </c>
      <c r="B633" s="151">
        <f>IF(ISBLANK(GlobBerMedDisc!$O$14),"",GlobBerMedDisc!$O$14)</f>
        <v>0</v>
      </c>
      <c r="C633" s="153">
        <v>0</v>
      </c>
      <c r="D633" s="151" t="str">
        <f t="shared" si="9"/>
        <v>_Glob_MedDisc_OplVol_13##0</v>
      </c>
      <c r="E633"/>
      <c r="F633"/>
    </row>
    <row r="634" spans="1:6" s="151" customFormat="1" x14ac:dyDescent="0.2">
      <c r="A634" s="151" t="s">
        <v>2011</v>
      </c>
      <c r="B634" s="151">
        <f>IF(ISBLANK(GlobBerMedDisc!$O$15),"",GlobBerMedDisc!$O$15)</f>
        <v>0</v>
      </c>
      <c r="C634" s="153">
        <v>0</v>
      </c>
      <c r="D634" s="151" t="str">
        <f t="shared" si="9"/>
        <v>_Glob_MedDisc_OplVol_14##0</v>
      </c>
      <c r="E634"/>
      <c r="F634"/>
    </row>
    <row r="635" spans="1:6" s="151" customFormat="1" x14ac:dyDescent="0.2">
      <c r="A635" s="151" t="s">
        <v>2012</v>
      </c>
      <c r="B635" s="151">
        <f>IF(ISBLANK(GlobBerMedDisc!$O$16),"",GlobBerMedDisc!$O$16)</f>
        <v>0</v>
      </c>
      <c r="C635" s="153">
        <v>0</v>
      </c>
      <c r="D635" s="151" t="str">
        <f t="shared" si="9"/>
        <v>_Glob_MedDisc_OplVol_15##0</v>
      </c>
      <c r="E635"/>
      <c r="F635"/>
    </row>
    <row r="636" spans="1:6" s="151" customFormat="1" x14ac:dyDescent="0.2">
      <c r="A636" s="151" t="s">
        <v>2013</v>
      </c>
      <c r="B636" s="151">
        <f>IF(ISBLANK(GlobBerMedDisc!$O$17),"",GlobBerMedDisc!$O$17)</f>
        <v>0</v>
      </c>
      <c r="C636" s="153">
        <v>0</v>
      </c>
      <c r="D636" s="151" t="str">
        <f t="shared" si="9"/>
        <v>_Glob_MedDisc_OplVol_16##0</v>
      </c>
      <c r="E636"/>
      <c r="F636"/>
    </row>
    <row r="637" spans="1:6" s="151" customFormat="1" x14ac:dyDescent="0.2">
      <c r="A637" s="151" t="s">
        <v>2014</v>
      </c>
      <c r="B637" s="151">
        <f>IF(ISBLANK(GlobBerMedDisc!$O$18),"",GlobBerMedDisc!$O$18)</f>
        <v>0</v>
      </c>
      <c r="C637" s="153">
        <v>0</v>
      </c>
      <c r="D637" s="151" t="str">
        <f t="shared" si="9"/>
        <v>_Glob_MedDisc_OplVol_17##0</v>
      </c>
      <c r="E637"/>
      <c r="F637"/>
    </row>
    <row r="638" spans="1:6" s="151" customFormat="1" x14ac:dyDescent="0.2">
      <c r="A638" s="151" t="s">
        <v>2015</v>
      </c>
      <c r="B638" s="151">
        <f>IF(ISBLANK(GlobBerMedDisc!$O$19),"",GlobBerMedDisc!$O$19)</f>
        <v>0</v>
      </c>
      <c r="C638" s="153">
        <v>0</v>
      </c>
      <c r="D638" s="151" t="str">
        <f t="shared" si="9"/>
        <v>_Glob_MedDisc_OplVol_18##0</v>
      </c>
      <c r="E638"/>
      <c r="F638"/>
    </row>
    <row r="639" spans="1:6" s="151" customFormat="1" x14ac:dyDescent="0.2">
      <c r="A639" s="151" t="s">
        <v>2016</v>
      </c>
      <c r="B639" s="151">
        <f>IF(ISBLANK(GlobBerMedDisc!$O$20),"",GlobBerMedDisc!$O$20)</f>
        <v>0</v>
      </c>
      <c r="C639" s="153">
        <v>0</v>
      </c>
      <c r="D639" s="151" t="str">
        <f t="shared" si="9"/>
        <v>_Glob_MedDisc_OplVol_19##0</v>
      </c>
      <c r="E639"/>
      <c r="F639"/>
    </row>
    <row r="640" spans="1:6" s="151" customFormat="1" x14ac:dyDescent="0.2">
      <c r="A640" s="151" t="s">
        <v>2017</v>
      </c>
      <c r="B640" s="151">
        <f>IF(ISBLANK(GlobBerMedDisc!$O$21),"",GlobBerMedDisc!$O$21)</f>
        <v>0</v>
      </c>
      <c r="C640" s="153">
        <v>0</v>
      </c>
      <c r="D640" s="151" t="str">
        <f t="shared" si="9"/>
        <v>_Glob_MedDisc_OplVol_20##0</v>
      </c>
      <c r="E640"/>
      <c r="F640"/>
    </row>
    <row r="641" spans="1:6" s="151" customFormat="1" x14ac:dyDescent="0.2">
      <c r="A641" s="151" t="s">
        <v>2018</v>
      </c>
      <c r="B641" s="151">
        <f>IF(ISBLANK(GlobBerMedDisc!$O$22),"",GlobBerMedDisc!$O$22)</f>
        <v>0</v>
      </c>
      <c r="C641" s="153">
        <v>0</v>
      </c>
      <c r="D641" s="151" t="str">
        <f t="shared" si="9"/>
        <v>_Glob_MedDisc_OplVol_21##0</v>
      </c>
      <c r="E641"/>
      <c r="F641"/>
    </row>
    <row r="642" spans="1:6" s="151" customFormat="1" x14ac:dyDescent="0.2">
      <c r="A642" s="151" t="s">
        <v>2019</v>
      </c>
      <c r="B642" s="151">
        <f>IF(ISBLANK(GlobBerMedDisc!$O$23),"",GlobBerMedDisc!$O$23)</f>
        <v>0</v>
      </c>
      <c r="C642" s="153">
        <v>0</v>
      </c>
      <c r="D642" s="151" t="str">
        <f t="shared" si="9"/>
        <v>_Glob_MedDisc_OplVol_22##0</v>
      </c>
      <c r="E642"/>
    </row>
    <row r="643" spans="1:6" s="151" customFormat="1" x14ac:dyDescent="0.2">
      <c r="A643" s="151" t="s">
        <v>2020</v>
      </c>
      <c r="B643" s="151">
        <f>IF(ISBLANK(GlobBerMedDisc!$O$24),"",GlobBerMedDisc!$O$24)</f>
        <v>0</v>
      </c>
      <c r="C643" s="153">
        <v>0</v>
      </c>
      <c r="D643" s="151" t="str">
        <f t="shared" ref="D643:D706" si="10">A643&amp;"##"&amp;B643</f>
        <v>_Glob_MedDisc_OplVol_23##0</v>
      </c>
      <c r="E643"/>
      <c r="F643"/>
    </row>
    <row r="644" spans="1:6" s="151" customFormat="1" x14ac:dyDescent="0.2">
      <c r="A644" s="151" t="s">
        <v>2021</v>
      </c>
      <c r="B644" s="151">
        <f>IF(ISBLANK(GlobBerMedDisc!$O$25),"",GlobBerMedDisc!$O$25)</f>
        <v>0</v>
      </c>
      <c r="C644" s="153">
        <v>0</v>
      </c>
      <c r="D644" s="151" t="str">
        <f t="shared" si="10"/>
        <v>_Glob_MedDisc_OplVol_24##0</v>
      </c>
      <c r="E644"/>
      <c r="F644"/>
    </row>
    <row r="645" spans="1:6" s="151" customFormat="1" x14ac:dyDescent="0.2">
      <c r="A645" s="151" t="s">
        <v>2022</v>
      </c>
      <c r="B645" s="151">
        <f>IF(ISBLANK(GlobBerMedDisc!$O$26),"",GlobBerMedDisc!$O$26)</f>
        <v>0</v>
      </c>
      <c r="C645" s="153">
        <v>0</v>
      </c>
      <c r="D645" s="151" t="str">
        <f t="shared" si="10"/>
        <v>_Glob_MedDisc_OplVol_25##0</v>
      </c>
      <c r="E645"/>
      <c r="F645"/>
    </row>
    <row r="646" spans="1:6" s="151" customFormat="1" x14ac:dyDescent="0.2">
      <c r="A646" s="151" t="s">
        <v>2023</v>
      </c>
      <c r="B646" s="151">
        <f>IF(ISBLANK(GlobBerMedDisc!$O$27),"",GlobBerMedDisc!$O$27)</f>
        <v>0</v>
      </c>
      <c r="C646" s="153">
        <v>0</v>
      </c>
      <c r="D646" s="151" t="str">
        <f t="shared" si="10"/>
        <v>_Glob_MedDisc_OplVol_26##0</v>
      </c>
      <c r="E646"/>
      <c r="F646"/>
    </row>
    <row r="647" spans="1:6" s="151" customFormat="1" x14ac:dyDescent="0.2">
      <c r="A647" s="151" t="s">
        <v>2024</v>
      </c>
      <c r="B647" s="151">
        <f>IF(ISBLANK(GlobBerMedDisc!$O$28),"",GlobBerMedDisc!$O$28)</f>
        <v>0</v>
      </c>
      <c r="C647" s="153">
        <v>0</v>
      </c>
      <c r="D647" s="151" t="str">
        <f t="shared" si="10"/>
        <v>_Glob_MedDisc_OplVol_27##0</v>
      </c>
      <c r="E647"/>
    </row>
    <row r="648" spans="1:6" s="151" customFormat="1" x14ac:dyDescent="0.2">
      <c r="A648" s="151" t="s">
        <v>2025</v>
      </c>
      <c r="B648" s="151">
        <f>IF(ISBLANK(GlobBerMedDisc!$O$29),"",GlobBerMedDisc!$O$29)</f>
        <v>0</v>
      </c>
      <c r="C648" s="153">
        <v>0</v>
      </c>
      <c r="D648" s="151" t="str">
        <f t="shared" si="10"/>
        <v>_Glob_MedDisc_OplVol_28##0</v>
      </c>
      <c r="E648"/>
      <c r="F648"/>
    </row>
    <row r="649" spans="1:6" x14ac:dyDescent="0.2">
      <c r="A649" s="151" t="s">
        <v>2026</v>
      </c>
      <c r="B649" s="151">
        <f>IF(ISBLANK(GlobBerMedDisc!$O$30),"",GlobBerMedDisc!$O$30)</f>
        <v>0</v>
      </c>
      <c r="C649" s="153">
        <v>0</v>
      </c>
      <c r="D649" s="151" t="str">
        <f t="shared" si="10"/>
        <v>_Glob_MedDisc_OplVol_29##0</v>
      </c>
    </row>
    <row r="650" spans="1:6" x14ac:dyDescent="0.2">
      <c r="A650" s="151" t="s">
        <v>2027</v>
      </c>
      <c r="B650" s="151">
        <f>IF(ISBLANK(GlobBerMedDisc!$O$31),"",GlobBerMedDisc!$O$31)</f>
        <v>0</v>
      </c>
      <c r="C650" s="153">
        <v>0</v>
      </c>
      <c r="D650" s="151" t="str">
        <f t="shared" si="10"/>
        <v>_Glob_MedDisc_OplVol_30##0</v>
      </c>
    </row>
    <row r="651" spans="1:6" x14ac:dyDescent="0.2">
      <c r="A651" s="151" t="s">
        <v>2028</v>
      </c>
      <c r="B651" t="str">
        <f>IF(ISBLANK(GlobBerMedDisc!$AD$2),"",GlobBerMedDisc!$AD$2)</f>
        <v/>
      </c>
      <c r="C651" s="44"/>
      <c r="D651" s="151" t="str">
        <f t="shared" si="10"/>
        <v>_Glob_MedDisc_Opm_01##</v>
      </c>
    </row>
    <row r="652" spans="1:6" x14ac:dyDescent="0.2">
      <c r="A652" s="151" t="s">
        <v>2029</v>
      </c>
      <c r="B652" t="str">
        <f>IF(ISBLANK(GlobBerMedDisc!$AD$3),"",GlobBerMedDisc!$AD$3)</f>
        <v/>
      </c>
      <c r="C652" s="44"/>
      <c r="D652" s="151" t="str">
        <f t="shared" si="10"/>
        <v>_Glob_MedDisc_Opm_02##</v>
      </c>
    </row>
    <row r="653" spans="1:6" x14ac:dyDescent="0.2">
      <c r="A653" s="151" t="s">
        <v>2030</v>
      </c>
      <c r="B653" t="str">
        <f>IF(ISBLANK(GlobBerMedDisc!$AD$4),"",GlobBerMedDisc!$AD$4)</f>
        <v/>
      </c>
      <c r="C653" s="44"/>
      <c r="D653" s="151" t="str">
        <f t="shared" si="10"/>
        <v>_Glob_MedDisc_Opm_03##</v>
      </c>
    </row>
    <row r="654" spans="1:6" x14ac:dyDescent="0.2">
      <c r="A654" s="151" t="s">
        <v>2031</v>
      </c>
      <c r="B654" t="str">
        <f>IF(ISBLANK(GlobBerMedDisc!$AD$5),"",GlobBerMedDisc!$AD$5)</f>
        <v/>
      </c>
      <c r="C654" s="44"/>
      <c r="D654" s="151" t="str">
        <f t="shared" si="10"/>
        <v>_Glob_MedDisc_Opm_04##</v>
      </c>
    </row>
    <row r="655" spans="1:6" x14ac:dyDescent="0.2">
      <c r="A655" s="151" t="s">
        <v>2032</v>
      </c>
      <c r="B655" t="str">
        <f>IF(ISBLANK(GlobBerMedDisc!$AD$6),"",GlobBerMedDisc!$AD$6)</f>
        <v/>
      </c>
      <c r="C655" s="44"/>
      <c r="D655" s="151" t="str">
        <f t="shared" si="10"/>
        <v>_Glob_MedDisc_Opm_05##</v>
      </c>
    </row>
    <row r="656" spans="1:6" x14ac:dyDescent="0.2">
      <c r="A656" s="151" t="s">
        <v>2033</v>
      </c>
      <c r="B656" t="str">
        <f>IF(ISBLANK(GlobBerMedDisc!$AD$7),"",GlobBerMedDisc!$AD$7)</f>
        <v/>
      </c>
      <c r="C656" s="44"/>
      <c r="D656" s="151" t="str">
        <f t="shared" si="10"/>
        <v>_Glob_MedDisc_Opm_06##</v>
      </c>
    </row>
    <row r="657" spans="1:6" x14ac:dyDescent="0.2">
      <c r="A657" s="151" t="s">
        <v>2034</v>
      </c>
      <c r="B657" t="str">
        <f>IF(ISBLANK(GlobBerMedDisc!$AD$8),"",GlobBerMedDisc!$AD$8)</f>
        <v/>
      </c>
      <c r="C657" s="44"/>
      <c r="D657" s="151" t="str">
        <f t="shared" si="10"/>
        <v>_Glob_MedDisc_Opm_07##</v>
      </c>
    </row>
    <row r="658" spans="1:6" x14ac:dyDescent="0.2">
      <c r="A658" s="151" t="s">
        <v>2035</v>
      </c>
      <c r="B658" t="str">
        <f>IF(ISBLANK(GlobBerMedDisc!$AD$9),"",GlobBerMedDisc!$AD$9)</f>
        <v/>
      </c>
      <c r="C658" s="44"/>
      <c r="D658" s="151" t="str">
        <f t="shared" si="10"/>
        <v>_Glob_MedDisc_Opm_08##</v>
      </c>
    </row>
    <row r="659" spans="1:6" x14ac:dyDescent="0.2">
      <c r="A659" s="151" t="s">
        <v>2036</v>
      </c>
      <c r="B659" t="str">
        <f>IF(ISBLANK(GlobBerMedDisc!$AD$10),"",GlobBerMedDisc!$AD$10)</f>
        <v/>
      </c>
      <c r="C659" s="44"/>
      <c r="D659" s="151" t="str">
        <f t="shared" si="10"/>
        <v>_Glob_MedDisc_Opm_09##</v>
      </c>
    </row>
    <row r="660" spans="1:6" x14ac:dyDescent="0.2">
      <c r="A660" s="151" t="s">
        <v>2037</v>
      </c>
      <c r="B660" t="str">
        <f>IF(ISBLANK(GlobBerMedDisc!$AD$11),"",GlobBerMedDisc!$AD$11)</f>
        <v/>
      </c>
      <c r="C660" s="44"/>
      <c r="D660" s="151" t="str">
        <f t="shared" si="10"/>
        <v>_Glob_MedDisc_Opm_10##</v>
      </c>
    </row>
    <row r="661" spans="1:6" x14ac:dyDescent="0.2">
      <c r="A661" s="151" t="s">
        <v>2038</v>
      </c>
      <c r="B661" t="str">
        <f>IF(ISBLANK(GlobBerMedDisc!$AD$12),"",GlobBerMedDisc!$AD$12)</f>
        <v/>
      </c>
      <c r="C661" s="44"/>
      <c r="D661" s="151" t="str">
        <f t="shared" si="10"/>
        <v>_Glob_MedDisc_Opm_11##</v>
      </c>
    </row>
    <row r="662" spans="1:6" x14ac:dyDescent="0.2">
      <c r="A662" s="151" t="s">
        <v>2039</v>
      </c>
      <c r="B662" t="str">
        <f>IF(ISBLANK(GlobBerMedDisc!$AD$13),"",GlobBerMedDisc!$AD$13)</f>
        <v/>
      </c>
      <c r="C662" s="44"/>
      <c r="D662" s="151" t="str">
        <f t="shared" si="10"/>
        <v>_Glob_MedDisc_Opm_12##</v>
      </c>
    </row>
    <row r="663" spans="1:6" x14ac:dyDescent="0.2">
      <c r="A663" s="151" t="s">
        <v>2040</v>
      </c>
      <c r="B663" t="str">
        <f>IF(ISBLANK(GlobBerMedDisc!$AD$14),"",GlobBerMedDisc!$AD$14)</f>
        <v/>
      </c>
      <c r="C663" s="44"/>
      <c r="D663" s="151" t="str">
        <f t="shared" si="10"/>
        <v>_Glob_MedDisc_Opm_13##</v>
      </c>
      <c r="F663" s="151"/>
    </row>
    <row r="664" spans="1:6" x14ac:dyDescent="0.2">
      <c r="A664" s="151" t="s">
        <v>2041</v>
      </c>
      <c r="B664" t="str">
        <f>IF(ISBLANK(GlobBerMedDisc!$AD$15),"",GlobBerMedDisc!$AD$15)</f>
        <v/>
      </c>
      <c r="C664" s="44"/>
      <c r="D664" s="151" t="str">
        <f t="shared" si="10"/>
        <v>_Glob_MedDisc_Opm_14##</v>
      </c>
    </row>
    <row r="665" spans="1:6" x14ac:dyDescent="0.2">
      <c r="A665" s="151" t="s">
        <v>2042</v>
      </c>
      <c r="B665" t="str">
        <f>IF(ISBLANK(GlobBerMedDisc!$AD$16),"",GlobBerMedDisc!$AD$16)</f>
        <v/>
      </c>
      <c r="C665" s="44"/>
      <c r="D665" s="151" t="str">
        <f t="shared" si="10"/>
        <v>_Glob_MedDisc_Opm_15##</v>
      </c>
    </row>
    <row r="666" spans="1:6" x14ac:dyDescent="0.2">
      <c r="A666" s="151" t="s">
        <v>2043</v>
      </c>
      <c r="B666" t="str">
        <f>IF(ISBLANK(GlobBerMedDisc!$AD$17),"",GlobBerMedDisc!$AD$17)</f>
        <v/>
      </c>
      <c r="C666" s="44"/>
      <c r="D666" s="151" t="str">
        <f t="shared" si="10"/>
        <v>_Glob_MedDisc_Opm_16##</v>
      </c>
    </row>
    <row r="667" spans="1:6" x14ac:dyDescent="0.2">
      <c r="A667" s="151" t="s">
        <v>2044</v>
      </c>
      <c r="B667" t="str">
        <f>IF(ISBLANK(GlobBerMedDisc!$AD$18),"",GlobBerMedDisc!$AD$18)</f>
        <v/>
      </c>
      <c r="C667" s="44"/>
      <c r="D667" s="151" t="str">
        <f t="shared" si="10"/>
        <v>_Glob_MedDisc_Opm_17##</v>
      </c>
    </row>
    <row r="668" spans="1:6" x14ac:dyDescent="0.2">
      <c r="A668" s="151" t="s">
        <v>2045</v>
      </c>
      <c r="B668" t="str">
        <f>IF(ISBLANK(GlobBerMedDisc!$AD$19),"",GlobBerMedDisc!$AD$19)</f>
        <v/>
      </c>
      <c r="C668" s="44"/>
      <c r="D668" s="151" t="str">
        <f t="shared" si="10"/>
        <v>_Glob_MedDisc_Opm_18##</v>
      </c>
    </row>
    <row r="669" spans="1:6" x14ac:dyDescent="0.2">
      <c r="A669" s="151" t="s">
        <v>2046</v>
      </c>
      <c r="B669" t="str">
        <f>IF(ISBLANK(GlobBerMedDisc!$AD$20),"",GlobBerMedDisc!$AD$20)</f>
        <v/>
      </c>
      <c r="C669" s="44"/>
      <c r="D669" s="151" t="str">
        <f t="shared" si="10"/>
        <v>_Glob_MedDisc_Opm_19##</v>
      </c>
    </row>
    <row r="670" spans="1:6" x14ac:dyDescent="0.2">
      <c r="A670" s="151" t="s">
        <v>2047</v>
      </c>
      <c r="B670" t="str">
        <f>IF(ISBLANK(GlobBerMedDisc!$AD$21),"",GlobBerMedDisc!$AD$21)</f>
        <v/>
      </c>
      <c r="C670" s="44"/>
      <c r="D670" s="151" t="str">
        <f t="shared" si="10"/>
        <v>_Glob_MedDisc_Opm_20##</v>
      </c>
    </row>
    <row r="671" spans="1:6" x14ac:dyDescent="0.2">
      <c r="A671" s="151" t="s">
        <v>2048</v>
      </c>
      <c r="B671" t="str">
        <f>IF(ISBLANK(GlobBerMedDisc!$AD$22),"",GlobBerMedDisc!$AD$22)</f>
        <v/>
      </c>
      <c r="C671" s="44"/>
      <c r="D671" s="151" t="str">
        <f t="shared" si="10"/>
        <v>_Glob_MedDisc_Opm_21##</v>
      </c>
    </row>
    <row r="672" spans="1:6" x14ac:dyDescent="0.2">
      <c r="A672" s="151" t="s">
        <v>2049</v>
      </c>
      <c r="B672" t="str">
        <f>IF(ISBLANK(GlobBerMedDisc!$AD$23),"",GlobBerMedDisc!$AD$23)</f>
        <v/>
      </c>
      <c r="C672" s="44"/>
      <c r="D672" s="151" t="str">
        <f t="shared" si="10"/>
        <v>_Glob_MedDisc_Opm_22##</v>
      </c>
    </row>
    <row r="673" spans="1:6" x14ac:dyDescent="0.2">
      <c r="A673" s="151" t="s">
        <v>2050</v>
      </c>
      <c r="B673" t="str">
        <f>IF(ISBLANK(GlobBerMedDisc!$AD$24),"",GlobBerMedDisc!$AD$24)</f>
        <v/>
      </c>
      <c r="C673" s="44"/>
      <c r="D673" s="151" t="str">
        <f t="shared" si="10"/>
        <v>_Glob_MedDisc_Opm_23##</v>
      </c>
    </row>
    <row r="674" spans="1:6" x14ac:dyDescent="0.2">
      <c r="A674" s="151" t="s">
        <v>2051</v>
      </c>
      <c r="B674" t="str">
        <f>IF(ISBLANK(GlobBerMedDisc!$AD$25),"",GlobBerMedDisc!$AD$25)</f>
        <v/>
      </c>
      <c r="C674" s="44"/>
      <c r="D674" s="151" t="str">
        <f t="shared" si="10"/>
        <v>_Glob_MedDisc_Opm_24##</v>
      </c>
    </row>
    <row r="675" spans="1:6" x14ac:dyDescent="0.2">
      <c r="A675" s="151" t="s">
        <v>2052</v>
      </c>
      <c r="B675" t="str">
        <f>IF(ISBLANK(GlobBerMedDisc!$AD$26),"",GlobBerMedDisc!$AD$26)</f>
        <v/>
      </c>
      <c r="C675" s="44"/>
      <c r="D675" s="151" t="str">
        <f t="shared" si="10"/>
        <v>_Glob_MedDisc_Opm_25##</v>
      </c>
      <c r="F675" s="151"/>
    </row>
    <row r="676" spans="1:6" x14ac:dyDescent="0.2">
      <c r="A676" s="151" t="s">
        <v>2053</v>
      </c>
      <c r="B676" t="str">
        <f>IF(ISBLANK(GlobBerMedDisc!$AD$27),"",GlobBerMedDisc!$AD$27)</f>
        <v/>
      </c>
      <c r="C676" s="44"/>
      <c r="D676" s="151" t="str">
        <f t="shared" si="10"/>
        <v>_Glob_MedDisc_Opm_26##</v>
      </c>
    </row>
    <row r="677" spans="1:6" x14ac:dyDescent="0.2">
      <c r="A677" s="151" t="s">
        <v>2054</v>
      </c>
      <c r="B677" t="str">
        <f>IF(ISBLANK(GlobBerMedDisc!$AD$28),"",GlobBerMedDisc!$AD$28)</f>
        <v/>
      </c>
      <c r="C677" s="44"/>
      <c r="D677" s="151" t="str">
        <f t="shared" si="10"/>
        <v>_Glob_MedDisc_Opm_27##</v>
      </c>
    </row>
    <row r="678" spans="1:6" x14ac:dyDescent="0.2">
      <c r="A678" s="151" t="s">
        <v>2055</v>
      </c>
      <c r="B678" t="str">
        <f>IF(ISBLANK(GlobBerMedDisc!$AD$29),"",GlobBerMedDisc!$AD$29)</f>
        <v/>
      </c>
      <c r="C678" s="44"/>
      <c r="D678" s="151" t="str">
        <f t="shared" si="10"/>
        <v>_Glob_MedDisc_Opm_28##</v>
      </c>
    </row>
    <row r="679" spans="1:6" x14ac:dyDescent="0.2">
      <c r="A679" s="151" t="s">
        <v>2056</v>
      </c>
      <c r="B679" t="str">
        <f>IF(ISBLANK(GlobBerMedDisc!$AD$30),"",GlobBerMedDisc!$AD$30)</f>
        <v/>
      </c>
      <c r="C679" s="44"/>
      <c r="D679" s="151" t="str">
        <f t="shared" si="10"/>
        <v>_Glob_MedDisc_Opm_29##</v>
      </c>
    </row>
    <row r="680" spans="1:6" x14ac:dyDescent="0.2">
      <c r="A680" s="151" t="s">
        <v>2057</v>
      </c>
      <c r="B680" t="str">
        <f>IF(ISBLANK(GlobBerMedDisc!$AD$31),"",GlobBerMedDisc!$AD$31)</f>
        <v/>
      </c>
      <c r="C680" s="44"/>
      <c r="D680" s="151" t="str">
        <f t="shared" si="10"/>
        <v>_Glob_MedDisc_Opm_30##</v>
      </c>
    </row>
    <row r="681" spans="1:6" s="151" customFormat="1" x14ac:dyDescent="0.2">
      <c r="A681" s="151" t="s">
        <v>7539</v>
      </c>
      <c r="B681" s="151" t="b">
        <f>IF(ISBLANK(GlobBerMedDisc!$BQ$2),"",GlobBerMedDisc!$BQ$2)</f>
        <v>0</v>
      </c>
      <c r="C681" s="44" t="b">
        <v>0</v>
      </c>
      <c r="D681" s="151" t="str">
        <f t="shared" si="10"/>
        <v>_Glob_MedDisc_PerDose_01##ONWAAR</v>
      </c>
    </row>
    <row r="682" spans="1:6" s="151" customFormat="1" x14ac:dyDescent="0.2">
      <c r="A682" s="151" t="s">
        <v>7541</v>
      </c>
      <c r="B682" s="151" t="b">
        <f>IF(ISBLANK(GlobBerMedDisc!$BQ$3),"",GlobBerMedDisc!$BQ$3)</f>
        <v>0</v>
      </c>
      <c r="C682" s="44" t="b">
        <v>0</v>
      </c>
      <c r="D682" s="151" t="str">
        <f t="shared" si="10"/>
        <v>_Glob_MedDisc_PerDose_02##ONWAAR</v>
      </c>
    </row>
    <row r="683" spans="1:6" s="151" customFormat="1" x14ac:dyDescent="0.2">
      <c r="A683" s="151" t="s">
        <v>7543</v>
      </c>
      <c r="B683" s="151" t="b">
        <f>IF(ISBLANK(GlobBerMedDisc!$BQ$4),"",GlobBerMedDisc!$BQ$4)</f>
        <v>0</v>
      </c>
      <c r="C683" s="44" t="b">
        <v>0</v>
      </c>
      <c r="D683" s="151" t="str">
        <f t="shared" si="10"/>
        <v>_Glob_MedDisc_PerDose_03##ONWAAR</v>
      </c>
    </row>
    <row r="684" spans="1:6" s="151" customFormat="1" x14ac:dyDescent="0.2">
      <c r="A684" s="151" t="s">
        <v>7545</v>
      </c>
      <c r="B684" s="151" t="b">
        <f>IF(ISBLANK(GlobBerMedDisc!$BQ$5),"",GlobBerMedDisc!$BQ$5)</f>
        <v>0</v>
      </c>
      <c r="C684" s="44" t="b">
        <v>0</v>
      </c>
      <c r="D684" s="151" t="str">
        <f t="shared" si="10"/>
        <v>_Glob_MedDisc_PerDose_04##ONWAAR</v>
      </c>
    </row>
    <row r="685" spans="1:6" s="151" customFormat="1" x14ac:dyDescent="0.2">
      <c r="A685" s="151" t="s">
        <v>7547</v>
      </c>
      <c r="B685" s="151" t="b">
        <f>IF(ISBLANK(GlobBerMedDisc!$BQ$6),"",GlobBerMedDisc!$BQ$6)</f>
        <v>0</v>
      </c>
      <c r="C685" s="44" t="b">
        <v>0</v>
      </c>
      <c r="D685" s="151" t="str">
        <f t="shared" si="10"/>
        <v>_Glob_MedDisc_PerDose_05##ONWAAR</v>
      </c>
    </row>
    <row r="686" spans="1:6" s="151" customFormat="1" x14ac:dyDescent="0.2">
      <c r="A686" s="151" t="s">
        <v>7549</v>
      </c>
      <c r="B686" s="151" t="b">
        <f>IF(ISBLANK(GlobBerMedDisc!$BQ$7),"",GlobBerMedDisc!$BQ$7)</f>
        <v>0</v>
      </c>
      <c r="C686" s="44" t="b">
        <v>0</v>
      </c>
      <c r="D686" s="151" t="str">
        <f t="shared" si="10"/>
        <v>_Glob_MedDisc_PerDose_06##ONWAAR</v>
      </c>
    </row>
    <row r="687" spans="1:6" s="151" customFormat="1" x14ac:dyDescent="0.2">
      <c r="A687" s="151" t="s">
        <v>7551</v>
      </c>
      <c r="B687" s="151" t="b">
        <f>IF(ISBLANK(GlobBerMedDisc!$BQ$8),"",GlobBerMedDisc!$BQ$8)</f>
        <v>0</v>
      </c>
      <c r="C687" s="44" t="b">
        <v>0</v>
      </c>
      <c r="D687" s="151" t="str">
        <f t="shared" si="10"/>
        <v>_Glob_MedDisc_PerDose_07##ONWAAR</v>
      </c>
    </row>
    <row r="688" spans="1:6" s="151" customFormat="1" x14ac:dyDescent="0.2">
      <c r="A688" s="151" t="s">
        <v>7553</v>
      </c>
      <c r="B688" s="151" t="b">
        <f>IF(ISBLANK(GlobBerMedDisc!$BQ$9),"",GlobBerMedDisc!$BQ$9)</f>
        <v>0</v>
      </c>
      <c r="C688" s="44" t="b">
        <v>0</v>
      </c>
      <c r="D688" s="151" t="str">
        <f t="shared" si="10"/>
        <v>_Glob_MedDisc_PerDose_08##ONWAAR</v>
      </c>
    </row>
    <row r="689" spans="1:4" s="151" customFormat="1" x14ac:dyDescent="0.2">
      <c r="A689" s="151" t="s">
        <v>7555</v>
      </c>
      <c r="B689" s="151" t="b">
        <f>IF(ISBLANK(GlobBerMedDisc!$BQ$10),"",GlobBerMedDisc!$BQ$10)</f>
        <v>0</v>
      </c>
      <c r="C689" s="44" t="b">
        <v>0</v>
      </c>
      <c r="D689" s="151" t="str">
        <f t="shared" si="10"/>
        <v>_Glob_MedDisc_PerDose_09##ONWAAR</v>
      </c>
    </row>
    <row r="690" spans="1:4" s="151" customFormat="1" x14ac:dyDescent="0.2">
      <c r="A690" s="151" t="s">
        <v>7557</v>
      </c>
      <c r="B690" s="151" t="b">
        <f>IF(ISBLANK(GlobBerMedDisc!$BQ$11),"",GlobBerMedDisc!$BQ$11)</f>
        <v>0</v>
      </c>
      <c r="C690" s="44" t="b">
        <v>0</v>
      </c>
      <c r="D690" s="151" t="str">
        <f t="shared" si="10"/>
        <v>_Glob_MedDisc_PerDose_10##ONWAAR</v>
      </c>
    </row>
    <row r="691" spans="1:4" s="151" customFormat="1" x14ac:dyDescent="0.2">
      <c r="A691" s="151" t="s">
        <v>7559</v>
      </c>
      <c r="B691" s="151" t="b">
        <f>IF(ISBLANK(GlobBerMedDisc!$BQ$12),"",GlobBerMedDisc!$BQ$12)</f>
        <v>0</v>
      </c>
      <c r="C691" s="44" t="b">
        <v>0</v>
      </c>
      <c r="D691" s="151" t="str">
        <f t="shared" si="10"/>
        <v>_Glob_MedDisc_PerDose_11##ONWAAR</v>
      </c>
    </row>
    <row r="692" spans="1:4" s="151" customFormat="1" x14ac:dyDescent="0.2">
      <c r="A692" s="151" t="s">
        <v>7561</v>
      </c>
      <c r="B692" s="151" t="b">
        <f>IF(ISBLANK(GlobBerMedDisc!$BQ$13),"",GlobBerMedDisc!$BQ$13)</f>
        <v>0</v>
      </c>
      <c r="C692" s="44" t="b">
        <v>0</v>
      </c>
      <c r="D692" s="151" t="str">
        <f t="shared" si="10"/>
        <v>_Glob_MedDisc_PerDose_12##ONWAAR</v>
      </c>
    </row>
    <row r="693" spans="1:4" s="151" customFormat="1" x14ac:dyDescent="0.2">
      <c r="A693" s="151" t="s">
        <v>7563</v>
      </c>
      <c r="B693" s="151" t="b">
        <f>IF(ISBLANK(GlobBerMedDisc!$BQ$14),"",GlobBerMedDisc!$BQ$14)</f>
        <v>0</v>
      </c>
      <c r="C693" s="44" t="b">
        <v>0</v>
      </c>
      <c r="D693" s="151" t="str">
        <f t="shared" si="10"/>
        <v>_Glob_MedDisc_PerDose_13##ONWAAR</v>
      </c>
    </row>
    <row r="694" spans="1:4" s="151" customFormat="1" x14ac:dyDescent="0.2">
      <c r="A694" s="151" t="s">
        <v>7565</v>
      </c>
      <c r="B694" s="151" t="b">
        <f>IF(ISBLANK(GlobBerMedDisc!$BQ$15),"",GlobBerMedDisc!$BQ$15)</f>
        <v>0</v>
      </c>
      <c r="C694" s="44" t="b">
        <v>0</v>
      </c>
      <c r="D694" s="151" t="str">
        <f t="shared" si="10"/>
        <v>_Glob_MedDisc_PerDose_14##ONWAAR</v>
      </c>
    </row>
    <row r="695" spans="1:4" s="151" customFormat="1" x14ac:dyDescent="0.2">
      <c r="A695" s="151" t="s">
        <v>7567</v>
      </c>
      <c r="B695" s="151" t="b">
        <f>IF(ISBLANK(GlobBerMedDisc!$BQ$16),"",GlobBerMedDisc!$BQ$16)</f>
        <v>0</v>
      </c>
      <c r="C695" s="44" t="b">
        <v>0</v>
      </c>
      <c r="D695" s="151" t="str">
        <f t="shared" si="10"/>
        <v>_Glob_MedDisc_PerDose_15##ONWAAR</v>
      </c>
    </row>
    <row r="696" spans="1:4" s="151" customFormat="1" x14ac:dyDescent="0.2">
      <c r="A696" s="151" t="s">
        <v>7569</v>
      </c>
      <c r="B696" s="151" t="b">
        <f>IF(ISBLANK(GlobBerMedDisc!$BQ$17),"",GlobBerMedDisc!$BQ$17)</f>
        <v>0</v>
      </c>
      <c r="C696" s="44" t="b">
        <v>0</v>
      </c>
      <c r="D696" s="151" t="str">
        <f t="shared" si="10"/>
        <v>_Glob_MedDisc_PerDose_16##ONWAAR</v>
      </c>
    </row>
    <row r="697" spans="1:4" s="151" customFormat="1" x14ac:dyDescent="0.2">
      <c r="A697" s="151" t="s">
        <v>7571</v>
      </c>
      <c r="B697" s="151" t="b">
        <f>IF(ISBLANK(GlobBerMedDisc!$BQ$18),"",GlobBerMedDisc!$BQ$18)</f>
        <v>0</v>
      </c>
      <c r="C697" s="44" t="b">
        <v>0</v>
      </c>
      <c r="D697" s="151" t="str">
        <f t="shared" si="10"/>
        <v>_Glob_MedDisc_PerDose_17##ONWAAR</v>
      </c>
    </row>
    <row r="698" spans="1:4" s="151" customFormat="1" x14ac:dyDescent="0.2">
      <c r="A698" s="151" t="s">
        <v>7573</v>
      </c>
      <c r="B698" s="151" t="b">
        <f>IF(ISBLANK(GlobBerMedDisc!$BQ$19),"",GlobBerMedDisc!$BQ$19)</f>
        <v>0</v>
      </c>
      <c r="C698" s="44" t="b">
        <v>0</v>
      </c>
      <c r="D698" s="151" t="str">
        <f t="shared" si="10"/>
        <v>_Glob_MedDisc_PerDose_18##ONWAAR</v>
      </c>
    </row>
    <row r="699" spans="1:4" s="151" customFormat="1" x14ac:dyDescent="0.2">
      <c r="A699" s="151" t="s">
        <v>7575</v>
      </c>
      <c r="B699" s="151" t="b">
        <f>IF(ISBLANK(GlobBerMedDisc!$BQ$20),"",GlobBerMedDisc!$BQ$20)</f>
        <v>0</v>
      </c>
      <c r="C699" s="44" t="b">
        <v>0</v>
      </c>
      <c r="D699" s="151" t="str">
        <f t="shared" si="10"/>
        <v>_Glob_MedDisc_PerDose_19##ONWAAR</v>
      </c>
    </row>
    <row r="700" spans="1:4" s="151" customFormat="1" x14ac:dyDescent="0.2">
      <c r="A700" s="151" t="s">
        <v>7577</v>
      </c>
      <c r="B700" s="151" t="b">
        <f>IF(ISBLANK(GlobBerMedDisc!$BQ$21),"",GlobBerMedDisc!$BQ$21)</f>
        <v>0</v>
      </c>
      <c r="C700" s="44" t="b">
        <v>0</v>
      </c>
      <c r="D700" s="151" t="str">
        <f t="shared" si="10"/>
        <v>_Glob_MedDisc_PerDose_20##ONWAAR</v>
      </c>
    </row>
    <row r="701" spans="1:4" s="151" customFormat="1" x14ac:dyDescent="0.2">
      <c r="A701" s="151" t="s">
        <v>7579</v>
      </c>
      <c r="B701" s="151" t="b">
        <f>IF(ISBLANK(GlobBerMedDisc!$BQ$22),"",GlobBerMedDisc!$BQ$22)</f>
        <v>0</v>
      </c>
      <c r="C701" s="44" t="b">
        <v>0</v>
      </c>
      <c r="D701" s="151" t="str">
        <f t="shared" si="10"/>
        <v>_Glob_MedDisc_PerDose_21##ONWAAR</v>
      </c>
    </row>
    <row r="702" spans="1:4" s="151" customFormat="1" x14ac:dyDescent="0.2">
      <c r="A702" s="151" t="s">
        <v>7581</v>
      </c>
      <c r="B702" s="151" t="b">
        <f>IF(ISBLANK(GlobBerMedDisc!$BQ$23),"",GlobBerMedDisc!$BQ$23)</f>
        <v>0</v>
      </c>
      <c r="C702" s="44" t="b">
        <v>0</v>
      </c>
      <c r="D702" s="151" t="str">
        <f t="shared" si="10"/>
        <v>_Glob_MedDisc_PerDose_22##ONWAAR</v>
      </c>
    </row>
    <row r="703" spans="1:4" s="151" customFormat="1" x14ac:dyDescent="0.2">
      <c r="A703" s="151" t="s">
        <v>7583</v>
      </c>
      <c r="B703" s="151" t="b">
        <f>IF(ISBLANK(GlobBerMedDisc!$BQ$24),"",GlobBerMedDisc!$BQ$24)</f>
        <v>0</v>
      </c>
      <c r="C703" s="44" t="b">
        <v>0</v>
      </c>
      <c r="D703" s="151" t="str">
        <f t="shared" si="10"/>
        <v>_Glob_MedDisc_PerDose_23##ONWAAR</v>
      </c>
    </row>
    <row r="704" spans="1:4" s="151" customFormat="1" x14ac:dyDescent="0.2">
      <c r="A704" s="151" t="s">
        <v>7585</v>
      </c>
      <c r="B704" s="151" t="b">
        <f>IF(ISBLANK(GlobBerMedDisc!$BQ$25),"",GlobBerMedDisc!$BQ$25)</f>
        <v>0</v>
      </c>
      <c r="C704" s="44" t="b">
        <v>0</v>
      </c>
      <c r="D704" s="151" t="str">
        <f t="shared" si="10"/>
        <v>_Glob_MedDisc_PerDose_24##ONWAAR</v>
      </c>
    </row>
    <row r="705" spans="1:4" s="151" customFormat="1" x14ac:dyDescent="0.2">
      <c r="A705" s="151" t="s">
        <v>7587</v>
      </c>
      <c r="B705" s="151" t="b">
        <f>IF(ISBLANK(GlobBerMedDisc!$BQ$26),"",GlobBerMedDisc!$BQ$26)</f>
        <v>0</v>
      </c>
      <c r="C705" s="44" t="b">
        <v>0</v>
      </c>
      <c r="D705" s="151" t="str">
        <f t="shared" si="10"/>
        <v>_Glob_MedDisc_PerDose_25##ONWAAR</v>
      </c>
    </row>
    <row r="706" spans="1:4" s="151" customFormat="1" x14ac:dyDescent="0.2">
      <c r="A706" s="151" t="s">
        <v>7589</v>
      </c>
      <c r="B706" s="151" t="b">
        <f>IF(ISBLANK(GlobBerMedDisc!$BQ$27),"",GlobBerMedDisc!$BQ$27)</f>
        <v>0</v>
      </c>
      <c r="C706" s="44" t="b">
        <v>0</v>
      </c>
      <c r="D706" s="151" t="str">
        <f t="shared" si="10"/>
        <v>_Glob_MedDisc_PerDose_26##ONWAAR</v>
      </c>
    </row>
    <row r="707" spans="1:4" s="151" customFormat="1" x14ac:dyDescent="0.2">
      <c r="A707" s="151" t="s">
        <v>7591</v>
      </c>
      <c r="B707" s="151" t="b">
        <f>IF(ISBLANK(GlobBerMedDisc!$BQ$28),"",GlobBerMedDisc!$BQ$28)</f>
        <v>0</v>
      </c>
      <c r="C707" s="44" t="b">
        <v>0</v>
      </c>
      <c r="D707" s="151" t="str">
        <f t="shared" ref="D707:D770" si="11">A707&amp;"##"&amp;B707</f>
        <v>_Glob_MedDisc_PerDose_27##ONWAAR</v>
      </c>
    </row>
    <row r="708" spans="1:4" s="151" customFormat="1" x14ac:dyDescent="0.2">
      <c r="A708" s="151" t="s">
        <v>7593</v>
      </c>
      <c r="B708" s="151" t="b">
        <f>IF(ISBLANK(GlobBerMedDisc!$BQ$29),"",GlobBerMedDisc!$BQ$29)</f>
        <v>0</v>
      </c>
      <c r="C708" s="44" t="b">
        <v>0</v>
      </c>
      <c r="D708" s="151" t="str">
        <f t="shared" si="11"/>
        <v>_Glob_MedDisc_PerDose_28##ONWAAR</v>
      </c>
    </row>
    <row r="709" spans="1:4" s="151" customFormat="1" x14ac:dyDescent="0.2">
      <c r="A709" s="151" t="s">
        <v>7595</v>
      </c>
      <c r="B709" s="151" t="b">
        <f>IF(ISBLANK(GlobBerMedDisc!$BQ$30),"",GlobBerMedDisc!$BQ$30)</f>
        <v>0</v>
      </c>
      <c r="C709" s="44" t="b">
        <v>0</v>
      </c>
      <c r="D709" s="151" t="str">
        <f t="shared" si="11"/>
        <v>_Glob_MedDisc_PerDose_29##ONWAAR</v>
      </c>
    </row>
    <row r="710" spans="1:4" s="151" customFormat="1" x14ac:dyDescent="0.2">
      <c r="A710" s="151" t="s">
        <v>7597</v>
      </c>
      <c r="B710" s="151" t="b">
        <f>IF(ISBLANK(GlobBerMedDisc!$BQ$31),"",GlobBerMedDisc!$BQ$31)</f>
        <v>0</v>
      </c>
      <c r="C710" s="44" t="b">
        <v>0</v>
      </c>
      <c r="D710" s="151" t="str">
        <f t="shared" si="11"/>
        <v>_Glob_MedDisc_PerDose_30##ONWAAR</v>
      </c>
    </row>
    <row r="711" spans="1:4" s="151" customFormat="1" x14ac:dyDescent="0.2">
      <c r="A711" s="151" t="s">
        <v>7684</v>
      </c>
      <c r="B711" s="151" t="b">
        <f>IF(ISBLANK(GlobBerMedDisc!$BR$2),"",GlobBerMedDisc!$BR$2)</f>
        <v>1</v>
      </c>
      <c r="C711" s="289" t="b">
        <v>1</v>
      </c>
      <c r="D711" s="151" t="str">
        <f t="shared" si="11"/>
        <v>_Glob_MedDisc_PerKg_01##WAAR</v>
      </c>
    </row>
    <row r="712" spans="1:4" s="151" customFormat="1" x14ac:dyDescent="0.2">
      <c r="A712" s="151" t="s">
        <v>7686</v>
      </c>
      <c r="B712" s="151" t="b">
        <f>IF(ISBLANK(GlobBerMedDisc!$BR$3),"",GlobBerMedDisc!$BR$3)</f>
        <v>1</v>
      </c>
      <c r="C712" s="289" t="b">
        <v>1</v>
      </c>
      <c r="D712" s="151" t="str">
        <f t="shared" si="11"/>
        <v>_Glob_MedDisc_PerKg_02##WAAR</v>
      </c>
    </row>
    <row r="713" spans="1:4" s="151" customFormat="1" x14ac:dyDescent="0.2">
      <c r="A713" s="151" t="s">
        <v>7688</v>
      </c>
      <c r="B713" s="151" t="b">
        <f>IF(ISBLANK(GlobBerMedDisc!$BR$4),"",GlobBerMedDisc!$BR$4)</f>
        <v>1</v>
      </c>
      <c r="C713" s="289" t="b">
        <v>1</v>
      </c>
      <c r="D713" s="151" t="str">
        <f t="shared" si="11"/>
        <v>_Glob_MedDisc_PerKg_03##WAAR</v>
      </c>
    </row>
    <row r="714" spans="1:4" s="151" customFormat="1" x14ac:dyDescent="0.2">
      <c r="A714" s="151" t="s">
        <v>7690</v>
      </c>
      <c r="B714" s="151" t="b">
        <f>IF(ISBLANK(GlobBerMedDisc!$BR$5),"",GlobBerMedDisc!$BR$5)</f>
        <v>1</v>
      </c>
      <c r="C714" s="289" t="b">
        <v>1</v>
      </c>
      <c r="D714" s="151" t="str">
        <f t="shared" si="11"/>
        <v>_Glob_MedDisc_PerKg_04##WAAR</v>
      </c>
    </row>
    <row r="715" spans="1:4" s="151" customFormat="1" x14ac:dyDescent="0.2">
      <c r="A715" s="151" t="s">
        <v>7692</v>
      </c>
      <c r="B715" s="151" t="b">
        <f>IF(ISBLANK(GlobBerMedDisc!$BR$6),"",GlobBerMedDisc!$BR$6)</f>
        <v>1</v>
      </c>
      <c r="C715" s="289" t="b">
        <v>1</v>
      </c>
      <c r="D715" s="151" t="str">
        <f t="shared" si="11"/>
        <v>_Glob_MedDisc_PerKg_05##WAAR</v>
      </c>
    </row>
    <row r="716" spans="1:4" s="151" customFormat="1" x14ac:dyDescent="0.2">
      <c r="A716" s="151" t="s">
        <v>7694</v>
      </c>
      <c r="B716" s="151" t="b">
        <f>IF(ISBLANK(GlobBerMedDisc!$BR$7),"",GlobBerMedDisc!$BR$7)</f>
        <v>1</v>
      </c>
      <c r="C716" s="289" t="b">
        <v>1</v>
      </c>
      <c r="D716" s="151" t="str">
        <f t="shared" si="11"/>
        <v>_Glob_MedDisc_PerKg_06##WAAR</v>
      </c>
    </row>
    <row r="717" spans="1:4" s="151" customFormat="1" x14ac:dyDescent="0.2">
      <c r="A717" s="151" t="s">
        <v>7696</v>
      </c>
      <c r="B717" s="151" t="b">
        <f>IF(ISBLANK(GlobBerMedDisc!$BR$8),"",GlobBerMedDisc!$BR$8)</f>
        <v>1</v>
      </c>
      <c r="C717" s="289" t="b">
        <v>1</v>
      </c>
      <c r="D717" s="151" t="str">
        <f t="shared" si="11"/>
        <v>_Glob_MedDisc_PerKg_07##WAAR</v>
      </c>
    </row>
    <row r="718" spans="1:4" s="151" customFormat="1" x14ac:dyDescent="0.2">
      <c r="A718" s="151" t="s">
        <v>7698</v>
      </c>
      <c r="B718" s="151" t="b">
        <f>IF(ISBLANK(GlobBerMedDisc!$BR$9),"",GlobBerMedDisc!$BR$9)</f>
        <v>1</v>
      </c>
      <c r="C718" s="289" t="b">
        <v>1</v>
      </c>
      <c r="D718" s="151" t="str">
        <f t="shared" si="11"/>
        <v>_Glob_MedDisc_PerKg_08##WAAR</v>
      </c>
    </row>
    <row r="719" spans="1:4" s="151" customFormat="1" x14ac:dyDescent="0.2">
      <c r="A719" s="151" t="s">
        <v>7700</v>
      </c>
      <c r="B719" s="151" t="b">
        <f>IF(ISBLANK(GlobBerMedDisc!$BR$10),"",GlobBerMedDisc!$BR$10)</f>
        <v>1</v>
      </c>
      <c r="C719" s="289" t="b">
        <v>1</v>
      </c>
      <c r="D719" s="151" t="str">
        <f t="shared" si="11"/>
        <v>_Glob_MedDisc_PerKg_09##WAAR</v>
      </c>
    </row>
    <row r="720" spans="1:4" s="151" customFormat="1" x14ac:dyDescent="0.2">
      <c r="A720" s="151" t="s">
        <v>7702</v>
      </c>
      <c r="B720" s="151" t="b">
        <f>IF(ISBLANK(GlobBerMedDisc!$BR$11),"",GlobBerMedDisc!$BR$11)</f>
        <v>1</v>
      </c>
      <c r="C720" s="289" t="b">
        <v>1</v>
      </c>
      <c r="D720" s="151" t="str">
        <f t="shared" si="11"/>
        <v>_Glob_MedDisc_PerKg_10##WAAR</v>
      </c>
    </row>
    <row r="721" spans="1:4" s="151" customFormat="1" x14ac:dyDescent="0.2">
      <c r="A721" s="151" t="s">
        <v>7704</v>
      </c>
      <c r="B721" s="151" t="b">
        <f>IF(ISBLANK(GlobBerMedDisc!$BR$12),"",GlobBerMedDisc!$BR$12)</f>
        <v>1</v>
      </c>
      <c r="C721" s="289" t="b">
        <v>1</v>
      </c>
      <c r="D721" s="151" t="str">
        <f t="shared" si="11"/>
        <v>_Glob_MedDisc_PerKg_11##WAAR</v>
      </c>
    </row>
    <row r="722" spans="1:4" s="151" customFormat="1" x14ac:dyDescent="0.2">
      <c r="A722" s="151" t="s">
        <v>7706</v>
      </c>
      <c r="B722" s="151" t="b">
        <f>IF(ISBLANK(GlobBerMedDisc!$BR$13),"",GlobBerMedDisc!$BR$13)</f>
        <v>1</v>
      </c>
      <c r="C722" s="289" t="b">
        <v>1</v>
      </c>
      <c r="D722" s="151" t="str">
        <f t="shared" si="11"/>
        <v>_Glob_MedDisc_PerKg_12##WAAR</v>
      </c>
    </row>
    <row r="723" spans="1:4" s="151" customFormat="1" x14ac:dyDescent="0.2">
      <c r="A723" s="151" t="s">
        <v>7708</v>
      </c>
      <c r="B723" s="151" t="b">
        <f>IF(ISBLANK(GlobBerMedDisc!$BR$14),"",GlobBerMedDisc!$BR$14)</f>
        <v>1</v>
      </c>
      <c r="C723" s="289" t="b">
        <v>1</v>
      </c>
      <c r="D723" s="151" t="str">
        <f t="shared" si="11"/>
        <v>_Glob_MedDisc_PerKg_13##WAAR</v>
      </c>
    </row>
    <row r="724" spans="1:4" s="151" customFormat="1" x14ac:dyDescent="0.2">
      <c r="A724" s="151" t="s">
        <v>7710</v>
      </c>
      <c r="B724" s="151" t="b">
        <f>IF(ISBLANK(GlobBerMedDisc!$BR$15),"",GlobBerMedDisc!$BR$15)</f>
        <v>1</v>
      </c>
      <c r="C724" s="289" t="b">
        <v>1</v>
      </c>
      <c r="D724" s="151" t="str">
        <f t="shared" si="11"/>
        <v>_Glob_MedDisc_PerKg_14##WAAR</v>
      </c>
    </row>
    <row r="725" spans="1:4" s="151" customFormat="1" x14ac:dyDescent="0.2">
      <c r="A725" s="151" t="s">
        <v>7712</v>
      </c>
      <c r="B725" s="151" t="b">
        <f>IF(ISBLANK(GlobBerMedDisc!$BR$16),"",GlobBerMedDisc!$BR$16)</f>
        <v>1</v>
      </c>
      <c r="C725" s="289" t="b">
        <v>1</v>
      </c>
      <c r="D725" s="151" t="str">
        <f t="shared" si="11"/>
        <v>_Glob_MedDisc_PerKg_15##WAAR</v>
      </c>
    </row>
    <row r="726" spans="1:4" s="151" customFormat="1" x14ac:dyDescent="0.2">
      <c r="A726" s="151" t="s">
        <v>7714</v>
      </c>
      <c r="B726" s="151" t="b">
        <f>IF(ISBLANK(GlobBerMedDisc!$BR$17),"",GlobBerMedDisc!$BR$17)</f>
        <v>1</v>
      </c>
      <c r="C726" s="289" t="b">
        <v>1</v>
      </c>
      <c r="D726" s="151" t="str">
        <f t="shared" si="11"/>
        <v>_Glob_MedDisc_PerKg_16##WAAR</v>
      </c>
    </row>
    <row r="727" spans="1:4" s="151" customFormat="1" x14ac:dyDescent="0.2">
      <c r="A727" s="151" t="s">
        <v>7716</v>
      </c>
      <c r="B727" s="151" t="b">
        <f>IF(ISBLANK(GlobBerMedDisc!$BR$18),"",GlobBerMedDisc!$BR$18)</f>
        <v>1</v>
      </c>
      <c r="C727" s="289" t="b">
        <v>1</v>
      </c>
      <c r="D727" s="151" t="str">
        <f t="shared" si="11"/>
        <v>_Glob_MedDisc_PerKg_17##WAAR</v>
      </c>
    </row>
    <row r="728" spans="1:4" s="151" customFormat="1" x14ac:dyDescent="0.2">
      <c r="A728" s="151" t="s">
        <v>7718</v>
      </c>
      <c r="B728" s="151" t="b">
        <f>IF(ISBLANK(GlobBerMedDisc!$BR$19),"",GlobBerMedDisc!$BR$19)</f>
        <v>1</v>
      </c>
      <c r="C728" s="289" t="b">
        <v>1</v>
      </c>
      <c r="D728" s="151" t="str">
        <f t="shared" si="11"/>
        <v>_Glob_MedDisc_PerKg_18##WAAR</v>
      </c>
    </row>
    <row r="729" spans="1:4" s="151" customFormat="1" x14ac:dyDescent="0.2">
      <c r="A729" s="151" t="s">
        <v>7720</v>
      </c>
      <c r="B729" s="151" t="b">
        <f>IF(ISBLANK(GlobBerMedDisc!$BR$20),"",GlobBerMedDisc!$BR$20)</f>
        <v>1</v>
      </c>
      <c r="C729" s="289" t="b">
        <v>1</v>
      </c>
      <c r="D729" s="151" t="str">
        <f t="shared" si="11"/>
        <v>_Glob_MedDisc_PerKg_19##WAAR</v>
      </c>
    </row>
    <row r="730" spans="1:4" s="151" customFormat="1" x14ac:dyDescent="0.2">
      <c r="A730" s="151" t="s">
        <v>7722</v>
      </c>
      <c r="B730" s="151" t="b">
        <f>IF(ISBLANK(GlobBerMedDisc!$BR$21),"",GlobBerMedDisc!$BR$21)</f>
        <v>1</v>
      </c>
      <c r="C730" s="289" t="b">
        <v>1</v>
      </c>
      <c r="D730" s="151" t="str">
        <f t="shared" si="11"/>
        <v>_Glob_MedDisc_PerKg_20##WAAR</v>
      </c>
    </row>
    <row r="731" spans="1:4" s="151" customFormat="1" x14ac:dyDescent="0.2">
      <c r="A731" s="151" t="s">
        <v>7724</v>
      </c>
      <c r="B731" s="151" t="b">
        <f>IF(ISBLANK(GlobBerMedDisc!$BR$22),"",GlobBerMedDisc!$BR$22)</f>
        <v>1</v>
      </c>
      <c r="C731" s="289" t="b">
        <v>1</v>
      </c>
      <c r="D731" s="151" t="str">
        <f t="shared" si="11"/>
        <v>_Glob_MedDisc_PerKg_21##WAAR</v>
      </c>
    </row>
    <row r="732" spans="1:4" s="151" customFormat="1" x14ac:dyDescent="0.2">
      <c r="A732" s="151" t="s">
        <v>7726</v>
      </c>
      <c r="B732" s="151" t="b">
        <f>IF(ISBLANK(GlobBerMedDisc!$BR$23),"",GlobBerMedDisc!$BR$23)</f>
        <v>1</v>
      </c>
      <c r="C732" s="289" t="b">
        <v>1</v>
      </c>
      <c r="D732" s="151" t="str">
        <f t="shared" si="11"/>
        <v>_Glob_MedDisc_PerKg_22##WAAR</v>
      </c>
    </row>
    <row r="733" spans="1:4" s="151" customFormat="1" x14ac:dyDescent="0.2">
      <c r="A733" s="151" t="s">
        <v>7728</v>
      </c>
      <c r="B733" s="151" t="b">
        <f>IF(ISBLANK(GlobBerMedDisc!$BR$24),"",GlobBerMedDisc!$BR$24)</f>
        <v>1</v>
      </c>
      <c r="C733" s="289" t="b">
        <v>1</v>
      </c>
      <c r="D733" s="151" t="str">
        <f t="shared" si="11"/>
        <v>_Glob_MedDisc_PerKg_23##WAAR</v>
      </c>
    </row>
    <row r="734" spans="1:4" s="151" customFormat="1" x14ac:dyDescent="0.2">
      <c r="A734" s="151" t="s">
        <v>7730</v>
      </c>
      <c r="B734" s="151" t="b">
        <f>IF(ISBLANK(GlobBerMedDisc!$BR$25),"",GlobBerMedDisc!$BR$25)</f>
        <v>1</v>
      </c>
      <c r="C734" s="289" t="b">
        <v>1</v>
      </c>
      <c r="D734" s="151" t="str">
        <f t="shared" si="11"/>
        <v>_Glob_MedDisc_PerKg_24##WAAR</v>
      </c>
    </row>
    <row r="735" spans="1:4" s="151" customFormat="1" x14ac:dyDescent="0.2">
      <c r="A735" s="151" t="s">
        <v>7732</v>
      </c>
      <c r="B735" s="151" t="b">
        <f>IF(ISBLANK(GlobBerMedDisc!$BR$26),"",GlobBerMedDisc!$BR$26)</f>
        <v>1</v>
      </c>
      <c r="C735" s="289" t="b">
        <v>1</v>
      </c>
      <c r="D735" s="151" t="str">
        <f t="shared" si="11"/>
        <v>_Glob_MedDisc_PerKg_25##WAAR</v>
      </c>
    </row>
    <row r="736" spans="1:4" s="151" customFormat="1" x14ac:dyDescent="0.2">
      <c r="A736" s="151" t="s">
        <v>7734</v>
      </c>
      <c r="B736" s="151" t="b">
        <f>IF(ISBLANK(GlobBerMedDisc!$BR$27),"",GlobBerMedDisc!$BR$27)</f>
        <v>1</v>
      </c>
      <c r="C736" s="289" t="b">
        <v>1</v>
      </c>
      <c r="D736" s="151" t="str">
        <f t="shared" si="11"/>
        <v>_Glob_MedDisc_PerKg_26##WAAR</v>
      </c>
    </row>
    <row r="737" spans="1:4" s="151" customFormat="1" x14ac:dyDescent="0.2">
      <c r="A737" s="151" t="s">
        <v>7736</v>
      </c>
      <c r="B737" s="151" t="b">
        <f>IF(ISBLANK(GlobBerMedDisc!$BR$28),"",GlobBerMedDisc!$BR$28)</f>
        <v>1</v>
      </c>
      <c r="C737" s="289" t="b">
        <v>1</v>
      </c>
      <c r="D737" s="151" t="str">
        <f t="shared" si="11"/>
        <v>_Glob_MedDisc_PerKg_27##WAAR</v>
      </c>
    </row>
    <row r="738" spans="1:4" s="151" customFormat="1" x14ac:dyDescent="0.2">
      <c r="A738" s="151" t="s">
        <v>7738</v>
      </c>
      <c r="B738" s="151" t="b">
        <f>IF(ISBLANK(GlobBerMedDisc!$BR$29),"",GlobBerMedDisc!$BR$29)</f>
        <v>1</v>
      </c>
      <c r="C738" s="289" t="b">
        <v>1</v>
      </c>
      <c r="D738" s="151" t="str">
        <f t="shared" si="11"/>
        <v>_Glob_MedDisc_PerKg_28##WAAR</v>
      </c>
    </row>
    <row r="739" spans="1:4" s="151" customFormat="1" x14ac:dyDescent="0.2">
      <c r="A739" s="151" t="s">
        <v>7740</v>
      </c>
      <c r="B739" s="151" t="b">
        <f>IF(ISBLANK(GlobBerMedDisc!$BR$30),"",GlobBerMedDisc!$BR$30)</f>
        <v>1</v>
      </c>
      <c r="C739" s="289" t="b">
        <v>1</v>
      </c>
      <c r="D739" s="151" t="str">
        <f t="shared" si="11"/>
        <v>_Glob_MedDisc_PerKg_29##WAAR</v>
      </c>
    </row>
    <row r="740" spans="1:4" s="151" customFormat="1" x14ac:dyDescent="0.2">
      <c r="A740" s="151" t="s">
        <v>7742</v>
      </c>
      <c r="B740" s="151" t="b">
        <f>IF(ISBLANK(GlobBerMedDisc!$BR$31),"",GlobBerMedDisc!$BR$31)</f>
        <v>1</v>
      </c>
      <c r="C740" s="289" t="b">
        <v>1</v>
      </c>
      <c r="D740" s="151" t="str">
        <f t="shared" si="11"/>
        <v>_Glob_MedDisc_PerKg_30##WAAR</v>
      </c>
    </row>
    <row r="741" spans="1:4" s="151" customFormat="1" x14ac:dyDescent="0.2">
      <c r="A741" s="151" t="s">
        <v>7744</v>
      </c>
      <c r="B741" s="151" t="b">
        <f>IF(ISBLANK(GlobBerMedDisc!$BS$2),"",GlobBerMedDisc!$BS$2)</f>
        <v>0</v>
      </c>
      <c r="C741" s="44" t="b">
        <v>0</v>
      </c>
      <c r="D741" s="151" t="str">
        <f t="shared" si="11"/>
        <v>_Glob_MedDisc_PerM2_01##ONWAAR</v>
      </c>
    </row>
    <row r="742" spans="1:4" s="151" customFormat="1" x14ac:dyDescent="0.2">
      <c r="A742" s="151" t="s">
        <v>7746</v>
      </c>
      <c r="B742" s="151" t="b">
        <f>IF(ISBLANK(GlobBerMedDisc!$BS$3),"",GlobBerMedDisc!$BS$3)</f>
        <v>0</v>
      </c>
      <c r="C742" s="44" t="b">
        <v>0</v>
      </c>
      <c r="D742" s="151" t="str">
        <f t="shared" si="11"/>
        <v>_Glob_MedDisc_PerM2_02##ONWAAR</v>
      </c>
    </row>
    <row r="743" spans="1:4" s="151" customFormat="1" x14ac:dyDescent="0.2">
      <c r="A743" s="151" t="s">
        <v>7748</v>
      </c>
      <c r="B743" s="151" t="b">
        <f>IF(ISBLANK(GlobBerMedDisc!$BS$4),"",GlobBerMedDisc!$BS$4)</f>
        <v>0</v>
      </c>
      <c r="C743" s="44" t="b">
        <v>0</v>
      </c>
      <c r="D743" s="151" t="str">
        <f t="shared" si="11"/>
        <v>_Glob_MedDisc_PerM2_03##ONWAAR</v>
      </c>
    </row>
    <row r="744" spans="1:4" s="151" customFormat="1" x14ac:dyDescent="0.2">
      <c r="A744" s="151" t="s">
        <v>7750</v>
      </c>
      <c r="B744" s="151" t="b">
        <f>IF(ISBLANK(GlobBerMedDisc!$BS$5),"",GlobBerMedDisc!$BS$5)</f>
        <v>0</v>
      </c>
      <c r="C744" s="44" t="b">
        <v>0</v>
      </c>
      <c r="D744" s="151" t="str">
        <f t="shared" si="11"/>
        <v>_Glob_MedDisc_PerM2_04##ONWAAR</v>
      </c>
    </row>
    <row r="745" spans="1:4" s="151" customFormat="1" x14ac:dyDescent="0.2">
      <c r="A745" s="151" t="s">
        <v>7752</v>
      </c>
      <c r="B745" s="151" t="b">
        <f>IF(ISBLANK(GlobBerMedDisc!$BS$6),"",GlobBerMedDisc!$BS$6)</f>
        <v>0</v>
      </c>
      <c r="C745" s="44" t="b">
        <v>0</v>
      </c>
      <c r="D745" s="151" t="str">
        <f t="shared" si="11"/>
        <v>_Glob_MedDisc_PerM2_05##ONWAAR</v>
      </c>
    </row>
    <row r="746" spans="1:4" s="151" customFormat="1" x14ac:dyDescent="0.2">
      <c r="A746" s="151" t="s">
        <v>7754</v>
      </c>
      <c r="B746" s="151" t="b">
        <f>IF(ISBLANK(GlobBerMedDisc!$BS$7),"",GlobBerMedDisc!$BS$7)</f>
        <v>0</v>
      </c>
      <c r="C746" s="44" t="b">
        <v>0</v>
      </c>
      <c r="D746" s="151" t="str">
        <f t="shared" si="11"/>
        <v>_Glob_MedDisc_PerM2_06##ONWAAR</v>
      </c>
    </row>
    <row r="747" spans="1:4" s="151" customFormat="1" x14ac:dyDescent="0.2">
      <c r="A747" s="151" t="s">
        <v>7756</v>
      </c>
      <c r="B747" s="151" t="b">
        <f>IF(ISBLANK(GlobBerMedDisc!$BS$8),"",GlobBerMedDisc!$BS$8)</f>
        <v>0</v>
      </c>
      <c r="C747" s="44" t="b">
        <v>0</v>
      </c>
      <c r="D747" s="151" t="str">
        <f t="shared" si="11"/>
        <v>_Glob_MedDisc_PerM2_07##ONWAAR</v>
      </c>
    </row>
    <row r="748" spans="1:4" s="151" customFormat="1" x14ac:dyDescent="0.2">
      <c r="A748" s="151" t="s">
        <v>7758</v>
      </c>
      <c r="B748" s="151" t="b">
        <f>IF(ISBLANK(GlobBerMedDisc!$BS$9),"",GlobBerMedDisc!$BS$9)</f>
        <v>0</v>
      </c>
      <c r="C748" s="44" t="b">
        <v>0</v>
      </c>
      <c r="D748" s="151" t="str">
        <f t="shared" si="11"/>
        <v>_Glob_MedDisc_PerM2_08##ONWAAR</v>
      </c>
    </row>
    <row r="749" spans="1:4" s="151" customFormat="1" x14ac:dyDescent="0.2">
      <c r="A749" s="151" t="s">
        <v>7760</v>
      </c>
      <c r="B749" s="151" t="b">
        <f>IF(ISBLANK(GlobBerMedDisc!$BS$10),"",GlobBerMedDisc!$BS$10)</f>
        <v>0</v>
      </c>
      <c r="C749" s="44" t="b">
        <v>0</v>
      </c>
      <c r="D749" s="151" t="str">
        <f t="shared" si="11"/>
        <v>_Glob_MedDisc_PerM2_09##ONWAAR</v>
      </c>
    </row>
    <row r="750" spans="1:4" s="151" customFormat="1" x14ac:dyDescent="0.2">
      <c r="A750" s="151" t="s">
        <v>7762</v>
      </c>
      <c r="B750" s="151" t="b">
        <f>IF(ISBLANK(GlobBerMedDisc!$BS$11),"",GlobBerMedDisc!$BS$11)</f>
        <v>0</v>
      </c>
      <c r="C750" s="44" t="b">
        <v>0</v>
      </c>
      <c r="D750" s="151" t="str">
        <f t="shared" si="11"/>
        <v>_Glob_MedDisc_PerM2_10##ONWAAR</v>
      </c>
    </row>
    <row r="751" spans="1:4" s="151" customFormat="1" x14ac:dyDescent="0.2">
      <c r="A751" s="151" t="s">
        <v>7764</v>
      </c>
      <c r="B751" s="151" t="b">
        <f>IF(ISBLANK(GlobBerMedDisc!$BS$12),"",GlobBerMedDisc!$BS$12)</f>
        <v>0</v>
      </c>
      <c r="C751" s="44" t="b">
        <v>0</v>
      </c>
      <c r="D751" s="151" t="str">
        <f t="shared" si="11"/>
        <v>_Glob_MedDisc_PerM2_11##ONWAAR</v>
      </c>
    </row>
    <row r="752" spans="1:4" s="151" customFormat="1" x14ac:dyDescent="0.2">
      <c r="A752" s="151" t="s">
        <v>7766</v>
      </c>
      <c r="B752" s="151" t="b">
        <f>IF(ISBLANK(GlobBerMedDisc!$BS$13),"",GlobBerMedDisc!$BS$13)</f>
        <v>0</v>
      </c>
      <c r="C752" s="44" t="b">
        <v>0</v>
      </c>
      <c r="D752" s="151" t="str">
        <f t="shared" si="11"/>
        <v>_Glob_MedDisc_PerM2_12##ONWAAR</v>
      </c>
    </row>
    <row r="753" spans="1:4" s="151" customFormat="1" x14ac:dyDescent="0.2">
      <c r="A753" s="151" t="s">
        <v>7768</v>
      </c>
      <c r="B753" s="151" t="b">
        <f>IF(ISBLANK(GlobBerMedDisc!$BS$14),"",GlobBerMedDisc!$BS$14)</f>
        <v>0</v>
      </c>
      <c r="C753" s="44" t="b">
        <v>0</v>
      </c>
      <c r="D753" s="151" t="str">
        <f t="shared" si="11"/>
        <v>_Glob_MedDisc_PerM2_13##ONWAAR</v>
      </c>
    </row>
    <row r="754" spans="1:4" s="151" customFormat="1" x14ac:dyDescent="0.2">
      <c r="A754" s="151" t="s">
        <v>7770</v>
      </c>
      <c r="B754" s="151" t="b">
        <f>IF(ISBLANK(GlobBerMedDisc!$BS$15),"",GlobBerMedDisc!$BS$15)</f>
        <v>0</v>
      </c>
      <c r="C754" s="44" t="b">
        <v>0</v>
      </c>
      <c r="D754" s="151" t="str">
        <f t="shared" si="11"/>
        <v>_Glob_MedDisc_PerM2_14##ONWAAR</v>
      </c>
    </row>
    <row r="755" spans="1:4" s="151" customFormat="1" x14ac:dyDescent="0.2">
      <c r="A755" s="151" t="s">
        <v>7772</v>
      </c>
      <c r="B755" s="151" t="b">
        <f>IF(ISBLANK(GlobBerMedDisc!$BS$16),"",GlobBerMedDisc!$BS$16)</f>
        <v>0</v>
      </c>
      <c r="C755" s="44" t="b">
        <v>0</v>
      </c>
      <c r="D755" s="151" t="str">
        <f t="shared" si="11"/>
        <v>_Glob_MedDisc_PerM2_15##ONWAAR</v>
      </c>
    </row>
    <row r="756" spans="1:4" s="151" customFormat="1" x14ac:dyDescent="0.2">
      <c r="A756" s="151" t="s">
        <v>7774</v>
      </c>
      <c r="B756" s="151" t="b">
        <f>IF(ISBLANK(GlobBerMedDisc!$BS$17),"",GlobBerMedDisc!$BS$17)</f>
        <v>0</v>
      </c>
      <c r="C756" s="44" t="b">
        <v>0</v>
      </c>
      <c r="D756" s="151" t="str">
        <f t="shared" si="11"/>
        <v>_Glob_MedDisc_PerM2_16##ONWAAR</v>
      </c>
    </row>
    <row r="757" spans="1:4" s="151" customFormat="1" x14ac:dyDescent="0.2">
      <c r="A757" s="151" t="s">
        <v>7776</v>
      </c>
      <c r="B757" s="151" t="b">
        <f>IF(ISBLANK(GlobBerMedDisc!$BS$18),"",GlobBerMedDisc!$BS$18)</f>
        <v>0</v>
      </c>
      <c r="C757" s="44" t="b">
        <v>0</v>
      </c>
      <c r="D757" s="151" t="str">
        <f t="shared" si="11"/>
        <v>_Glob_MedDisc_PerM2_17##ONWAAR</v>
      </c>
    </row>
    <row r="758" spans="1:4" s="151" customFormat="1" x14ac:dyDescent="0.2">
      <c r="A758" s="151" t="s">
        <v>7778</v>
      </c>
      <c r="B758" s="151" t="b">
        <f>IF(ISBLANK(GlobBerMedDisc!$BS$19),"",GlobBerMedDisc!$BS$19)</f>
        <v>0</v>
      </c>
      <c r="C758" s="44" t="b">
        <v>0</v>
      </c>
      <c r="D758" s="151" t="str">
        <f t="shared" si="11"/>
        <v>_Glob_MedDisc_PerM2_18##ONWAAR</v>
      </c>
    </row>
    <row r="759" spans="1:4" s="151" customFormat="1" x14ac:dyDescent="0.2">
      <c r="A759" s="151" t="s">
        <v>7780</v>
      </c>
      <c r="B759" s="151" t="b">
        <f>IF(ISBLANK(GlobBerMedDisc!$BS$20),"",GlobBerMedDisc!$BS$20)</f>
        <v>0</v>
      </c>
      <c r="C759" s="44" t="b">
        <v>0</v>
      </c>
      <c r="D759" s="151" t="str">
        <f t="shared" si="11"/>
        <v>_Glob_MedDisc_PerM2_19##ONWAAR</v>
      </c>
    </row>
    <row r="760" spans="1:4" s="151" customFormat="1" x14ac:dyDescent="0.2">
      <c r="A760" s="151" t="s">
        <v>7782</v>
      </c>
      <c r="B760" s="151" t="b">
        <f>IF(ISBLANK(GlobBerMedDisc!$BS$21),"",GlobBerMedDisc!$BS$21)</f>
        <v>0</v>
      </c>
      <c r="C760" s="44" t="b">
        <v>0</v>
      </c>
      <c r="D760" s="151" t="str">
        <f t="shared" si="11"/>
        <v>_Glob_MedDisc_PerM2_20##ONWAAR</v>
      </c>
    </row>
    <row r="761" spans="1:4" s="151" customFormat="1" x14ac:dyDescent="0.2">
      <c r="A761" s="151" t="s">
        <v>7784</v>
      </c>
      <c r="B761" s="151" t="b">
        <f>IF(ISBLANK(GlobBerMedDisc!$BS$22),"",GlobBerMedDisc!$BS$22)</f>
        <v>0</v>
      </c>
      <c r="C761" s="44" t="b">
        <v>0</v>
      </c>
      <c r="D761" s="151" t="str">
        <f t="shared" si="11"/>
        <v>_Glob_MedDisc_PerM2_21##ONWAAR</v>
      </c>
    </row>
    <row r="762" spans="1:4" s="151" customFormat="1" x14ac:dyDescent="0.2">
      <c r="A762" s="151" t="s">
        <v>7786</v>
      </c>
      <c r="B762" s="151" t="b">
        <f>IF(ISBLANK(GlobBerMedDisc!$BS$23),"",GlobBerMedDisc!$BS$23)</f>
        <v>0</v>
      </c>
      <c r="C762" s="44" t="b">
        <v>0</v>
      </c>
      <c r="D762" s="151" t="str">
        <f t="shared" si="11"/>
        <v>_Glob_MedDisc_PerM2_22##ONWAAR</v>
      </c>
    </row>
    <row r="763" spans="1:4" s="151" customFormat="1" x14ac:dyDescent="0.2">
      <c r="A763" s="151" t="s">
        <v>7788</v>
      </c>
      <c r="B763" s="151" t="b">
        <f>IF(ISBLANK(GlobBerMedDisc!$BS$24),"",GlobBerMedDisc!$BS$24)</f>
        <v>0</v>
      </c>
      <c r="C763" s="44" t="b">
        <v>0</v>
      </c>
      <c r="D763" s="151" t="str">
        <f t="shared" si="11"/>
        <v>_Glob_MedDisc_PerM2_23##ONWAAR</v>
      </c>
    </row>
    <row r="764" spans="1:4" s="151" customFormat="1" x14ac:dyDescent="0.2">
      <c r="A764" s="151" t="s">
        <v>7790</v>
      </c>
      <c r="B764" s="151" t="b">
        <f>IF(ISBLANK(GlobBerMedDisc!$BS$25),"",GlobBerMedDisc!$BS$25)</f>
        <v>0</v>
      </c>
      <c r="C764" s="44" t="b">
        <v>0</v>
      </c>
      <c r="D764" s="151" t="str">
        <f t="shared" si="11"/>
        <v>_Glob_MedDisc_PerM2_24##ONWAAR</v>
      </c>
    </row>
    <row r="765" spans="1:4" s="151" customFormat="1" x14ac:dyDescent="0.2">
      <c r="A765" s="151" t="s">
        <v>7792</v>
      </c>
      <c r="B765" s="151" t="b">
        <f>IF(ISBLANK(GlobBerMedDisc!$BS$26),"",GlobBerMedDisc!$BS$26)</f>
        <v>0</v>
      </c>
      <c r="C765" s="44" t="b">
        <v>0</v>
      </c>
      <c r="D765" s="151" t="str">
        <f t="shared" si="11"/>
        <v>_Glob_MedDisc_PerM2_25##ONWAAR</v>
      </c>
    </row>
    <row r="766" spans="1:4" s="151" customFormat="1" x14ac:dyDescent="0.2">
      <c r="A766" s="151" t="s">
        <v>7794</v>
      </c>
      <c r="B766" s="151" t="b">
        <f>IF(ISBLANK(GlobBerMedDisc!$BS$27),"",GlobBerMedDisc!$BS$27)</f>
        <v>0</v>
      </c>
      <c r="C766" s="44" t="b">
        <v>0</v>
      </c>
      <c r="D766" s="151" t="str">
        <f t="shared" si="11"/>
        <v>_Glob_MedDisc_PerM2_26##ONWAAR</v>
      </c>
    </row>
    <row r="767" spans="1:4" s="151" customFormat="1" x14ac:dyDescent="0.2">
      <c r="A767" s="151" t="s">
        <v>7796</v>
      </c>
      <c r="B767" s="151" t="b">
        <f>IF(ISBLANK(GlobBerMedDisc!$BS$28),"",GlobBerMedDisc!$BS$28)</f>
        <v>0</v>
      </c>
      <c r="C767" s="44" t="b">
        <v>0</v>
      </c>
      <c r="D767" s="151" t="str">
        <f t="shared" si="11"/>
        <v>_Glob_MedDisc_PerM2_27##ONWAAR</v>
      </c>
    </row>
    <row r="768" spans="1:4" s="151" customFormat="1" x14ac:dyDescent="0.2">
      <c r="A768" s="151" t="s">
        <v>7798</v>
      </c>
      <c r="B768" s="151" t="b">
        <f>IF(ISBLANK(GlobBerMedDisc!$BS$29),"",GlobBerMedDisc!$BS$29)</f>
        <v>0</v>
      </c>
      <c r="C768" s="44" t="b">
        <v>0</v>
      </c>
      <c r="D768" s="151" t="str">
        <f t="shared" si="11"/>
        <v>_Glob_MedDisc_PerM2_28##ONWAAR</v>
      </c>
    </row>
    <row r="769" spans="1:5" s="151" customFormat="1" x14ac:dyDescent="0.2">
      <c r="A769" s="151" t="s">
        <v>7800</v>
      </c>
      <c r="B769" s="151" t="b">
        <f>IF(ISBLANK(GlobBerMedDisc!$BS$30),"",GlobBerMedDisc!$BS$30)</f>
        <v>0</v>
      </c>
      <c r="C769" s="44" t="b">
        <v>0</v>
      </c>
      <c r="D769" s="151" t="str">
        <f t="shared" si="11"/>
        <v>_Glob_MedDisc_PerM2_29##ONWAAR</v>
      </c>
    </row>
    <row r="770" spans="1:5" s="151" customFormat="1" x14ac:dyDescent="0.2">
      <c r="A770" s="151" t="s">
        <v>7802</v>
      </c>
      <c r="B770" s="151" t="b">
        <f>IF(ISBLANK(GlobBerMedDisc!$BS$31),"",GlobBerMedDisc!$BS$31)</f>
        <v>0</v>
      </c>
      <c r="C770" s="44" t="b">
        <v>0</v>
      </c>
      <c r="D770" s="151" t="str">
        <f t="shared" si="11"/>
        <v>_Glob_MedDisc_PerM2_30##ONWAAR</v>
      </c>
    </row>
    <row r="771" spans="1:5" x14ac:dyDescent="0.2">
      <c r="A771" s="151" t="s">
        <v>3333</v>
      </c>
      <c r="B771" t="b">
        <f>IF(ISBLANK(GlobBerMedDisc!$AH$2),"",GlobBerMedDisc!$AH$2)</f>
        <v>0</v>
      </c>
      <c r="C771" s="151" t="b">
        <v>0</v>
      </c>
      <c r="D771" s="151" t="str">
        <f t="shared" ref="D771:D834" si="12">A771&amp;"##"&amp;B771</f>
        <v>_Glob_MedDisc_PRN_01##ONWAAR</v>
      </c>
    </row>
    <row r="772" spans="1:5" x14ac:dyDescent="0.2">
      <c r="A772" s="151" t="s">
        <v>3334</v>
      </c>
      <c r="B772" t="b">
        <f>IF(ISBLANK(GlobBerMedDisc!$AH$3),"",GlobBerMedDisc!$AH$3)</f>
        <v>0</v>
      </c>
      <c r="C772" s="151" t="b">
        <v>0</v>
      </c>
      <c r="D772" s="151" t="str">
        <f t="shared" si="12"/>
        <v>_Glob_MedDisc_PRN_02##ONWAAR</v>
      </c>
    </row>
    <row r="773" spans="1:5" x14ac:dyDescent="0.2">
      <c r="A773" s="151" t="s">
        <v>3335</v>
      </c>
      <c r="B773" t="b">
        <f>IF(ISBLANK(GlobBerMedDisc!$AH$4),"",GlobBerMedDisc!$AH$4)</f>
        <v>0</v>
      </c>
      <c r="C773" s="151" t="b">
        <v>0</v>
      </c>
      <c r="D773" s="151" t="str">
        <f t="shared" si="12"/>
        <v>_Glob_MedDisc_PRN_03##ONWAAR</v>
      </c>
    </row>
    <row r="774" spans="1:5" x14ac:dyDescent="0.2">
      <c r="A774" s="151" t="s">
        <v>3336</v>
      </c>
      <c r="B774" t="b">
        <f>IF(ISBLANK(GlobBerMedDisc!$AH$5),"",GlobBerMedDisc!$AH$5)</f>
        <v>0</v>
      </c>
      <c r="C774" s="151" t="b">
        <v>0</v>
      </c>
      <c r="D774" s="151" t="str">
        <f t="shared" si="12"/>
        <v>_Glob_MedDisc_PRN_04##ONWAAR</v>
      </c>
    </row>
    <row r="775" spans="1:5" x14ac:dyDescent="0.2">
      <c r="A775" s="151" t="s">
        <v>3337</v>
      </c>
      <c r="B775" t="b">
        <f>IF(ISBLANK(GlobBerMedDisc!$AH$6),"",GlobBerMedDisc!$AH$6)</f>
        <v>0</v>
      </c>
      <c r="C775" s="151" t="b">
        <v>0</v>
      </c>
      <c r="D775" s="151" t="str">
        <f t="shared" si="12"/>
        <v>_Glob_MedDisc_PRN_05##ONWAAR</v>
      </c>
    </row>
    <row r="776" spans="1:5" x14ac:dyDescent="0.2">
      <c r="A776" s="151" t="s">
        <v>3338</v>
      </c>
      <c r="B776" t="b">
        <f>IF(ISBLANK(GlobBerMedDisc!$AH$7),"",GlobBerMedDisc!$AH$7)</f>
        <v>0</v>
      </c>
      <c r="C776" s="151" t="b">
        <v>0</v>
      </c>
      <c r="D776" s="151" t="str">
        <f t="shared" si="12"/>
        <v>_Glob_MedDisc_PRN_06##ONWAAR</v>
      </c>
    </row>
    <row r="777" spans="1:5" x14ac:dyDescent="0.2">
      <c r="A777" s="151" t="s">
        <v>3339</v>
      </c>
      <c r="B777" t="b">
        <f>IF(ISBLANK(GlobBerMedDisc!$AH$8),"",GlobBerMedDisc!$AH$8)</f>
        <v>0</v>
      </c>
      <c r="C777" s="151" t="b">
        <v>0</v>
      </c>
      <c r="D777" s="151" t="str">
        <f t="shared" si="12"/>
        <v>_Glob_MedDisc_PRN_07##ONWAAR</v>
      </c>
    </row>
    <row r="778" spans="1:5" x14ac:dyDescent="0.2">
      <c r="A778" s="151" t="s">
        <v>3340</v>
      </c>
      <c r="B778" t="b">
        <f>IF(ISBLANK(GlobBerMedDisc!$AH$9),"",GlobBerMedDisc!$AH$9)</f>
        <v>0</v>
      </c>
      <c r="C778" s="151" t="b">
        <v>0</v>
      </c>
      <c r="D778" s="151" t="str">
        <f t="shared" si="12"/>
        <v>_Glob_MedDisc_PRN_08##ONWAAR</v>
      </c>
    </row>
    <row r="779" spans="1:5" x14ac:dyDescent="0.2">
      <c r="A779" s="151" t="s">
        <v>3341</v>
      </c>
      <c r="B779" t="b">
        <f>IF(ISBLANK(GlobBerMedDisc!$AH$10),"",GlobBerMedDisc!$AH$10)</f>
        <v>0</v>
      </c>
      <c r="C779" s="151" t="b">
        <v>0</v>
      </c>
      <c r="D779" s="151" t="str">
        <f t="shared" si="12"/>
        <v>_Glob_MedDisc_PRN_09##ONWAAR</v>
      </c>
    </row>
    <row r="780" spans="1:5" x14ac:dyDescent="0.2">
      <c r="A780" s="151" t="s">
        <v>3342</v>
      </c>
      <c r="B780" t="b">
        <f>IF(ISBLANK(GlobBerMedDisc!$AH$11),"",GlobBerMedDisc!$AH$11)</f>
        <v>0</v>
      </c>
      <c r="C780" s="151" t="b">
        <v>0</v>
      </c>
      <c r="D780" s="151" t="str">
        <f t="shared" si="12"/>
        <v>_Glob_MedDisc_PRN_10##ONWAAR</v>
      </c>
    </row>
    <row r="781" spans="1:5" x14ac:dyDescent="0.2">
      <c r="A781" s="151" t="s">
        <v>3343</v>
      </c>
      <c r="B781" t="b">
        <f>IF(ISBLANK(GlobBerMedDisc!$AH$12),"",GlobBerMedDisc!$AH$12)</f>
        <v>0</v>
      </c>
      <c r="C781" s="151" t="b">
        <v>0</v>
      </c>
      <c r="D781" s="151" t="str">
        <f t="shared" si="12"/>
        <v>_Glob_MedDisc_PRN_11##ONWAAR</v>
      </c>
    </row>
    <row r="782" spans="1:5" x14ac:dyDescent="0.2">
      <c r="A782" s="151" t="s">
        <v>3344</v>
      </c>
      <c r="B782" t="b">
        <f>IF(ISBLANK(GlobBerMedDisc!$AH$13),"",GlobBerMedDisc!$AH$13)</f>
        <v>0</v>
      </c>
      <c r="C782" s="151" t="b">
        <v>0</v>
      </c>
      <c r="D782" s="151" t="str">
        <f t="shared" si="12"/>
        <v>_Glob_MedDisc_PRN_12##ONWAAR</v>
      </c>
    </row>
    <row r="783" spans="1:5" x14ac:dyDescent="0.2">
      <c r="A783" s="151" t="s">
        <v>3345</v>
      </c>
      <c r="B783" t="b">
        <f>IF(ISBLANK(GlobBerMedDisc!$AH$14),"",GlobBerMedDisc!$AH$14)</f>
        <v>0</v>
      </c>
      <c r="C783" s="151" t="b">
        <v>0</v>
      </c>
      <c r="D783" s="151" t="str">
        <f t="shared" si="12"/>
        <v>_Glob_MedDisc_PRN_13##ONWAAR</v>
      </c>
      <c r="E783" s="151"/>
    </row>
    <row r="784" spans="1:5" x14ac:dyDescent="0.2">
      <c r="A784" s="151" t="s">
        <v>3346</v>
      </c>
      <c r="B784" t="b">
        <f>IF(ISBLANK(GlobBerMedDisc!$AH$15),"",GlobBerMedDisc!$AH$15)</f>
        <v>0</v>
      </c>
      <c r="C784" s="151" t="b">
        <v>0</v>
      </c>
      <c r="D784" s="151" t="str">
        <f t="shared" si="12"/>
        <v>_Glob_MedDisc_PRN_14##ONWAAR</v>
      </c>
    </row>
    <row r="785" spans="1:4" x14ac:dyDescent="0.2">
      <c r="A785" s="151" t="s">
        <v>3347</v>
      </c>
      <c r="B785" t="b">
        <f>IF(ISBLANK(GlobBerMedDisc!$AH$16),"",GlobBerMedDisc!$AH$16)</f>
        <v>0</v>
      </c>
      <c r="C785" s="151" t="b">
        <v>0</v>
      </c>
      <c r="D785" s="151" t="str">
        <f t="shared" si="12"/>
        <v>_Glob_MedDisc_PRN_15##ONWAAR</v>
      </c>
    </row>
    <row r="786" spans="1:4" x14ac:dyDescent="0.2">
      <c r="A786" s="151" t="s">
        <v>3348</v>
      </c>
      <c r="B786" t="b">
        <f>IF(ISBLANK(GlobBerMedDisc!$AH$17),"",GlobBerMedDisc!$AH$17)</f>
        <v>0</v>
      </c>
      <c r="C786" s="151" t="b">
        <v>0</v>
      </c>
      <c r="D786" s="151" t="str">
        <f t="shared" si="12"/>
        <v>_Glob_MedDisc_PRN_16##ONWAAR</v>
      </c>
    </row>
    <row r="787" spans="1:4" x14ac:dyDescent="0.2">
      <c r="A787" s="151" t="s">
        <v>3349</v>
      </c>
      <c r="B787" t="b">
        <f>IF(ISBLANK(GlobBerMedDisc!$AH$18),"",GlobBerMedDisc!$AH$18)</f>
        <v>0</v>
      </c>
      <c r="C787" s="151" t="b">
        <v>0</v>
      </c>
      <c r="D787" s="151" t="str">
        <f t="shared" si="12"/>
        <v>_Glob_MedDisc_PRN_17##ONWAAR</v>
      </c>
    </row>
    <row r="788" spans="1:4" x14ac:dyDescent="0.2">
      <c r="A788" s="151" t="s">
        <v>3350</v>
      </c>
      <c r="B788" t="b">
        <f>IF(ISBLANK(GlobBerMedDisc!$AH$19),"",GlobBerMedDisc!$AH$19)</f>
        <v>0</v>
      </c>
      <c r="C788" s="151" t="b">
        <v>0</v>
      </c>
      <c r="D788" s="151" t="str">
        <f t="shared" si="12"/>
        <v>_Glob_MedDisc_PRN_18##ONWAAR</v>
      </c>
    </row>
    <row r="789" spans="1:4" x14ac:dyDescent="0.2">
      <c r="A789" s="151" t="s">
        <v>3351</v>
      </c>
      <c r="B789" t="b">
        <f>IF(ISBLANK(GlobBerMedDisc!$AH$20),"",GlobBerMedDisc!$AH$20)</f>
        <v>0</v>
      </c>
      <c r="C789" s="151" t="b">
        <v>0</v>
      </c>
      <c r="D789" s="151" t="str">
        <f t="shared" si="12"/>
        <v>_Glob_MedDisc_PRN_19##ONWAAR</v>
      </c>
    </row>
    <row r="790" spans="1:4" x14ac:dyDescent="0.2">
      <c r="A790" s="151" t="s">
        <v>3352</v>
      </c>
      <c r="B790" t="b">
        <f>IF(ISBLANK(GlobBerMedDisc!$AH$21),"",GlobBerMedDisc!$AH$21)</f>
        <v>0</v>
      </c>
      <c r="C790" s="151" t="b">
        <v>0</v>
      </c>
      <c r="D790" s="151" t="str">
        <f t="shared" si="12"/>
        <v>_Glob_MedDisc_PRN_20##ONWAAR</v>
      </c>
    </row>
    <row r="791" spans="1:4" x14ac:dyDescent="0.2">
      <c r="A791" s="151" t="s">
        <v>3353</v>
      </c>
      <c r="B791" t="b">
        <f>IF(ISBLANK(GlobBerMedDisc!$AH$22),"",GlobBerMedDisc!$AH$22)</f>
        <v>0</v>
      </c>
      <c r="C791" s="151" t="b">
        <v>0</v>
      </c>
      <c r="D791" s="151" t="str">
        <f t="shared" si="12"/>
        <v>_Glob_MedDisc_PRN_21##ONWAAR</v>
      </c>
    </row>
    <row r="792" spans="1:4" x14ac:dyDescent="0.2">
      <c r="A792" s="151" t="s">
        <v>3354</v>
      </c>
      <c r="B792" t="b">
        <f>IF(ISBLANK(GlobBerMedDisc!$AH$23),"",GlobBerMedDisc!$AH$23)</f>
        <v>0</v>
      </c>
      <c r="C792" s="151" t="b">
        <v>0</v>
      </c>
      <c r="D792" s="151" t="str">
        <f t="shared" si="12"/>
        <v>_Glob_MedDisc_PRN_22##ONWAAR</v>
      </c>
    </row>
    <row r="793" spans="1:4" x14ac:dyDescent="0.2">
      <c r="A793" s="151" t="s">
        <v>3355</v>
      </c>
      <c r="B793" t="b">
        <f>IF(ISBLANK(GlobBerMedDisc!$AH$24),"",GlobBerMedDisc!$AH$24)</f>
        <v>0</v>
      </c>
      <c r="C793" s="151" t="b">
        <v>0</v>
      </c>
      <c r="D793" s="151" t="str">
        <f t="shared" si="12"/>
        <v>_Glob_MedDisc_PRN_23##ONWAAR</v>
      </c>
    </row>
    <row r="794" spans="1:4" x14ac:dyDescent="0.2">
      <c r="A794" s="151" t="s">
        <v>3356</v>
      </c>
      <c r="B794" t="b">
        <f>IF(ISBLANK(GlobBerMedDisc!$AH$25),"",GlobBerMedDisc!$AH$25)</f>
        <v>0</v>
      </c>
      <c r="C794" s="151" t="b">
        <v>0</v>
      </c>
      <c r="D794" s="151" t="str">
        <f t="shared" si="12"/>
        <v>_Glob_MedDisc_PRN_24##ONWAAR</v>
      </c>
    </row>
    <row r="795" spans="1:4" x14ac:dyDescent="0.2">
      <c r="A795" s="151" t="s">
        <v>3357</v>
      </c>
      <c r="B795" t="b">
        <f>IF(ISBLANK(GlobBerMedDisc!$AH$26),"",GlobBerMedDisc!$AH$26)</f>
        <v>0</v>
      </c>
      <c r="C795" s="151" t="b">
        <v>0</v>
      </c>
      <c r="D795" s="151" t="str">
        <f t="shared" si="12"/>
        <v>_Glob_MedDisc_PRN_25##ONWAAR</v>
      </c>
    </row>
    <row r="796" spans="1:4" x14ac:dyDescent="0.2">
      <c r="A796" s="151" t="s">
        <v>3358</v>
      </c>
      <c r="B796" t="b">
        <f>IF(ISBLANK(GlobBerMedDisc!$AH$27),"",GlobBerMedDisc!$AH$27)</f>
        <v>0</v>
      </c>
      <c r="C796" s="151" t="b">
        <v>0</v>
      </c>
      <c r="D796" s="151" t="str">
        <f t="shared" si="12"/>
        <v>_Glob_MedDisc_PRN_26##ONWAAR</v>
      </c>
    </row>
    <row r="797" spans="1:4" x14ac:dyDescent="0.2">
      <c r="A797" s="151" t="s">
        <v>3359</v>
      </c>
      <c r="B797" t="b">
        <f>IF(ISBLANK(GlobBerMedDisc!$AH$28),"",GlobBerMedDisc!$AH$28)</f>
        <v>0</v>
      </c>
      <c r="C797" s="151" t="b">
        <v>0</v>
      </c>
      <c r="D797" s="151" t="str">
        <f t="shared" si="12"/>
        <v>_Glob_MedDisc_PRN_27##ONWAAR</v>
      </c>
    </row>
    <row r="798" spans="1:4" x14ac:dyDescent="0.2">
      <c r="A798" s="151" t="s">
        <v>3360</v>
      </c>
      <c r="B798" t="b">
        <f>IF(ISBLANK(GlobBerMedDisc!$AH$29),"",GlobBerMedDisc!$AH$29)</f>
        <v>0</v>
      </c>
      <c r="C798" s="151" t="b">
        <v>0</v>
      </c>
      <c r="D798" s="151" t="str">
        <f t="shared" si="12"/>
        <v>_Glob_MedDisc_PRN_28##ONWAAR</v>
      </c>
    </row>
    <row r="799" spans="1:4" x14ac:dyDescent="0.2">
      <c r="A799" s="151" t="s">
        <v>3361</v>
      </c>
      <c r="B799" t="b">
        <f>IF(ISBLANK(GlobBerMedDisc!$AH$30),"",GlobBerMedDisc!$AH$30)</f>
        <v>0</v>
      </c>
      <c r="C799" s="151" t="b">
        <v>0</v>
      </c>
      <c r="D799" s="151" t="str">
        <f t="shared" si="12"/>
        <v>_Glob_MedDisc_PRN_29##ONWAAR</v>
      </c>
    </row>
    <row r="800" spans="1:4" x14ac:dyDescent="0.2">
      <c r="A800" s="151" t="s">
        <v>3362</v>
      </c>
      <c r="B800" t="b">
        <f>IF(ISBLANK(GlobBerMedDisc!$AH$31),"",GlobBerMedDisc!$AH$31)</f>
        <v>0</v>
      </c>
      <c r="C800" s="151" t="b">
        <v>0</v>
      </c>
      <c r="D800" s="151" t="str">
        <f t="shared" si="12"/>
        <v>_Glob_MedDisc_PRN_30##ONWAAR</v>
      </c>
    </row>
    <row r="801" spans="1:6" x14ac:dyDescent="0.2">
      <c r="A801" s="151" t="s">
        <v>3363</v>
      </c>
      <c r="B801" s="151" t="str">
        <f>IF(ISBLANK(GlobBerMedDisc!$AI$2),"",GlobBerMedDisc!$AI$2)</f>
        <v/>
      </c>
      <c r="C801" s="44"/>
      <c r="D801" s="151" t="str">
        <f t="shared" si="12"/>
        <v>_Glob_MedDisc_PRNText_01##</v>
      </c>
    </row>
    <row r="802" spans="1:6" x14ac:dyDescent="0.2">
      <c r="A802" s="151" t="s">
        <v>3364</v>
      </c>
      <c r="B802" s="151" t="str">
        <f>IF(ISBLANK(GlobBerMedDisc!$AI$3),"",GlobBerMedDisc!$AI$3)</f>
        <v/>
      </c>
      <c r="C802" s="44"/>
      <c r="D802" s="151" t="str">
        <f t="shared" si="12"/>
        <v>_Glob_MedDisc_PRNText_02##</v>
      </c>
    </row>
    <row r="803" spans="1:6" x14ac:dyDescent="0.2">
      <c r="A803" s="151" t="s">
        <v>3365</v>
      </c>
      <c r="B803" s="151" t="str">
        <f>IF(ISBLANK(GlobBerMedDisc!$AI$4),"",GlobBerMedDisc!$AI$4)</f>
        <v/>
      </c>
      <c r="C803" s="44"/>
      <c r="D803" s="151" t="str">
        <f t="shared" si="12"/>
        <v>_Glob_MedDisc_PRNText_03##</v>
      </c>
    </row>
    <row r="804" spans="1:6" x14ac:dyDescent="0.2">
      <c r="A804" s="151" t="s">
        <v>3366</v>
      </c>
      <c r="B804" s="151" t="str">
        <f>IF(ISBLANK(GlobBerMedDisc!$AI$5),"",GlobBerMedDisc!$AI$5)</f>
        <v/>
      </c>
      <c r="C804" s="44"/>
      <c r="D804" s="151" t="str">
        <f t="shared" si="12"/>
        <v>_Glob_MedDisc_PRNText_04##</v>
      </c>
    </row>
    <row r="805" spans="1:6" x14ac:dyDescent="0.2">
      <c r="A805" s="151" t="s">
        <v>3367</v>
      </c>
      <c r="B805" s="151" t="str">
        <f>IF(ISBLANK(GlobBerMedDisc!$AI$6),"",GlobBerMedDisc!$AI$6)</f>
        <v/>
      </c>
      <c r="C805" s="44"/>
      <c r="D805" s="151" t="str">
        <f t="shared" si="12"/>
        <v>_Glob_MedDisc_PRNText_05##</v>
      </c>
    </row>
    <row r="806" spans="1:6" x14ac:dyDescent="0.2">
      <c r="A806" s="151" t="s">
        <v>3368</v>
      </c>
      <c r="B806" s="151" t="str">
        <f>IF(ISBLANK(GlobBerMedDisc!$AI$7),"",GlobBerMedDisc!$AI$7)</f>
        <v/>
      </c>
      <c r="C806" s="44"/>
      <c r="D806" s="151" t="str">
        <f t="shared" si="12"/>
        <v>_Glob_MedDisc_PRNText_06##</v>
      </c>
    </row>
    <row r="807" spans="1:6" x14ac:dyDescent="0.2">
      <c r="A807" s="151" t="s">
        <v>3369</v>
      </c>
      <c r="B807" s="151" t="str">
        <f>IF(ISBLANK(GlobBerMedDisc!$AI$8),"",GlobBerMedDisc!$AI$8)</f>
        <v/>
      </c>
      <c r="C807" s="44"/>
      <c r="D807" s="151" t="str">
        <f t="shared" si="12"/>
        <v>_Glob_MedDisc_PRNText_07##</v>
      </c>
    </row>
    <row r="808" spans="1:6" x14ac:dyDescent="0.2">
      <c r="A808" s="151" t="s">
        <v>3370</v>
      </c>
      <c r="B808" s="151" t="str">
        <f>IF(ISBLANK(GlobBerMedDisc!$AI$9),"",GlobBerMedDisc!$AI$9)</f>
        <v/>
      </c>
      <c r="C808" s="44"/>
      <c r="D808" s="151" t="str">
        <f t="shared" si="12"/>
        <v>_Glob_MedDisc_PRNText_08##</v>
      </c>
    </row>
    <row r="809" spans="1:6" x14ac:dyDescent="0.2">
      <c r="A809" s="151" t="s">
        <v>3371</v>
      </c>
      <c r="B809" s="151" t="str">
        <f>IF(ISBLANK(GlobBerMedDisc!$AI$10),"",GlobBerMedDisc!$AI$10)</f>
        <v/>
      </c>
      <c r="C809" s="44"/>
      <c r="D809" s="151" t="str">
        <f t="shared" si="12"/>
        <v>_Glob_MedDisc_PRNText_09##</v>
      </c>
    </row>
    <row r="810" spans="1:6" x14ac:dyDescent="0.2">
      <c r="A810" s="151" t="s">
        <v>3372</v>
      </c>
      <c r="B810" s="151" t="str">
        <f>IF(ISBLANK(GlobBerMedDisc!$AI$11),"",GlobBerMedDisc!$AI$11)</f>
        <v/>
      </c>
      <c r="C810" s="44"/>
      <c r="D810" s="151" t="str">
        <f t="shared" si="12"/>
        <v>_Glob_MedDisc_PRNText_10##</v>
      </c>
    </row>
    <row r="811" spans="1:6" x14ac:dyDescent="0.2">
      <c r="A811" s="151" t="s">
        <v>3373</v>
      </c>
      <c r="B811" s="151" t="str">
        <f>IF(ISBLANK(GlobBerMedDisc!$AI$12),"",GlobBerMedDisc!$AI$12)</f>
        <v/>
      </c>
      <c r="C811" s="44"/>
      <c r="D811" s="151" t="str">
        <f t="shared" si="12"/>
        <v>_Glob_MedDisc_PRNText_11##</v>
      </c>
    </row>
    <row r="812" spans="1:6" s="151" customFormat="1" x14ac:dyDescent="0.2">
      <c r="A812" s="151" t="s">
        <v>3374</v>
      </c>
      <c r="B812" s="151" t="str">
        <f>IF(ISBLANK(GlobBerMedDisc!$AI$13),"",GlobBerMedDisc!$AI$13)</f>
        <v/>
      </c>
      <c r="C812" s="44"/>
      <c r="D812" s="151" t="str">
        <f t="shared" si="12"/>
        <v>_Glob_MedDisc_PRNText_12##</v>
      </c>
      <c r="E812"/>
      <c r="F812"/>
    </row>
    <row r="813" spans="1:6" x14ac:dyDescent="0.2">
      <c r="A813" s="151" t="s">
        <v>3375</v>
      </c>
      <c r="B813" s="151" t="str">
        <f>IF(ISBLANK(GlobBerMedDisc!$AI$14),"",GlobBerMedDisc!$AI$14)</f>
        <v/>
      </c>
      <c r="C813" s="44"/>
      <c r="D813" s="151" t="str">
        <f t="shared" si="12"/>
        <v>_Glob_MedDisc_PRNText_13##</v>
      </c>
    </row>
    <row r="814" spans="1:6" x14ac:dyDescent="0.2">
      <c r="A814" s="151" t="s">
        <v>3376</v>
      </c>
      <c r="B814" s="151" t="str">
        <f>IF(ISBLANK(GlobBerMedDisc!$AI$15),"",GlobBerMedDisc!$AI$15)</f>
        <v/>
      </c>
      <c r="C814" s="44"/>
      <c r="D814" s="151" t="str">
        <f t="shared" si="12"/>
        <v>_Glob_MedDisc_PRNText_14##</v>
      </c>
    </row>
    <row r="815" spans="1:6" x14ac:dyDescent="0.2">
      <c r="A815" s="151" t="s">
        <v>3377</v>
      </c>
      <c r="B815" s="151" t="str">
        <f>IF(ISBLANK(GlobBerMedDisc!$AI$16),"",GlobBerMedDisc!$AI$16)</f>
        <v/>
      </c>
      <c r="C815" s="44"/>
      <c r="D815" s="151" t="str">
        <f t="shared" si="12"/>
        <v>_Glob_MedDisc_PRNText_15##</v>
      </c>
    </row>
    <row r="816" spans="1:6" x14ac:dyDescent="0.2">
      <c r="A816" s="151" t="s">
        <v>3378</v>
      </c>
      <c r="B816" s="151" t="str">
        <f>IF(ISBLANK(GlobBerMedDisc!$AI$17),"",GlobBerMedDisc!$AI$17)</f>
        <v/>
      </c>
      <c r="C816" s="44"/>
      <c r="D816" s="151" t="str">
        <f t="shared" si="12"/>
        <v>_Glob_MedDisc_PRNText_16##</v>
      </c>
    </row>
    <row r="817" spans="1:6" x14ac:dyDescent="0.2">
      <c r="A817" s="151" t="s">
        <v>3379</v>
      </c>
      <c r="B817" s="151" t="str">
        <f>IF(ISBLANK(GlobBerMedDisc!$AI$18),"",GlobBerMedDisc!$AI$18)</f>
        <v/>
      </c>
      <c r="C817" s="44"/>
      <c r="D817" s="151" t="str">
        <f t="shared" si="12"/>
        <v>_Glob_MedDisc_PRNText_17##</v>
      </c>
      <c r="F817" s="151"/>
    </row>
    <row r="818" spans="1:6" x14ac:dyDescent="0.2">
      <c r="A818" s="151" t="s">
        <v>3380</v>
      </c>
      <c r="B818" s="151" t="str">
        <f>IF(ISBLANK(GlobBerMedDisc!$AI$19),"",GlobBerMedDisc!$AI$19)</f>
        <v/>
      </c>
      <c r="C818" s="44"/>
      <c r="D818" s="151" t="str">
        <f t="shared" si="12"/>
        <v>_Glob_MedDisc_PRNText_18##</v>
      </c>
      <c r="F818" s="151"/>
    </row>
    <row r="819" spans="1:6" x14ac:dyDescent="0.2">
      <c r="A819" s="151" t="s">
        <v>3381</v>
      </c>
      <c r="B819" s="151" t="str">
        <f>IF(ISBLANK(GlobBerMedDisc!$AI$20),"",GlobBerMedDisc!$AI$20)</f>
        <v/>
      </c>
      <c r="C819" s="44"/>
      <c r="D819" s="151" t="str">
        <f t="shared" si="12"/>
        <v>_Glob_MedDisc_PRNText_19##</v>
      </c>
      <c r="F819" s="151"/>
    </row>
    <row r="820" spans="1:6" x14ac:dyDescent="0.2">
      <c r="A820" s="151" t="s">
        <v>3382</v>
      </c>
      <c r="B820" s="151" t="str">
        <f>IF(ISBLANK(GlobBerMedDisc!$AI$21),"",GlobBerMedDisc!$AI$21)</f>
        <v/>
      </c>
      <c r="C820" s="44"/>
      <c r="D820" s="151" t="str">
        <f t="shared" si="12"/>
        <v>_Glob_MedDisc_PRNText_20##</v>
      </c>
      <c r="F820" s="151"/>
    </row>
    <row r="821" spans="1:6" x14ac:dyDescent="0.2">
      <c r="A821" s="151" t="s">
        <v>3383</v>
      </c>
      <c r="B821" s="151" t="str">
        <f>IF(ISBLANK(GlobBerMedDisc!$AI$22),"",GlobBerMedDisc!$AI$22)</f>
        <v/>
      </c>
      <c r="C821" s="44"/>
      <c r="D821" s="151" t="str">
        <f t="shared" si="12"/>
        <v>_Glob_MedDisc_PRNText_21##</v>
      </c>
      <c r="F821" s="151"/>
    </row>
    <row r="822" spans="1:6" x14ac:dyDescent="0.2">
      <c r="A822" s="151" t="s">
        <v>3384</v>
      </c>
      <c r="B822" s="151" t="str">
        <f>IF(ISBLANK(GlobBerMedDisc!$AI$23),"",GlobBerMedDisc!$AI$23)</f>
        <v/>
      </c>
      <c r="C822" s="44"/>
      <c r="D822" s="151" t="str">
        <f t="shared" si="12"/>
        <v>_Glob_MedDisc_PRNText_22##</v>
      </c>
      <c r="F822" s="151"/>
    </row>
    <row r="823" spans="1:6" x14ac:dyDescent="0.2">
      <c r="A823" s="151" t="s">
        <v>3385</v>
      </c>
      <c r="B823" s="151" t="str">
        <f>IF(ISBLANK(GlobBerMedDisc!$AI$24),"",GlobBerMedDisc!$AI$24)</f>
        <v/>
      </c>
      <c r="C823" s="44"/>
      <c r="D823" s="151" t="str">
        <f t="shared" si="12"/>
        <v>_Glob_MedDisc_PRNText_23##</v>
      </c>
      <c r="F823" s="151"/>
    </row>
    <row r="824" spans="1:6" x14ac:dyDescent="0.2">
      <c r="A824" s="151" t="s">
        <v>3386</v>
      </c>
      <c r="B824" s="151" t="str">
        <f>IF(ISBLANK(GlobBerMedDisc!$AI$25),"",GlobBerMedDisc!$AI$25)</f>
        <v/>
      </c>
      <c r="C824" s="44"/>
      <c r="D824" s="151" t="str">
        <f t="shared" si="12"/>
        <v>_Glob_MedDisc_PRNText_24##</v>
      </c>
      <c r="F824" s="151"/>
    </row>
    <row r="825" spans="1:6" x14ac:dyDescent="0.2">
      <c r="A825" s="151" t="s">
        <v>3387</v>
      </c>
      <c r="B825" s="151" t="str">
        <f>IF(ISBLANK(GlobBerMedDisc!$AI$26),"",GlobBerMedDisc!$AI$26)</f>
        <v/>
      </c>
      <c r="C825" s="44"/>
      <c r="D825" s="151" t="str">
        <f t="shared" si="12"/>
        <v>_Glob_MedDisc_PRNText_25##</v>
      </c>
      <c r="F825" s="151"/>
    </row>
    <row r="826" spans="1:6" x14ac:dyDescent="0.2">
      <c r="A826" s="151" t="s">
        <v>3388</v>
      </c>
      <c r="B826" s="151" t="str">
        <f>IF(ISBLANK(GlobBerMedDisc!$AI$27),"",GlobBerMedDisc!$AI$27)</f>
        <v/>
      </c>
      <c r="C826" s="44"/>
      <c r="D826" s="151" t="str">
        <f t="shared" si="12"/>
        <v>_Glob_MedDisc_PRNText_26##</v>
      </c>
      <c r="F826" s="151"/>
    </row>
    <row r="827" spans="1:6" x14ac:dyDescent="0.2">
      <c r="A827" s="151" t="s">
        <v>3389</v>
      </c>
      <c r="B827" s="151" t="str">
        <f>IF(ISBLANK(GlobBerMedDisc!$AI$28),"",GlobBerMedDisc!$AI$28)</f>
        <v/>
      </c>
      <c r="C827" s="44"/>
      <c r="D827" s="151" t="str">
        <f t="shared" si="12"/>
        <v>_Glob_MedDisc_PRNText_27##</v>
      </c>
      <c r="F827" s="151"/>
    </row>
    <row r="828" spans="1:6" s="151" customFormat="1" x14ac:dyDescent="0.2">
      <c r="A828" s="151" t="s">
        <v>3390</v>
      </c>
      <c r="B828" s="151" t="str">
        <f>IF(ISBLANK(GlobBerMedDisc!$AI$29),"",GlobBerMedDisc!$AI$29)</f>
        <v/>
      </c>
      <c r="C828" s="44"/>
      <c r="D828" s="151" t="str">
        <f t="shared" si="12"/>
        <v>_Glob_MedDisc_PRNText_28##</v>
      </c>
      <c r="E828"/>
    </row>
    <row r="829" spans="1:6" x14ac:dyDescent="0.2">
      <c r="A829" s="151" t="s">
        <v>3391</v>
      </c>
      <c r="B829" s="151" t="str">
        <f>IF(ISBLANK(GlobBerMedDisc!$AI$30),"",GlobBerMedDisc!$AI$30)</f>
        <v/>
      </c>
      <c r="C829" s="44"/>
      <c r="D829" s="151" t="str">
        <f t="shared" si="12"/>
        <v>_Glob_MedDisc_PRNText_29##</v>
      </c>
      <c r="F829" s="151"/>
    </row>
    <row r="830" spans="1:6" x14ac:dyDescent="0.2">
      <c r="A830" s="151" t="s">
        <v>3392</v>
      </c>
      <c r="B830" s="151" t="str">
        <f>IF(ISBLANK(GlobBerMedDisc!$AI$31),"",GlobBerMedDisc!$AI$31)</f>
        <v/>
      </c>
      <c r="C830" s="44"/>
      <c r="D830" s="151" t="str">
        <f t="shared" si="12"/>
        <v>_Glob_MedDisc_PRNText_30##</v>
      </c>
      <c r="F830" s="151"/>
    </row>
    <row r="831" spans="1:6" x14ac:dyDescent="0.2">
      <c r="A831" s="151" t="s">
        <v>2058</v>
      </c>
      <c r="B831" s="153">
        <f>IF(ISBLANK(GlobBerMedDisc!$E$2),"",GlobBerMedDisc!$E$2)</f>
        <v>0</v>
      </c>
      <c r="C831" s="153">
        <v>0</v>
      </c>
      <c r="D831" s="151" t="str">
        <f t="shared" si="12"/>
        <v>_Glob_MedDisc_StandDose_01##0</v>
      </c>
      <c r="F831" s="151"/>
    </row>
    <row r="832" spans="1:6" x14ac:dyDescent="0.2">
      <c r="A832" s="151" t="s">
        <v>2059</v>
      </c>
      <c r="B832" s="153">
        <f>IF(ISBLANK(GlobBerMedDisc!$E$3),"",GlobBerMedDisc!$E$3)</f>
        <v>0</v>
      </c>
      <c r="C832" s="153">
        <v>0</v>
      </c>
      <c r="D832" s="151" t="str">
        <f t="shared" si="12"/>
        <v>_Glob_MedDisc_StandDose_02##0</v>
      </c>
      <c r="F832" s="151"/>
    </row>
    <row r="833" spans="1:6" x14ac:dyDescent="0.2">
      <c r="A833" s="151" t="s">
        <v>2060</v>
      </c>
      <c r="B833" s="153">
        <f>IF(ISBLANK(GlobBerMedDisc!$E$4),"",GlobBerMedDisc!$E$4)</f>
        <v>0</v>
      </c>
      <c r="C833" s="153">
        <v>0</v>
      </c>
      <c r="D833" s="151" t="str">
        <f t="shared" si="12"/>
        <v>_Glob_MedDisc_StandDose_03##0</v>
      </c>
      <c r="F833" s="151"/>
    </row>
    <row r="834" spans="1:6" x14ac:dyDescent="0.2">
      <c r="A834" s="151" t="s">
        <v>2061</v>
      </c>
      <c r="B834" s="153">
        <f>IF(ISBLANK(GlobBerMedDisc!$E$5),"",GlobBerMedDisc!$E$5)</f>
        <v>0</v>
      </c>
      <c r="C834" s="153">
        <v>0</v>
      </c>
      <c r="D834" s="151" t="str">
        <f t="shared" si="12"/>
        <v>_Glob_MedDisc_StandDose_04##0</v>
      </c>
      <c r="F834" s="151"/>
    </row>
    <row r="835" spans="1:6" x14ac:dyDescent="0.2">
      <c r="A835" s="151" t="s">
        <v>2062</v>
      </c>
      <c r="B835" s="153">
        <f>IF(ISBLANK(GlobBerMedDisc!$E$6),"",GlobBerMedDisc!$E$6)</f>
        <v>0</v>
      </c>
      <c r="C835" s="153">
        <v>0</v>
      </c>
      <c r="D835" s="151" t="str">
        <f t="shared" ref="D835:D898" si="13">A835&amp;"##"&amp;B835</f>
        <v>_Glob_MedDisc_StandDose_05##0</v>
      </c>
      <c r="F835" s="151"/>
    </row>
    <row r="836" spans="1:6" x14ac:dyDescent="0.2">
      <c r="A836" s="151" t="s">
        <v>2063</v>
      </c>
      <c r="B836" s="153">
        <f>IF(ISBLANK(GlobBerMedDisc!$E$7),"",GlobBerMedDisc!$E$7)</f>
        <v>0</v>
      </c>
      <c r="C836" s="153">
        <v>0</v>
      </c>
      <c r="D836" s="151" t="str">
        <f t="shared" si="13"/>
        <v>_Glob_MedDisc_StandDose_06##0</v>
      </c>
      <c r="F836" s="151"/>
    </row>
    <row r="837" spans="1:6" x14ac:dyDescent="0.2">
      <c r="A837" s="151" t="s">
        <v>2064</v>
      </c>
      <c r="B837" s="153">
        <f>IF(ISBLANK(GlobBerMedDisc!$E$8),"",GlobBerMedDisc!$E$8)</f>
        <v>0</v>
      </c>
      <c r="C837" s="153">
        <v>0</v>
      </c>
      <c r="D837" s="151" t="str">
        <f t="shared" si="13"/>
        <v>_Glob_MedDisc_StandDose_07##0</v>
      </c>
      <c r="F837" s="151"/>
    </row>
    <row r="838" spans="1:6" x14ac:dyDescent="0.2">
      <c r="A838" s="151" t="s">
        <v>2065</v>
      </c>
      <c r="B838" s="153">
        <f>IF(ISBLANK(GlobBerMedDisc!$E$9),"",GlobBerMedDisc!$E$9)</f>
        <v>0</v>
      </c>
      <c r="C838" s="153">
        <v>0</v>
      </c>
      <c r="D838" s="151" t="str">
        <f t="shared" si="13"/>
        <v>_Glob_MedDisc_StandDose_08##0</v>
      </c>
      <c r="F838" s="151"/>
    </row>
    <row r="839" spans="1:6" x14ac:dyDescent="0.2">
      <c r="A839" s="151" t="s">
        <v>2066</v>
      </c>
      <c r="B839" s="153">
        <f>IF(ISBLANK(GlobBerMedDisc!$E$10),"",GlobBerMedDisc!$E$10)</f>
        <v>0</v>
      </c>
      <c r="C839" s="153">
        <v>0</v>
      </c>
      <c r="D839" s="151" t="str">
        <f t="shared" si="13"/>
        <v>_Glob_MedDisc_StandDose_09##0</v>
      </c>
      <c r="F839" s="151"/>
    </row>
    <row r="840" spans="1:6" x14ac:dyDescent="0.2">
      <c r="A840" s="151" t="s">
        <v>2067</v>
      </c>
      <c r="B840" s="153">
        <f>IF(ISBLANK(GlobBerMedDisc!$E$11),"",GlobBerMedDisc!$E$11)</f>
        <v>0</v>
      </c>
      <c r="C840" s="153">
        <v>0</v>
      </c>
      <c r="D840" s="151" t="str">
        <f t="shared" si="13"/>
        <v>_Glob_MedDisc_StandDose_10##0</v>
      </c>
      <c r="F840" s="151"/>
    </row>
    <row r="841" spans="1:6" x14ac:dyDescent="0.2">
      <c r="A841" s="151" t="s">
        <v>2068</v>
      </c>
      <c r="B841" s="153">
        <f>IF(ISBLANK(GlobBerMedDisc!$E$12),"",GlobBerMedDisc!$E$12)</f>
        <v>0</v>
      </c>
      <c r="C841" s="153">
        <v>0</v>
      </c>
      <c r="D841" s="151" t="str">
        <f t="shared" si="13"/>
        <v>_Glob_MedDisc_StandDose_11##0</v>
      </c>
      <c r="F841" s="151"/>
    </row>
    <row r="842" spans="1:6" x14ac:dyDescent="0.2">
      <c r="A842" s="151" t="s">
        <v>2069</v>
      </c>
      <c r="B842" s="153">
        <f>IF(ISBLANK(GlobBerMedDisc!$E$13),"",GlobBerMedDisc!$E$13)</f>
        <v>0</v>
      </c>
      <c r="C842" s="153">
        <v>0</v>
      </c>
      <c r="D842" s="151" t="str">
        <f t="shared" si="13"/>
        <v>_Glob_MedDisc_StandDose_12##0</v>
      </c>
      <c r="F842" s="151"/>
    </row>
    <row r="843" spans="1:6" x14ac:dyDescent="0.2">
      <c r="A843" s="151" t="s">
        <v>2070</v>
      </c>
      <c r="B843" s="153">
        <f>IF(ISBLANK(GlobBerMedDisc!$E$14),"",GlobBerMedDisc!$E$14)</f>
        <v>0</v>
      </c>
      <c r="C843" s="153">
        <v>0</v>
      </c>
      <c r="D843" s="151" t="str">
        <f t="shared" si="13"/>
        <v>_Glob_MedDisc_StandDose_13##0</v>
      </c>
      <c r="F843" s="151"/>
    </row>
    <row r="844" spans="1:6" x14ac:dyDescent="0.2">
      <c r="A844" s="151" t="s">
        <v>2071</v>
      </c>
      <c r="B844" s="153">
        <f>IF(ISBLANK(GlobBerMedDisc!$E$15),"",GlobBerMedDisc!$E$15)</f>
        <v>0</v>
      </c>
      <c r="C844" s="153">
        <v>0</v>
      </c>
      <c r="D844" s="151" t="str">
        <f t="shared" si="13"/>
        <v>_Glob_MedDisc_StandDose_14##0</v>
      </c>
      <c r="F844" s="151"/>
    </row>
    <row r="845" spans="1:6" x14ac:dyDescent="0.2">
      <c r="A845" s="151" t="s">
        <v>2072</v>
      </c>
      <c r="B845" s="153">
        <f>IF(ISBLANK(GlobBerMedDisc!$E$16),"",GlobBerMedDisc!$E$16)</f>
        <v>0</v>
      </c>
      <c r="C845" s="153">
        <v>0</v>
      </c>
      <c r="D845" s="151" t="str">
        <f t="shared" si="13"/>
        <v>_Glob_MedDisc_StandDose_15##0</v>
      </c>
      <c r="F845" s="151"/>
    </row>
    <row r="846" spans="1:6" x14ac:dyDescent="0.2">
      <c r="A846" s="151" t="s">
        <v>2073</v>
      </c>
      <c r="B846" s="153">
        <f>IF(ISBLANK(GlobBerMedDisc!$E$17),"",GlobBerMedDisc!$E$17)</f>
        <v>0</v>
      </c>
      <c r="C846" s="153">
        <v>0</v>
      </c>
      <c r="D846" s="151" t="str">
        <f t="shared" si="13"/>
        <v>_Glob_MedDisc_StandDose_16##0</v>
      </c>
      <c r="F846" s="151"/>
    </row>
    <row r="847" spans="1:6" x14ac:dyDescent="0.2">
      <c r="A847" s="151" t="s">
        <v>2074</v>
      </c>
      <c r="B847" s="153">
        <f>IF(ISBLANK(GlobBerMedDisc!$E$18),"",GlobBerMedDisc!$E$18)</f>
        <v>0</v>
      </c>
      <c r="C847" s="153">
        <v>0</v>
      </c>
      <c r="D847" s="151" t="str">
        <f t="shared" si="13"/>
        <v>_Glob_MedDisc_StandDose_17##0</v>
      </c>
      <c r="E847" s="151"/>
      <c r="F847" s="151"/>
    </row>
    <row r="848" spans="1:6" x14ac:dyDescent="0.2">
      <c r="A848" s="151" t="s">
        <v>2075</v>
      </c>
      <c r="B848" s="153">
        <f>IF(ISBLANK(GlobBerMedDisc!$E$19),"",GlobBerMedDisc!$E$19)</f>
        <v>0</v>
      </c>
      <c r="C848" s="153">
        <v>0</v>
      </c>
      <c r="D848" s="151" t="str">
        <f t="shared" si="13"/>
        <v>_Glob_MedDisc_StandDose_18##0</v>
      </c>
      <c r="E848" s="151"/>
      <c r="F848" s="151"/>
    </row>
    <row r="849" spans="1:6" x14ac:dyDescent="0.2">
      <c r="A849" s="151" t="s">
        <v>2076</v>
      </c>
      <c r="B849" s="153">
        <f>IF(ISBLANK(GlobBerMedDisc!$E$20),"",GlobBerMedDisc!$E$20)</f>
        <v>0</v>
      </c>
      <c r="C849" s="153">
        <v>0</v>
      </c>
      <c r="D849" s="151" t="str">
        <f t="shared" si="13"/>
        <v>_Glob_MedDisc_StandDose_19##0</v>
      </c>
      <c r="E849" s="151"/>
      <c r="F849" s="151"/>
    </row>
    <row r="850" spans="1:6" x14ac:dyDescent="0.2">
      <c r="A850" s="151" t="s">
        <v>2077</v>
      </c>
      <c r="B850" s="153">
        <f>IF(ISBLANK(GlobBerMedDisc!$E$21),"",GlobBerMedDisc!$E$21)</f>
        <v>0</v>
      </c>
      <c r="C850" s="153">
        <v>0</v>
      </c>
      <c r="D850" s="151" t="str">
        <f t="shared" si="13"/>
        <v>_Glob_MedDisc_StandDose_20##0</v>
      </c>
      <c r="E850" s="151"/>
      <c r="F850" s="151"/>
    </row>
    <row r="851" spans="1:6" x14ac:dyDescent="0.2">
      <c r="A851" s="151" t="s">
        <v>2078</v>
      </c>
      <c r="B851" s="153">
        <f>IF(ISBLANK(GlobBerMedDisc!$E$22),"",GlobBerMedDisc!$E$22)</f>
        <v>0</v>
      </c>
      <c r="C851" s="153">
        <v>0</v>
      </c>
      <c r="D851" s="151" t="str">
        <f t="shared" si="13"/>
        <v>_Glob_MedDisc_StandDose_21##0</v>
      </c>
      <c r="E851" s="151"/>
      <c r="F851" s="151"/>
    </row>
    <row r="852" spans="1:6" x14ac:dyDescent="0.2">
      <c r="A852" s="151" t="s">
        <v>2079</v>
      </c>
      <c r="B852" s="153">
        <f>IF(ISBLANK(GlobBerMedDisc!$E$23),"",GlobBerMedDisc!$E$23)</f>
        <v>0</v>
      </c>
      <c r="C852" s="153">
        <v>0</v>
      </c>
      <c r="D852" s="151" t="str">
        <f t="shared" si="13"/>
        <v>_Glob_MedDisc_StandDose_22##0</v>
      </c>
      <c r="E852" s="151"/>
      <c r="F852" s="151"/>
    </row>
    <row r="853" spans="1:6" x14ac:dyDescent="0.2">
      <c r="A853" s="151" t="s">
        <v>2080</v>
      </c>
      <c r="B853" s="153">
        <f>IF(ISBLANK(GlobBerMedDisc!$E$24),"",GlobBerMedDisc!$E$24)</f>
        <v>0</v>
      </c>
      <c r="C853" s="153">
        <v>0</v>
      </c>
      <c r="D853" s="151" t="str">
        <f t="shared" si="13"/>
        <v>_Glob_MedDisc_StandDose_23##0</v>
      </c>
      <c r="E853" s="151"/>
      <c r="F853" s="151"/>
    </row>
    <row r="854" spans="1:6" x14ac:dyDescent="0.2">
      <c r="A854" s="151" t="s">
        <v>2081</v>
      </c>
      <c r="B854" s="153">
        <f>IF(ISBLANK(GlobBerMedDisc!$E$25),"",GlobBerMedDisc!$E$25)</f>
        <v>0</v>
      </c>
      <c r="C854" s="153">
        <v>0</v>
      </c>
      <c r="D854" s="151" t="str">
        <f t="shared" si="13"/>
        <v>_Glob_MedDisc_StandDose_24##0</v>
      </c>
      <c r="E854" s="151"/>
      <c r="F854" s="151"/>
    </row>
    <row r="855" spans="1:6" x14ac:dyDescent="0.2">
      <c r="A855" s="151" t="s">
        <v>2082</v>
      </c>
      <c r="B855" s="153">
        <f>IF(ISBLANK(GlobBerMedDisc!$E$26),"",GlobBerMedDisc!$E$26)</f>
        <v>0</v>
      </c>
      <c r="C855" s="153">
        <v>0</v>
      </c>
      <c r="D855" s="151" t="str">
        <f t="shared" si="13"/>
        <v>_Glob_MedDisc_StandDose_25##0</v>
      </c>
      <c r="E855" s="151"/>
      <c r="F855" s="151"/>
    </row>
    <row r="856" spans="1:6" x14ac:dyDescent="0.2">
      <c r="A856" s="151" t="s">
        <v>2083</v>
      </c>
      <c r="B856" s="153">
        <f>IF(ISBLANK(GlobBerMedDisc!$E$27),"",GlobBerMedDisc!$E$27)</f>
        <v>0</v>
      </c>
      <c r="C856" s="153">
        <v>0</v>
      </c>
      <c r="D856" s="151" t="str">
        <f t="shared" si="13"/>
        <v>_Glob_MedDisc_StandDose_26##0</v>
      </c>
      <c r="E856" s="151"/>
      <c r="F856" s="151"/>
    </row>
    <row r="857" spans="1:6" x14ac:dyDescent="0.2">
      <c r="A857" s="151" t="s">
        <v>2084</v>
      </c>
      <c r="B857" s="153">
        <f>IF(ISBLANK(GlobBerMedDisc!$E$28),"",GlobBerMedDisc!$E$28)</f>
        <v>0</v>
      </c>
      <c r="C857" s="153">
        <v>0</v>
      </c>
      <c r="D857" s="151" t="str">
        <f t="shared" si="13"/>
        <v>_Glob_MedDisc_StandDose_27##0</v>
      </c>
      <c r="E857" s="151"/>
      <c r="F857" s="151"/>
    </row>
    <row r="858" spans="1:6" x14ac:dyDescent="0.2">
      <c r="A858" s="151" t="s">
        <v>2085</v>
      </c>
      <c r="B858" s="153">
        <f>IF(ISBLANK(GlobBerMedDisc!$E$29),"",GlobBerMedDisc!$E$29)</f>
        <v>0</v>
      </c>
      <c r="C858" s="153">
        <v>0</v>
      </c>
      <c r="D858" s="151" t="str">
        <f t="shared" si="13"/>
        <v>_Glob_MedDisc_StandDose_28##0</v>
      </c>
      <c r="E858" s="151"/>
      <c r="F858" s="151"/>
    </row>
    <row r="859" spans="1:6" x14ac:dyDescent="0.2">
      <c r="A859" s="151" t="s">
        <v>2086</v>
      </c>
      <c r="B859" s="153">
        <f>IF(ISBLANK(GlobBerMedDisc!$E$30),"",GlobBerMedDisc!$E$30)</f>
        <v>0</v>
      </c>
      <c r="C859" s="153">
        <v>0</v>
      </c>
      <c r="D859" s="151" t="str">
        <f t="shared" si="13"/>
        <v>_Glob_MedDisc_StandDose_29##0</v>
      </c>
      <c r="E859" s="151"/>
    </row>
    <row r="860" spans="1:6" x14ac:dyDescent="0.2">
      <c r="A860" s="151" t="s">
        <v>2087</v>
      </c>
      <c r="B860" s="153">
        <f>IF(ISBLANK(GlobBerMedDisc!$E$31),"",GlobBerMedDisc!$E$31)</f>
        <v>0</v>
      </c>
      <c r="C860" s="153">
        <v>0</v>
      </c>
      <c r="D860" s="151" t="str">
        <f t="shared" si="13"/>
        <v>_Glob_MedDisc_StandDose_30##0</v>
      </c>
      <c r="E860" s="151"/>
    </row>
    <row r="861" spans="1:6" x14ac:dyDescent="0.2">
      <c r="A861" s="151" t="s">
        <v>2088</v>
      </c>
      <c r="B861" s="151">
        <f>IF(ISBLANK(GlobBerMedDisc!$AK$2),"",GlobBerMedDisc!$AK$2)</f>
        <v>0</v>
      </c>
      <c r="C861" s="153">
        <v>0</v>
      </c>
      <c r="D861" s="151" t="str">
        <f t="shared" si="13"/>
        <v>_Glob_MedDisc_Sterkte_01##0</v>
      </c>
      <c r="E861" s="151"/>
    </row>
    <row r="862" spans="1:6" x14ac:dyDescent="0.2">
      <c r="A862" s="151" t="s">
        <v>2089</v>
      </c>
      <c r="B862" s="151">
        <f>IF(ISBLANK(GlobBerMedDisc!$AK$3),"",GlobBerMedDisc!$AK$3)</f>
        <v>0</v>
      </c>
      <c r="C862" s="153">
        <v>0</v>
      </c>
      <c r="D862" s="151" t="str">
        <f t="shared" si="13"/>
        <v>_Glob_MedDisc_Sterkte_02##0</v>
      </c>
      <c r="E862" s="151"/>
    </row>
    <row r="863" spans="1:6" x14ac:dyDescent="0.2">
      <c r="A863" s="151" t="s">
        <v>2090</v>
      </c>
      <c r="B863" s="151">
        <f>IF(ISBLANK(GlobBerMedDisc!$AK$4),"",GlobBerMedDisc!$AK$4)</f>
        <v>0</v>
      </c>
      <c r="C863" s="153">
        <v>0</v>
      </c>
      <c r="D863" s="151" t="str">
        <f t="shared" si="13"/>
        <v>_Glob_MedDisc_Sterkte_03##0</v>
      </c>
      <c r="E863" s="151"/>
    </row>
    <row r="864" spans="1:6" x14ac:dyDescent="0.2">
      <c r="A864" s="151" t="s">
        <v>2091</v>
      </c>
      <c r="B864" s="151">
        <f>IF(ISBLANK(GlobBerMedDisc!$AK$5),"",GlobBerMedDisc!$AK$5)</f>
        <v>0</v>
      </c>
      <c r="C864" s="153">
        <v>0</v>
      </c>
      <c r="D864" s="151" t="str">
        <f t="shared" si="13"/>
        <v>_Glob_MedDisc_Sterkte_04##0</v>
      </c>
      <c r="E864" s="151"/>
    </row>
    <row r="865" spans="1:6" x14ac:dyDescent="0.2">
      <c r="A865" s="151" t="s">
        <v>2092</v>
      </c>
      <c r="B865" s="151">
        <f>IF(ISBLANK(GlobBerMedDisc!$AK$6),"",GlobBerMedDisc!$AK$6)</f>
        <v>0</v>
      </c>
      <c r="C865" s="153">
        <v>0</v>
      </c>
      <c r="D865" s="151" t="str">
        <f t="shared" si="13"/>
        <v>_Glob_MedDisc_Sterkte_05##0</v>
      </c>
      <c r="E865" s="151"/>
    </row>
    <row r="866" spans="1:6" s="151" customFormat="1" x14ac:dyDescent="0.2">
      <c r="A866" s="151" t="s">
        <v>2093</v>
      </c>
      <c r="B866" s="151">
        <f>IF(ISBLANK(GlobBerMedDisc!$AK$7),"",GlobBerMedDisc!$AK$7)</f>
        <v>0</v>
      </c>
      <c r="C866" s="153">
        <v>0</v>
      </c>
      <c r="D866" s="151" t="str">
        <f t="shared" si="13"/>
        <v>_Glob_MedDisc_Sterkte_06##0</v>
      </c>
      <c r="F866"/>
    </row>
    <row r="867" spans="1:6" x14ac:dyDescent="0.2">
      <c r="A867" s="151" t="s">
        <v>2094</v>
      </c>
      <c r="B867" s="151">
        <f>IF(ISBLANK(GlobBerMedDisc!$AK$8),"",GlobBerMedDisc!$AK$8)</f>
        <v>0</v>
      </c>
      <c r="C867" s="153">
        <v>0</v>
      </c>
      <c r="D867" s="151" t="str">
        <f t="shared" si="13"/>
        <v>_Glob_MedDisc_Sterkte_07##0</v>
      </c>
      <c r="E867" s="151"/>
    </row>
    <row r="868" spans="1:6" x14ac:dyDescent="0.2">
      <c r="A868" s="151" t="s">
        <v>2095</v>
      </c>
      <c r="B868" s="151">
        <f>IF(ISBLANK(GlobBerMedDisc!$AK$9),"",GlobBerMedDisc!$AK$9)</f>
        <v>0</v>
      </c>
      <c r="C868" s="153">
        <v>0</v>
      </c>
      <c r="D868" s="151" t="str">
        <f t="shared" si="13"/>
        <v>_Glob_MedDisc_Sterkte_08##0</v>
      </c>
      <c r="E868" s="151"/>
    </row>
    <row r="869" spans="1:6" x14ac:dyDescent="0.2">
      <c r="A869" s="151" t="s">
        <v>2096</v>
      </c>
      <c r="B869" s="151">
        <f>IF(ISBLANK(GlobBerMedDisc!$AK$10),"",GlobBerMedDisc!$AK$10)</f>
        <v>0</v>
      </c>
      <c r="C869" s="153">
        <v>0</v>
      </c>
      <c r="D869" s="151" t="str">
        <f t="shared" si="13"/>
        <v>_Glob_MedDisc_Sterkte_09##0</v>
      </c>
      <c r="E869" s="151"/>
    </row>
    <row r="870" spans="1:6" x14ac:dyDescent="0.2">
      <c r="A870" s="151" t="s">
        <v>2097</v>
      </c>
      <c r="B870" s="151">
        <f>IF(ISBLANK(GlobBerMedDisc!$AK$11),"",GlobBerMedDisc!$AK$11)</f>
        <v>0</v>
      </c>
      <c r="C870" s="153">
        <v>0</v>
      </c>
      <c r="D870" s="151" t="str">
        <f t="shared" si="13"/>
        <v>_Glob_MedDisc_Sterkte_10##0</v>
      </c>
      <c r="E870" s="151"/>
    </row>
    <row r="871" spans="1:6" s="151" customFormat="1" x14ac:dyDescent="0.2">
      <c r="A871" s="151" t="s">
        <v>2098</v>
      </c>
      <c r="B871" s="151">
        <f>IF(ISBLANK(GlobBerMedDisc!$AK$12),"",GlobBerMedDisc!$AK$12)</f>
        <v>0</v>
      </c>
      <c r="C871" s="153">
        <v>0</v>
      </c>
      <c r="D871" s="151" t="str">
        <f t="shared" si="13"/>
        <v>_Glob_MedDisc_Sterkte_11##0</v>
      </c>
      <c r="F871"/>
    </row>
    <row r="872" spans="1:6" s="151" customFormat="1" x14ac:dyDescent="0.2">
      <c r="A872" s="151" t="s">
        <v>2099</v>
      </c>
      <c r="B872" s="151">
        <f>IF(ISBLANK(GlobBerMedDisc!$AK$13),"",GlobBerMedDisc!$AK$13)</f>
        <v>0</v>
      </c>
      <c r="C872" s="153">
        <v>0</v>
      </c>
      <c r="D872" s="151" t="str">
        <f t="shared" si="13"/>
        <v>_Glob_MedDisc_Sterkte_12##0</v>
      </c>
      <c r="F872"/>
    </row>
    <row r="873" spans="1:6" s="151" customFormat="1" x14ac:dyDescent="0.2">
      <c r="A873" s="151" t="s">
        <v>2100</v>
      </c>
      <c r="B873" s="151">
        <f>IF(ISBLANK(GlobBerMedDisc!$AK$14),"",GlobBerMedDisc!$AK$14)</f>
        <v>0</v>
      </c>
      <c r="C873" s="153">
        <v>0</v>
      </c>
      <c r="D873" s="151" t="str">
        <f t="shared" si="13"/>
        <v>_Glob_MedDisc_Sterkte_13##0</v>
      </c>
      <c r="F873"/>
    </row>
    <row r="874" spans="1:6" s="151" customFormat="1" x14ac:dyDescent="0.2">
      <c r="A874" s="151" t="s">
        <v>2101</v>
      </c>
      <c r="B874" s="151">
        <f>IF(ISBLANK(GlobBerMedDisc!$AK$15),"",GlobBerMedDisc!$AK$15)</f>
        <v>0</v>
      </c>
      <c r="C874" s="153">
        <v>0</v>
      </c>
      <c r="D874" s="151" t="str">
        <f t="shared" si="13"/>
        <v>_Glob_MedDisc_Sterkte_14##0</v>
      </c>
      <c r="F874"/>
    </row>
    <row r="875" spans="1:6" x14ac:dyDescent="0.2">
      <c r="A875" s="151" t="s">
        <v>2102</v>
      </c>
      <c r="B875" s="151">
        <f>IF(ISBLANK(GlobBerMedDisc!$AK$16),"",GlobBerMedDisc!$AK$16)</f>
        <v>0</v>
      </c>
      <c r="C875" s="153">
        <v>0</v>
      </c>
      <c r="D875" s="151" t="str">
        <f t="shared" si="13"/>
        <v>_Glob_MedDisc_Sterkte_15##0</v>
      </c>
      <c r="E875" s="151"/>
    </row>
    <row r="876" spans="1:6" x14ac:dyDescent="0.2">
      <c r="A876" s="151" t="s">
        <v>2103</v>
      </c>
      <c r="B876" s="151">
        <f>IF(ISBLANK(GlobBerMedDisc!$AK$17),"",GlobBerMedDisc!$AK$17)</f>
        <v>0</v>
      </c>
      <c r="C876" s="153">
        <v>0</v>
      </c>
      <c r="D876" s="151" t="str">
        <f t="shared" si="13"/>
        <v>_Glob_MedDisc_Sterkte_16##0</v>
      </c>
      <c r="E876" s="151"/>
    </row>
    <row r="877" spans="1:6" x14ac:dyDescent="0.2">
      <c r="A877" s="151" t="s">
        <v>2104</v>
      </c>
      <c r="B877" s="151">
        <f>IF(ISBLANK(GlobBerMedDisc!$AK$18),"",GlobBerMedDisc!$AK$18)</f>
        <v>0</v>
      </c>
      <c r="C877" s="153">
        <v>0</v>
      </c>
      <c r="D877" s="151" t="str">
        <f t="shared" si="13"/>
        <v>_Glob_MedDisc_Sterkte_17##0</v>
      </c>
      <c r="E877" s="151"/>
    </row>
    <row r="878" spans="1:6" x14ac:dyDescent="0.2">
      <c r="A878" s="151" t="s">
        <v>2105</v>
      </c>
      <c r="B878" s="151">
        <f>IF(ISBLANK(GlobBerMedDisc!$AK$19),"",GlobBerMedDisc!$AK$19)</f>
        <v>0</v>
      </c>
      <c r="C878" s="153">
        <v>0</v>
      </c>
      <c r="D878" s="151" t="str">
        <f t="shared" si="13"/>
        <v>_Glob_MedDisc_Sterkte_18##0</v>
      </c>
      <c r="E878" s="151"/>
    </row>
    <row r="879" spans="1:6" x14ac:dyDescent="0.2">
      <c r="A879" s="151" t="s">
        <v>2106</v>
      </c>
      <c r="B879" s="151">
        <f>IF(ISBLANK(GlobBerMedDisc!$AK$20),"",GlobBerMedDisc!$AK$20)</f>
        <v>0</v>
      </c>
      <c r="C879" s="153">
        <v>0</v>
      </c>
      <c r="D879" s="151" t="str">
        <f t="shared" si="13"/>
        <v>_Glob_MedDisc_Sterkte_19##0</v>
      </c>
      <c r="E879" s="151"/>
    </row>
    <row r="880" spans="1:6" x14ac:dyDescent="0.2">
      <c r="A880" s="151" t="s">
        <v>2107</v>
      </c>
      <c r="B880" s="151">
        <f>IF(ISBLANK(GlobBerMedDisc!$AK$21),"",GlobBerMedDisc!$AK$21)</f>
        <v>0</v>
      </c>
      <c r="C880" s="153">
        <v>0</v>
      </c>
      <c r="D880" s="151" t="str">
        <f t="shared" si="13"/>
        <v>_Glob_MedDisc_Sterkte_20##0</v>
      </c>
      <c r="E880" s="151"/>
    </row>
    <row r="881" spans="1:6" x14ac:dyDescent="0.2">
      <c r="A881" s="151" t="s">
        <v>2108</v>
      </c>
      <c r="B881" s="151">
        <f>IF(ISBLANK(GlobBerMedDisc!$AK$22),"",GlobBerMedDisc!$AK$22)</f>
        <v>0</v>
      </c>
      <c r="C881" s="153">
        <v>0</v>
      </c>
      <c r="D881" s="151" t="str">
        <f t="shared" si="13"/>
        <v>_Glob_MedDisc_Sterkte_21##0</v>
      </c>
      <c r="E881" s="151"/>
    </row>
    <row r="882" spans="1:6" x14ac:dyDescent="0.2">
      <c r="A882" s="151" t="s">
        <v>2109</v>
      </c>
      <c r="B882" s="151">
        <f>IF(ISBLANK(GlobBerMedDisc!$AK$23),"",GlobBerMedDisc!$AK$23)</f>
        <v>0</v>
      </c>
      <c r="C882" s="153">
        <v>0</v>
      </c>
      <c r="D882" s="151" t="str">
        <f t="shared" si="13"/>
        <v>_Glob_MedDisc_Sterkte_22##0</v>
      </c>
      <c r="E882" s="151"/>
      <c r="F882" s="151"/>
    </row>
    <row r="883" spans="1:6" x14ac:dyDescent="0.2">
      <c r="A883" s="151" t="s">
        <v>2110</v>
      </c>
      <c r="B883" s="151">
        <f>IF(ISBLANK(GlobBerMedDisc!$AK$24),"",GlobBerMedDisc!$AK$24)</f>
        <v>0</v>
      </c>
      <c r="C883" s="153">
        <v>0</v>
      </c>
      <c r="D883" s="151" t="str">
        <f t="shared" si="13"/>
        <v>_Glob_MedDisc_Sterkte_23##0</v>
      </c>
      <c r="E883" s="151"/>
    </row>
    <row r="884" spans="1:6" x14ac:dyDescent="0.2">
      <c r="A884" s="151" t="s">
        <v>2111</v>
      </c>
      <c r="B884" s="151">
        <f>IF(ISBLANK(GlobBerMedDisc!$AK$25),"",GlobBerMedDisc!$AK$25)</f>
        <v>0</v>
      </c>
      <c r="C884" s="153">
        <v>0</v>
      </c>
      <c r="D884" s="151" t="str">
        <f t="shared" si="13"/>
        <v>_Glob_MedDisc_Sterkte_24##0</v>
      </c>
      <c r="E884" s="151"/>
    </row>
    <row r="885" spans="1:6" x14ac:dyDescent="0.2">
      <c r="A885" s="151" t="s">
        <v>2112</v>
      </c>
      <c r="B885" s="151">
        <f>IF(ISBLANK(GlobBerMedDisc!$AK$26),"",GlobBerMedDisc!$AK$26)</f>
        <v>0</v>
      </c>
      <c r="C885" s="153">
        <v>0</v>
      </c>
      <c r="D885" s="151" t="str">
        <f t="shared" si="13"/>
        <v>_Glob_MedDisc_Sterkte_25##0</v>
      </c>
      <c r="E885" s="151"/>
    </row>
    <row r="886" spans="1:6" x14ac:dyDescent="0.2">
      <c r="A886" s="151" t="s">
        <v>2113</v>
      </c>
      <c r="B886" s="151">
        <f>IF(ISBLANK(GlobBerMedDisc!$AK$27),"",GlobBerMedDisc!$AK$27)</f>
        <v>0</v>
      </c>
      <c r="C886" s="153">
        <v>0</v>
      </c>
      <c r="D886" s="151" t="str">
        <f t="shared" si="13"/>
        <v>_Glob_MedDisc_Sterkte_26##0</v>
      </c>
      <c r="E886" s="151"/>
    </row>
    <row r="887" spans="1:6" x14ac:dyDescent="0.2">
      <c r="A887" s="151" t="s">
        <v>2114</v>
      </c>
      <c r="B887" s="151">
        <f>IF(ISBLANK(GlobBerMedDisc!$AK$28),"",GlobBerMedDisc!$AK$28)</f>
        <v>0</v>
      </c>
      <c r="C887" s="153">
        <v>0</v>
      </c>
      <c r="D887" s="151" t="str">
        <f t="shared" si="13"/>
        <v>_Glob_MedDisc_Sterkte_27##0</v>
      </c>
      <c r="E887" s="151"/>
    </row>
    <row r="888" spans="1:6" x14ac:dyDescent="0.2">
      <c r="A888" s="151" t="s">
        <v>2115</v>
      </c>
      <c r="B888" s="151">
        <f>IF(ISBLANK(GlobBerMedDisc!$AK$29),"",GlobBerMedDisc!$AK$29)</f>
        <v>0</v>
      </c>
      <c r="C888" s="153">
        <v>0</v>
      </c>
      <c r="D888" s="151" t="str">
        <f t="shared" si="13"/>
        <v>_Glob_MedDisc_Sterkte_28##0</v>
      </c>
      <c r="E888" s="151"/>
    </row>
    <row r="889" spans="1:6" x14ac:dyDescent="0.2">
      <c r="A889" s="151" t="s">
        <v>2116</v>
      </c>
      <c r="B889" s="151">
        <f>IF(ISBLANK(GlobBerMedDisc!$AK$30),"",GlobBerMedDisc!$AK$30)</f>
        <v>0</v>
      </c>
      <c r="C889" s="153">
        <v>0</v>
      </c>
      <c r="D889" s="151" t="str">
        <f t="shared" si="13"/>
        <v>_Glob_MedDisc_Sterkte_29##0</v>
      </c>
    </row>
    <row r="890" spans="1:6" x14ac:dyDescent="0.2">
      <c r="A890" s="151" t="s">
        <v>2117</v>
      </c>
      <c r="B890" s="151">
        <f>IF(ISBLANK(GlobBerMedDisc!$AK$31),"",GlobBerMedDisc!$AK$31)</f>
        <v>0</v>
      </c>
      <c r="C890" s="153">
        <v>0</v>
      </c>
      <c r="D890" s="151" t="str">
        <f t="shared" si="13"/>
        <v>_Glob_MedDisc_Sterkte_30##0</v>
      </c>
    </row>
    <row r="891" spans="1:6" x14ac:dyDescent="0.2">
      <c r="A891" s="151" t="s">
        <v>2118</v>
      </c>
      <c r="B891" s="151" t="str">
        <f>IF(ISBLANK(GlobBerMedDisc!$AL$2),"",GlobBerMedDisc!$AL$2)</f>
        <v/>
      </c>
      <c r="C891" s="44"/>
      <c r="D891" s="151" t="str">
        <f t="shared" si="13"/>
        <v>_Glob_MedDisc_SterkteEenh_01##</v>
      </c>
    </row>
    <row r="892" spans="1:6" x14ac:dyDescent="0.2">
      <c r="A892" s="151" t="s">
        <v>2119</v>
      </c>
      <c r="B892" s="151" t="str">
        <f>IF(ISBLANK(GlobBerMedDisc!$AL$3),"",GlobBerMedDisc!$AL$3)</f>
        <v/>
      </c>
      <c r="C892" s="44"/>
      <c r="D892" s="151" t="str">
        <f t="shared" si="13"/>
        <v>_Glob_MedDisc_SterkteEenh_02##</v>
      </c>
      <c r="F892" s="151"/>
    </row>
    <row r="893" spans="1:6" x14ac:dyDescent="0.2">
      <c r="A893" s="151" t="s">
        <v>2120</v>
      </c>
      <c r="B893" s="151" t="str">
        <f>IF(ISBLANK(GlobBerMedDisc!$AL$4),"",GlobBerMedDisc!$AL$4)</f>
        <v/>
      </c>
      <c r="C893" s="44"/>
      <c r="D893" s="151" t="str">
        <f t="shared" si="13"/>
        <v>_Glob_MedDisc_SterkteEenh_03##</v>
      </c>
      <c r="F893" s="151"/>
    </row>
    <row r="894" spans="1:6" x14ac:dyDescent="0.2">
      <c r="A894" s="151" t="s">
        <v>2121</v>
      </c>
      <c r="B894" s="151" t="str">
        <f>IF(ISBLANK(GlobBerMedDisc!$AL$5),"",GlobBerMedDisc!$AL$5)</f>
        <v/>
      </c>
      <c r="C894" s="44"/>
      <c r="D894" s="151" t="str">
        <f t="shared" si="13"/>
        <v>_Glob_MedDisc_SterkteEenh_04##</v>
      </c>
      <c r="F894" s="151"/>
    </row>
    <row r="895" spans="1:6" x14ac:dyDescent="0.2">
      <c r="A895" s="151" t="s">
        <v>2122</v>
      </c>
      <c r="B895" s="151" t="str">
        <f>IF(ISBLANK(GlobBerMedDisc!$AL$6),"",GlobBerMedDisc!$AL$6)</f>
        <v/>
      </c>
      <c r="C895" s="44"/>
      <c r="D895" s="151" t="str">
        <f t="shared" si="13"/>
        <v>_Glob_MedDisc_SterkteEenh_05##</v>
      </c>
      <c r="F895" s="151"/>
    </row>
    <row r="896" spans="1:6" s="151" customFormat="1" x14ac:dyDescent="0.2">
      <c r="A896" s="151" t="s">
        <v>2123</v>
      </c>
      <c r="B896" s="151" t="str">
        <f>IF(ISBLANK(GlobBerMedDisc!$AL$7),"",GlobBerMedDisc!$AL$7)</f>
        <v/>
      </c>
      <c r="C896" s="44"/>
      <c r="D896" s="151" t="str">
        <f t="shared" si="13"/>
        <v>_Glob_MedDisc_SterkteEenh_06##</v>
      </c>
      <c r="E896"/>
    </row>
    <row r="897" spans="1:6" x14ac:dyDescent="0.2">
      <c r="A897" s="151" t="s">
        <v>2124</v>
      </c>
      <c r="B897" s="151" t="str">
        <f>IF(ISBLANK(GlobBerMedDisc!$AL$8),"",GlobBerMedDisc!$AL$8)</f>
        <v/>
      </c>
      <c r="C897" s="44"/>
      <c r="D897" s="151" t="str">
        <f t="shared" si="13"/>
        <v>_Glob_MedDisc_SterkteEenh_07##</v>
      </c>
      <c r="F897" s="151"/>
    </row>
    <row r="898" spans="1:6" x14ac:dyDescent="0.2">
      <c r="A898" s="151" t="s">
        <v>2125</v>
      </c>
      <c r="B898" s="151" t="str">
        <f>IF(ISBLANK(GlobBerMedDisc!$AL$9),"",GlobBerMedDisc!$AL$9)</f>
        <v/>
      </c>
      <c r="C898" s="44"/>
      <c r="D898" s="151" t="str">
        <f t="shared" si="13"/>
        <v>_Glob_MedDisc_SterkteEenh_08##</v>
      </c>
      <c r="F898" s="151"/>
    </row>
    <row r="899" spans="1:6" x14ac:dyDescent="0.2">
      <c r="A899" s="151" t="s">
        <v>2126</v>
      </c>
      <c r="B899" s="151" t="str">
        <f>IF(ISBLANK(GlobBerMedDisc!$AL$10),"",GlobBerMedDisc!$AL$10)</f>
        <v/>
      </c>
      <c r="C899" s="44"/>
      <c r="D899" s="151" t="str">
        <f t="shared" ref="D899:D962" si="14">A899&amp;"##"&amp;B899</f>
        <v>_Glob_MedDisc_SterkteEenh_09##</v>
      </c>
      <c r="F899" s="151"/>
    </row>
    <row r="900" spans="1:6" x14ac:dyDescent="0.2">
      <c r="A900" s="151" t="s">
        <v>2127</v>
      </c>
      <c r="B900" s="151" t="str">
        <f>IF(ISBLANK(GlobBerMedDisc!$AL$11),"",GlobBerMedDisc!$AL$11)</f>
        <v/>
      </c>
      <c r="C900" s="44"/>
      <c r="D900" s="151" t="str">
        <f t="shared" si="14"/>
        <v>_Glob_MedDisc_SterkteEenh_10##</v>
      </c>
      <c r="F900" s="151"/>
    </row>
    <row r="901" spans="1:6" s="151" customFormat="1" x14ac:dyDescent="0.2">
      <c r="A901" s="151" t="s">
        <v>2128</v>
      </c>
      <c r="B901" s="151" t="str">
        <f>IF(ISBLANK(GlobBerMedDisc!$AL$12),"",GlobBerMedDisc!$AL$12)</f>
        <v/>
      </c>
      <c r="C901" s="44"/>
      <c r="D901" s="151" t="str">
        <f t="shared" si="14"/>
        <v>_Glob_MedDisc_SterkteEenh_11##</v>
      </c>
      <c r="E901"/>
      <c r="F901"/>
    </row>
    <row r="902" spans="1:6" s="151" customFormat="1" x14ac:dyDescent="0.2">
      <c r="A902" s="151" t="s">
        <v>2129</v>
      </c>
      <c r="B902" s="151" t="str">
        <f>IF(ISBLANK(GlobBerMedDisc!$AL$13),"",GlobBerMedDisc!$AL$13)</f>
        <v/>
      </c>
      <c r="C902" s="44"/>
      <c r="D902" s="151" t="str">
        <f t="shared" si="14"/>
        <v>_Glob_MedDisc_SterkteEenh_12##</v>
      </c>
      <c r="E902"/>
      <c r="F902"/>
    </row>
    <row r="903" spans="1:6" s="151" customFormat="1" x14ac:dyDescent="0.2">
      <c r="A903" s="151" t="s">
        <v>2130</v>
      </c>
      <c r="B903" t="str">
        <f>IF(ISBLANK(GlobBerMedDisc!$AL$14),"",GlobBerMedDisc!$AL$14)</f>
        <v/>
      </c>
      <c r="C903" s="44"/>
      <c r="D903" s="151" t="str">
        <f t="shared" si="14"/>
        <v>_Glob_MedDisc_SterkteEenh_13##</v>
      </c>
      <c r="E903"/>
      <c r="F903"/>
    </row>
    <row r="904" spans="1:6" s="151" customFormat="1" x14ac:dyDescent="0.2">
      <c r="A904" s="151" t="s">
        <v>2131</v>
      </c>
      <c r="B904" t="str">
        <f>IF(ISBLANK(GlobBerMedDisc!$AL$15),"",GlobBerMedDisc!$AL$15)</f>
        <v/>
      </c>
      <c r="C904" s="44"/>
      <c r="D904" s="151" t="str">
        <f t="shared" si="14"/>
        <v>_Glob_MedDisc_SterkteEenh_14##</v>
      </c>
      <c r="E904"/>
      <c r="F904"/>
    </row>
    <row r="905" spans="1:6" x14ac:dyDescent="0.2">
      <c r="A905" s="151" t="s">
        <v>2132</v>
      </c>
      <c r="B905" t="str">
        <f>IF(ISBLANK(GlobBerMedDisc!$AL$16),"",GlobBerMedDisc!$AL$16)</f>
        <v/>
      </c>
      <c r="C905" s="44"/>
      <c r="D905" s="151" t="str">
        <f t="shared" si="14"/>
        <v>_Glob_MedDisc_SterkteEenh_15##</v>
      </c>
    </row>
    <row r="906" spans="1:6" x14ac:dyDescent="0.2">
      <c r="A906" s="151" t="s">
        <v>2133</v>
      </c>
      <c r="B906" t="str">
        <f>IF(ISBLANK(GlobBerMedDisc!$AL$17),"",GlobBerMedDisc!$AL$17)</f>
        <v/>
      </c>
      <c r="C906" s="44"/>
      <c r="D906" s="151" t="str">
        <f t="shared" si="14"/>
        <v>_Glob_MedDisc_SterkteEenh_16##</v>
      </c>
    </row>
    <row r="907" spans="1:6" x14ac:dyDescent="0.2">
      <c r="A907" s="151" t="s">
        <v>2134</v>
      </c>
      <c r="B907" t="str">
        <f>IF(ISBLANK(GlobBerMedDisc!$AL$18),"",GlobBerMedDisc!$AL$18)</f>
        <v/>
      </c>
      <c r="C907" s="44"/>
      <c r="D907" s="151" t="str">
        <f t="shared" si="14"/>
        <v>_Glob_MedDisc_SterkteEenh_17##</v>
      </c>
    </row>
    <row r="908" spans="1:6" x14ac:dyDescent="0.2">
      <c r="A908" s="151" t="s">
        <v>2135</v>
      </c>
      <c r="B908" t="str">
        <f>IF(ISBLANK(GlobBerMedDisc!$AL$19),"",GlobBerMedDisc!$AL$19)</f>
        <v/>
      </c>
      <c r="C908" s="44"/>
      <c r="D908" s="151" t="str">
        <f t="shared" si="14"/>
        <v>_Glob_MedDisc_SterkteEenh_18##</v>
      </c>
    </row>
    <row r="909" spans="1:6" x14ac:dyDescent="0.2">
      <c r="A909" s="151" t="s">
        <v>2136</v>
      </c>
      <c r="B909" t="str">
        <f>IF(ISBLANK(GlobBerMedDisc!$AL$20),"",GlobBerMedDisc!$AL$20)</f>
        <v/>
      </c>
      <c r="C909" s="44"/>
      <c r="D909" s="151" t="str">
        <f t="shared" si="14"/>
        <v>_Glob_MedDisc_SterkteEenh_19##</v>
      </c>
    </row>
    <row r="910" spans="1:6" x14ac:dyDescent="0.2">
      <c r="A910" s="151" t="s">
        <v>2137</v>
      </c>
      <c r="B910" t="str">
        <f>IF(ISBLANK(GlobBerMedDisc!$AL$21),"",GlobBerMedDisc!$AL$21)</f>
        <v/>
      </c>
      <c r="C910" s="44"/>
      <c r="D910" s="151" t="str">
        <f t="shared" si="14"/>
        <v>_Glob_MedDisc_SterkteEenh_20##</v>
      </c>
    </row>
    <row r="911" spans="1:6" x14ac:dyDescent="0.2">
      <c r="A911" s="151" t="s">
        <v>2138</v>
      </c>
      <c r="B911" t="str">
        <f>IF(ISBLANK(GlobBerMedDisc!$AL$22),"",GlobBerMedDisc!$AL$22)</f>
        <v/>
      </c>
      <c r="C911" s="44"/>
      <c r="D911" s="151" t="str">
        <f t="shared" si="14"/>
        <v>_Glob_MedDisc_SterkteEenh_21##</v>
      </c>
    </row>
    <row r="912" spans="1:6" x14ac:dyDescent="0.2">
      <c r="A912" s="151" t="s">
        <v>2139</v>
      </c>
      <c r="B912" t="str">
        <f>IF(ISBLANK(GlobBerMedDisc!$AL$23),"",GlobBerMedDisc!$AL$23)</f>
        <v/>
      </c>
      <c r="C912" s="44"/>
      <c r="D912" s="151" t="str">
        <f t="shared" si="14"/>
        <v>_Glob_MedDisc_SterkteEenh_22##</v>
      </c>
    </row>
    <row r="913" spans="1:4" x14ac:dyDescent="0.2">
      <c r="A913" s="151" t="s">
        <v>2140</v>
      </c>
      <c r="B913" s="151" t="str">
        <f>IF(ISBLANK(GlobBerMedDisc!$AL$24),"",GlobBerMedDisc!$AL$24)</f>
        <v/>
      </c>
      <c r="C913" s="44"/>
      <c r="D913" s="151" t="str">
        <f t="shared" si="14"/>
        <v>_Glob_MedDisc_SterkteEenh_23##</v>
      </c>
    </row>
    <row r="914" spans="1:4" x14ac:dyDescent="0.2">
      <c r="A914" s="151" t="s">
        <v>2141</v>
      </c>
      <c r="B914" t="str">
        <f>IF(ISBLANK(GlobBerMedDisc!$AL$25),"",GlobBerMedDisc!$AL$25)</f>
        <v/>
      </c>
      <c r="C914" s="44"/>
      <c r="D914" s="151" t="str">
        <f t="shared" si="14"/>
        <v>_Glob_MedDisc_SterkteEenh_24##</v>
      </c>
    </row>
    <row r="915" spans="1:4" x14ac:dyDescent="0.2">
      <c r="A915" s="151" t="s">
        <v>2142</v>
      </c>
      <c r="B915" t="str">
        <f>IF(ISBLANK(GlobBerMedDisc!$AL$26),"",GlobBerMedDisc!$AL$26)</f>
        <v/>
      </c>
      <c r="C915" s="44"/>
      <c r="D915" s="151" t="str">
        <f t="shared" si="14"/>
        <v>_Glob_MedDisc_SterkteEenh_25##</v>
      </c>
    </row>
    <row r="916" spans="1:4" x14ac:dyDescent="0.2">
      <c r="A916" s="151" t="s">
        <v>2143</v>
      </c>
      <c r="B916" s="151" t="str">
        <f>IF(ISBLANK(GlobBerMedDisc!$AL$27),"",GlobBerMedDisc!$AL$27)</f>
        <v/>
      </c>
      <c r="C916" s="44"/>
      <c r="D916" s="151" t="str">
        <f t="shared" si="14"/>
        <v>_Glob_MedDisc_SterkteEenh_26##</v>
      </c>
    </row>
    <row r="917" spans="1:4" x14ac:dyDescent="0.2">
      <c r="A917" s="151" t="s">
        <v>2144</v>
      </c>
      <c r="B917" t="str">
        <f>IF(ISBLANK(GlobBerMedDisc!$AL$28),"",GlobBerMedDisc!$AL$28)</f>
        <v/>
      </c>
      <c r="C917" s="44"/>
      <c r="D917" s="151" t="str">
        <f t="shared" si="14"/>
        <v>_Glob_MedDisc_SterkteEenh_27##</v>
      </c>
    </row>
    <row r="918" spans="1:4" x14ac:dyDescent="0.2">
      <c r="A918" s="151" t="s">
        <v>2145</v>
      </c>
      <c r="B918" t="str">
        <f>IF(ISBLANK(GlobBerMedDisc!$AL$29),"",GlobBerMedDisc!$AL$29)</f>
        <v/>
      </c>
      <c r="C918" s="44"/>
      <c r="D918" s="151" t="str">
        <f t="shared" si="14"/>
        <v>_Glob_MedDisc_SterkteEenh_28##</v>
      </c>
    </row>
    <row r="919" spans="1:4" x14ac:dyDescent="0.2">
      <c r="A919" s="151" t="s">
        <v>2146</v>
      </c>
      <c r="B919" t="str">
        <f>IF(ISBLANK(GlobBerMedDisc!$AL$30),"",GlobBerMedDisc!$AL$30)</f>
        <v/>
      </c>
      <c r="C919" s="44"/>
      <c r="D919" s="151" t="str">
        <f t="shared" si="14"/>
        <v>_Glob_MedDisc_SterkteEenh_29##</v>
      </c>
    </row>
    <row r="920" spans="1:4" x14ac:dyDescent="0.2">
      <c r="A920" s="151" t="s">
        <v>2147</v>
      </c>
      <c r="B920" t="str">
        <f>IF(ISBLANK(GlobBerMedDisc!$AL$31),"",GlobBerMedDisc!$AL$31)</f>
        <v/>
      </c>
      <c r="C920" s="44"/>
      <c r="D920" s="151" t="str">
        <f t="shared" si="14"/>
        <v>_Glob_MedDisc_SterkteEenh_30##</v>
      </c>
    </row>
    <row r="921" spans="1:4" x14ac:dyDescent="0.2">
      <c r="A921" s="151" t="s">
        <v>2148</v>
      </c>
      <c r="B921" t="str">
        <f>IF(ISBLANK(GlobBerMedDisc!$L$2),"",GlobBerMedDisc!$L$2)</f>
        <v/>
      </c>
      <c r="C921" s="44"/>
      <c r="D921" s="151" t="str">
        <f t="shared" si="14"/>
        <v>_Glob_MedDisc_Toed_01##</v>
      </c>
    </row>
    <row r="922" spans="1:4" x14ac:dyDescent="0.2">
      <c r="A922" s="151" t="s">
        <v>2149</v>
      </c>
      <c r="B922" t="str">
        <f>IF(ISBLANK(GlobBerMedDisc!$L$3),"",GlobBerMedDisc!$L$3)</f>
        <v/>
      </c>
      <c r="C922" s="44"/>
      <c r="D922" s="151" t="str">
        <f t="shared" si="14"/>
        <v>_Glob_MedDisc_Toed_02##</v>
      </c>
    </row>
    <row r="923" spans="1:4" x14ac:dyDescent="0.2">
      <c r="A923" s="151" t="s">
        <v>2150</v>
      </c>
      <c r="B923" s="151" t="str">
        <f>IF(ISBLANK(GlobBerMedDisc!$L$4),"",GlobBerMedDisc!$L$4)</f>
        <v/>
      </c>
      <c r="C923" s="44"/>
      <c r="D923" s="151" t="str">
        <f t="shared" si="14"/>
        <v>_Glob_MedDisc_Toed_03##</v>
      </c>
    </row>
    <row r="924" spans="1:4" x14ac:dyDescent="0.2">
      <c r="A924" s="151" t="s">
        <v>2151</v>
      </c>
      <c r="B924" t="str">
        <f>IF(ISBLANK(GlobBerMedDisc!$L$5),"",GlobBerMedDisc!$L$5)</f>
        <v/>
      </c>
      <c r="C924" s="44"/>
      <c r="D924" s="151" t="str">
        <f t="shared" si="14"/>
        <v>_Glob_MedDisc_Toed_04##</v>
      </c>
    </row>
    <row r="925" spans="1:4" x14ac:dyDescent="0.2">
      <c r="A925" s="151" t="s">
        <v>2152</v>
      </c>
      <c r="B925" t="str">
        <f>IF(ISBLANK(GlobBerMedDisc!$L$6),"",GlobBerMedDisc!$L$6)</f>
        <v/>
      </c>
      <c r="C925" s="44"/>
      <c r="D925" s="151" t="str">
        <f t="shared" si="14"/>
        <v>_Glob_MedDisc_Toed_05##</v>
      </c>
    </row>
    <row r="926" spans="1:4" x14ac:dyDescent="0.2">
      <c r="A926" s="151" t="s">
        <v>2153</v>
      </c>
      <c r="B926" t="str">
        <f>IF(ISBLANK(GlobBerMedDisc!$L$7),"",GlobBerMedDisc!$L$7)</f>
        <v/>
      </c>
      <c r="C926" s="44"/>
      <c r="D926" s="151" t="str">
        <f t="shared" si="14"/>
        <v>_Glob_MedDisc_Toed_06##</v>
      </c>
    </row>
    <row r="927" spans="1:4" x14ac:dyDescent="0.2">
      <c r="A927" s="151" t="s">
        <v>2154</v>
      </c>
      <c r="B927" t="str">
        <f>IF(ISBLANK(GlobBerMedDisc!$L$8),"",GlobBerMedDisc!$L$8)</f>
        <v/>
      </c>
      <c r="C927" s="44"/>
      <c r="D927" s="151" t="str">
        <f t="shared" si="14"/>
        <v>_Glob_MedDisc_Toed_07##</v>
      </c>
    </row>
    <row r="928" spans="1:4" x14ac:dyDescent="0.2">
      <c r="A928" s="151" t="s">
        <v>2155</v>
      </c>
      <c r="B928" t="str">
        <f>IF(ISBLANK(GlobBerMedDisc!$L$9),"",GlobBerMedDisc!$L$9)</f>
        <v/>
      </c>
      <c r="C928" s="44"/>
      <c r="D928" s="151" t="str">
        <f t="shared" si="14"/>
        <v>_Glob_MedDisc_Toed_08##</v>
      </c>
    </row>
    <row r="929" spans="1:6" x14ac:dyDescent="0.2">
      <c r="A929" s="151" t="s">
        <v>2156</v>
      </c>
      <c r="B929" t="str">
        <f>IF(ISBLANK(GlobBerMedDisc!$L$10),"",GlobBerMedDisc!$L$10)</f>
        <v/>
      </c>
      <c r="C929" s="44"/>
      <c r="D929" s="151" t="str">
        <f t="shared" si="14"/>
        <v>_Glob_MedDisc_Toed_09##</v>
      </c>
    </row>
    <row r="930" spans="1:6" x14ac:dyDescent="0.2">
      <c r="A930" s="151" t="s">
        <v>2157</v>
      </c>
      <c r="B930" t="str">
        <f>IF(ISBLANK(GlobBerMedDisc!$L$11),"",GlobBerMedDisc!$L$11)</f>
        <v/>
      </c>
      <c r="C930" s="44"/>
      <c r="D930" s="151" t="str">
        <f t="shared" si="14"/>
        <v>_Glob_MedDisc_Toed_10##</v>
      </c>
    </row>
    <row r="931" spans="1:6" x14ac:dyDescent="0.2">
      <c r="A931" s="151" t="s">
        <v>2158</v>
      </c>
      <c r="B931" t="str">
        <f>IF(ISBLANK(GlobBerMedDisc!$L$12),"",GlobBerMedDisc!$L$12)</f>
        <v/>
      </c>
      <c r="C931" s="44"/>
      <c r="D931" s="151" t="str">
        <f t="shared" si="14"/>
        <v>_Glob_MedDisc_Toed_11##</v>
      </c>
    </row>
    <row r="932" spans="1:6" x14ac:dyDescent="0.2">
      <c r="A932" s="151" t="s">
        <v>2159</v>
      </c>
      <c r="B932" t="str">
        <f>IF(ISBLANK(GlobBerMedDisc!$L$13),"",GlobBerMedDisc!$L$13)</f>
        <v/>
      </c>
      <c r="C932" s="44"/>
      <c r="D932" s="151" t="str">
        <f t="shared" si="14"/>
        <v>_Glob_MedDisc_Toed_12##</v>
      </c>
      <c r="F932" s="151"/>
    </row>
    <row r="933" spans="1:6" x14ac:dyDescent="0.2">
      <c r="A933" s="151" t="s">
        <v>2160</v>
      </c>
      <c r="B933" t="str">
        <f>IF(ISBLANK(GlobBerMedDisc!$L$14),"",GlobBerMedDisc!$L$14)</f>
        <v/>
      </c>
      <c r="C933" s="44"/>
      <c r="D933" s="151" t="str">
        <f t="shared" si="14"/>
        <v>_Glob_MedDisc_Toed_13##</v>
      </c>
    </row>
    <row r="934" spans="1:6" x14ac:dyDescent="0.2">
      <c r="A934" s="151" t="s">
        <v>2161</v>
      </c>
      <c r="B934" t="str">
        <f>IF(ISBLANK(GlobBerMedDisc!$L$15),"",GlobBerMedDisc!$L$15)</f>
        <v/>
      </c>
      <c r="C934" s="44"/>
      <c r="D934" s="151" t="str">
        <f t="shared" si="14"/>
        <v>_Glob_MedDisc_Toed_14##</v>
      </c>
    </row>
    <row r="935" spans="1:6" x14ac:dyDescent="0.2">
      <c r="A935" s="151" t="s">
        <v>2162</v>
      </c>
      <c r="B935" s="151" t="str">
        <f>IF(ISBLANK(GlobBerMedDisc!$L$16),"",GlobBerMedDisc!$L$16)</f>
        <v/>
      </c>
      <c r="C935" s="44"/>
      <c r="D935" s="151" t="str">
        <f t="shared" si="14"/>
        <v>_Glob_MedDisc_Toed_15##</v>
      </c>
    </row>
    <row r="936" spans="1:6" x14ac:dyDescent="0.2">
      <c r="A936" s="151" t="s">
        <v>2163</v>
      </c>
      <c r="B936" t="str">
        <f>IF(ISBLANK(GlobBerMedDisc!$L$17),"",GlobBerMedDisc!$L$17)</f>
        <v/>
      </c>
      <c r="C936" s="44"/>
      <c r="D936" s="151" t="str">
        <f t="shared" si="14"/>
        <v>_Glob_MedDisc_Toed_16##</v>
      </c>
    </row>
    <row r="937" spans="1:6" x14ac:dyDescent="0.2">
      <c r="A937" s="151" t="s">
        <v>2164</v>
      </c>
      <c r="B937" t="str">
        <f>IF(ISBLANK(GlobBerMedDisc!$L$18),"",GlobBerMedDisc!$L$18)</f>
        <v/>
      </c>
      <c r="C937" s="44"/>
      <c r="D937" s="151" t="str">
        <f t="shared" si="14"/>
        <v>_Glob_MedDisc_Toed_17##</v>
      </c>
    </row>
    <row r="938" spans="1:6" x14ac:dyDescent="0.2">
      <c r="A938" s="151" t="s">
        <v>2165</v>
      </c>
      <c r="B938" t="str">
        <f>IF(ISBLANK(GlobBerMedDisc!$L$19),"",GlobBerMedDisc!$L$19)</f>
        <v/>
      </c>
      <c r="C938" s="44"/>
      <c r="D938" s="151" t="str">
        <f t="shared" si="14"/>
        <v>_Glob_MedDisc_Toed_18##</v>
      </c>
    </row>
    <row r="939" spans="1:6" x14ac:dyDescent="0.2">
      <c r="A939" s="151" t="s">
        <v>2166</v>
      </c>
      <c r="B939" t="str">
        <f>IF(ISBLANK(GlobBerMedDisc!$L$20),"",GlobBerMedDisc!$L$20)</f>
        <v/>
      </c>
      <c r="C939" s="44"/>
      <c r="D939" s="151" t="str">
        <f t="shared" si="14"/>
        <v>_Glob_MedDisc_Toed_19##</v>
      </c>
    </row>
    <row r="940" spans="1:6" x14ac:dyDescent="0.2">
      <c r="A940" s="151" t="s">
        <v>2167</v>
      </c>
      <c r="B940" t="str">
        <f>IF(ISBLANK(GlobBerMedDisc!$L$21),"",GlobBerMedDisc!$L$21)</f>
        <v/>
      </c>
      <c r="C940" s="44"/>
      <c r="D940" s="151" t="str">
        <f t="shared" si="14"/>
        <v>_Glob_MedDisc_Toed_20##</v>
      </c>
    </row>
    <row r="941" spans="1:6" x14ac:dyDescent="0.2">
      <c r="A941" s="151" t="s">
        <v>2168</v>
      </c>
      <c r="B941" t="str">
        <f>IF(ISBLANK(GlobBerMedDisc!$L$22),"",GlobBerMedDisc!$L$22)</f>
        <v/>
      </c>
      <c r="C941" s="44"/>
      <c r="D941" s="151" t="str">
        <f t="shared" si="14"/>
        <v>_Glob_MedDisc_Toed_21##</v>
      </c>
    </row>
    <row r="942" spans="1:6" x14ac:dyDescent="0.2">
      <c r="A942" s="151" t="s">
        <v>2169</v>
      </c>
      <c r="B942" t="str">
        <f>IF(ISBLANK(GlobBerMedDisc!$L$23),"",GlobBerMedDisc!$L$23)</f>
        <v/>
      </c>
      <c r="C942" s="44"/>
      <c r="D942" s="151" t="str">
        <f t="shared" si="14"/>
        <v>_Glob_MedDisc_Toed_22##</v>
      </c>
    </row>
    <row r="943" spans="1:6" x14ac:dyDescent="0.2">
      <c r="A943" s="151" t="s">
        <v>2170</v>
      </c>
      <c r="B943" t="str">
        <f>IF(ISBLANK(GlobBerMedDisc!$L$24),"",GlobBerMedDisc!$L$24)</f>
        <v/>
      </c>
      <c r="C943" s="44"/>
      <c r="D943" s="151" t="str">
        <f t="shared" si="14"/>
        <v>_Glob_MedDisc_Toed_23##</v>
      </c>
    </row>
    <row r="944" spans="1:6" x14ac:dyDescent="0.2">
      <c r="A944" s="151" t="s">
        <v>2171</v>
      </c>
      <c r="B944" t="str">
        <f>IF(ISBLANK(GlobBerMedDisc!$L$25),"",GlobBerMedDisc!$L$25)</f>
        <v/>
      </c>
      <c r="C944" s="44"/>
      <c r="D944" s="151" t="str">
        <f t="shared" si="14"/>
        <v>_Glob_MedDisc_Toed_24##</v>
      </c>
    </row>
    <row r="945" spans="1:6" x14ac:dyDescent="0.2">
      <c r="A945" s="151" t="s">
        <v>2172</v>
      </c>
      <c r="B945" t="str">
        <f>IF(ISBLANK(GlobBerMedDisc!$L$26),"",GlobBerMedDisc!$L$26)</f>
        <v/>
      </c>
      <c r="C945" s="44"/>
      <c r="D945" s="151" t="str">
        <f t="shared" si="14"/>
        <v>_Glob_MedDisc_Toed_25##</v>
      </c>
    </row>
    <row r="946" spans="1:6" x14ac:dyDescent="0.2">
      <c r="A946" s="151" t="s">
        <v>2173</v>
      </c>
      <c r="B946" t="str">
        <f>IF(ISBLANK(GlobBerMedDisc!$L$27),"",GlobBerMedDisc!$L$27)</f>
        <v/>
      </c>
      <c r="C946" s="44"/>
      <c r="D946" s="151" t="str">
        <f t="shared" si="14"/>
        <v>_Glob_MedDisc_Toed_26##</v>
      </c>
    </row>
    <row r="947" spans="1:6" x14ac:dyDescent="0.2">
      <c r="A947" s="151" t="s">
        <v>2174</v>
      </c>
      <c r="B947" t="str">
        <f>IF(ISBLANK(GlobBerMedDisc!$L$28),"",GlobBerMedDisc!$L$28)</f>
        <v/>
      </c>
      <c r="C947" s="44"/>
      <c r="D947" s="151" t="str">
        <f t="shared" si="14"/>
        <v>_Glob_MedDisc_Toed_27##</v>
      </c>
    </row>
    <row r="948" spans="1:6" x14ac:dyDescent="0.2">
      <c r="A948" s="151" t="s">
        <v>2175</v>
      </c>
      <c r="B948" s="151" t="str">
        <f>IF(ISBLANK(GlobBerMedDisc!$L$29),"",GlobBerMedDisc!$L$29)</f>
        <v/>
      </c>
      <c r="C948" s="44"/>
      <c r="D948" s="151" t="str">
        <f t="shared" si="14"/>
        <v>_Glob_MedDisc_Toed_28##</v>
      </c>
      <c r="F948" s="151"/>
    </row>
    <row r="949" spans="1:6" x14ac:dyDescent="0.2">
      <c r="A949" s="151" t="s">
        <v>2176</v>
      </c>
      <c r="B949" t="str">
        <f>IF(ISBLANK(GlobBerMedDisc!$L$30),"",GlobBerMedDisc!$L$30)</f>
        <v/>
      </c>
      <c r="C949" s="44"/>
      <c r="D949" s="151" t="str">
        <f t="shared" si="14"/>
        <v>_Glob_MedDisc_Toed_29##</v>
      </c>
    </row>
    <row r="950" spans="1:6" x14ac:dyDescent="0.2">
      <c r="A950" s="151" t="s">
        <v>2177</v>
      </c>
      <c r="B950" t="str">
        <f>IF(ISBLANK(GlobBerMedDisc!$L$31),"",GlobBerMedDisc!$L$31)</f>
        <v/>
      </c>
      <c r="C950" s="44"/>
      <c r="D950" s="151" t="str">
        <f t="shared" si="14"/>
        <v>_Glob_MedDisc_Toed_30##</v>
      </c>
    </row>
    <row r="951" spans="1:6" x14ac:dyDescent="0.2">
      <c r="A951" s="151" t="s">
        <v>3425</v>
      </c>
      <c r="B951" t="str">
        <f>IF(ISBLANK(GlobBerMedDisc!$C$2),"",GlobBerMedDisc!$C$2)</f>
        <v/>
      </c>
      <c r="C951" s="44"/>
      <c r="D951" s="151" t="str">
        <f t="shared" si="14"/>
        <v>_Glob_MedDisc_Vorm_01##</v>
      </c>
    </row>
    <row r="952" spans="1:6" x14ac:dyDescent="0.2">
      <c r="A952" s="151" t="s">
        <v>3426</v>
      </c>
      <c r="B952" t="str">
        <f>IF(ISBLANK(GlobBerMedDisc!$C$3),"",GlobBerMedDisc!$C$3)</f>
        <v/>
      </c>
      <c r="C952" s="44"/>
      <c r="D952" s="151" t="str">
        <f t="shared" si="14"/>
        <v>_Glob_MedDisc_Vorm_02##</v>
      </c>
    </row>
    <row r="953" spans="1:6" x14ac:dyDescent="0.2">
      <c r="A953" s="151" t="s">
        <v>3427</v>
      </c>
      <c r="B953" t="str">
        <f>IF(ISBLANK(GlobBerMedDisc!$C$4),"",GlobBerMedDisc!$C$4)</f>
        <v/>
      </c>
      <c r="C953" s="44"/>
      <c r="D953" s="151" t="str">
        <f t="shared" si="14"/>
        <v>_Glob_MedDisc_Vorm_03##</v>
      </c>
    </row>
    <row r="954" spans="1:6" x14ac:dyDescent="0.2">
      <c r="A954" s="151" t="s">
        <v>3428</v>
      </c>
      <c r="B954" t="str">
        <f>IF(ISBLANK(GlobBerMedDisc!$C$5),"",GlobBerMedDisc!$C$5)</f>
        <v/>
      </c>
      <c r="C954" s="44"/>
      <c r="D954" s="151" t="str">
        <f t="shared" si="14"/>
        <v>_Glob_MedDisc_Vorm_04##</v>
      </c>
    </row>
    <row r="955" spans="1:6" x14ac:dyDescent="0.2">
      <c r="A955" s="151" t="s">
        <v>3429</v>
      </c>
      <c r="B955" t="str">
        <f>IF(ISBLANK(GlobBerMedDisc!$C$6),"",GlobBerMedDisc!$C$6)</f>
        <v/>
      </c>
      <c r="C955" s="44"/>
      <c r="D955" s="151" t="str">
        <f t="shared" si="14"/>
        <v>_Glob_MedDisc_Vorm_05##</v>
      </c>
    </row>
    <row r="956" spans="1:6" x14ac:dyDescent="0.2">
      <c r="A956" s="151" t="s">
        <v>3430</v>
      </c>
      <c r="B956" t="str">
        <f>IF(ISBLANK(GlobBerMedDisc!$C$7),"",GlobBerMedDisc!$C$7)</f>
        <v/>
      </c>
      <c r="C956" s="44"/>
      <c r="D956" s="151" t="str">
        <f t="shared" si="14"/>
        <v>_Glob_MedDisc_Vorm_06##</v>
      </c>
    </row>
    <row r="957" spans="1:6" x14ac:dyDescent="0.2">
      <c r="A957" s="151" t="s">
        <v>3431</v>
      </c>
      <c r="B957" s="151" t="str">
        <f>IF(ISBLANK(GlobBerMedDisc!$C$8),"",GlobBerMedDisc!$C$8)</f>
        <v/>
      </c>
      <c r="C957" s="44"/>
      <c r="D957" s="151" t="str">
        <f t="shared" si="14"/>
        <v>_Glob_MedDisc_Vorm_07##</v>
      </c>
    </row>
    <row r="958" spans="1:6" x14ac:dyDescent="0.2">
      <c r="A958" s="151" t="s">
        <v>3432</v>
      </c>
      <c r="B958" t="str">
        <f>IF(ISBLANK(GlobBerMedDisc!$C$9),"",GlobBerMedDisc!$C$9)</f>
        <v/>
      </c>
      <c r="C958" s="44"/>
      <c r="D958" s="151" t="str">
        <f t="shared" si="14"/>
        <v>_Glob_MedDisc_Vorm_08##</v>
      </c>
    </row>
    <row r="959" spans="1:6" x14ac:dyDescent="0.2">
      <c r="A959" s="151" t="s">
        <v>3433</v>
      </c>
      <c r="B959" t="str">
        <f>IF(ISBLANK(GlobBerMedDisc!$C$10),"",GlobBerMedDisc!$C$10)</f>
        <v/>
      </c>
      <c r="C959" s="44"/>
      <c r="D959" s="151" t="str">
        <f t="shared" si="14"/>
        <v>_Glob_MedDisc_Vorm_09##</v>
      </c>
    </row>
    <row r="960" spans="1:6" x14ac:dyDescent="0.2">
      <c r="A960" s="151" t="s">
        <v>3434</v>
      </c>
      <c r="B960" t="str">
        <f>IF(ISBLANK(GlobBerMedDisc!$C$11),"",GlobBerMedDisc!$C$11)</f>
        <v/>
      </c>
      <c r="C960" s="44"/>
      <c r="D960" s="151" t="str">
        <f t="shared" si="14"/>
        <v>_Glob_MedDisc_Vorm_10##</v>
      </c>
    </row>
    <row r="961" spans="1:5" x14ac:dyDescent="0.2">
      <c r="A961" s="151" t="s">
        <v>3435</v>
      </c>
      <c r="B961" s="151" t="str">
        <f>IF(ISBLANK(GlobBerMedDisc!$C$12),"",GlobBerMedDisc!$C$12)</f>
        <v/>
      </c>
      <c r="C961" s="44"/>
      <c r="D961" s="151" t="str">
        <f t="shared" si="14"/>
        <v>_Glob_MedDisc_Vorm_11##</v>
      </c>
    </row>
    <row r="962" spans="1:5" x14ac:dyDescent="0.2">
      <c r="A962" s="151" t="s">
        <v>3436</v>
      </c>
      <c r="B962" t="str">
        <f>IF(ISBLANK(GlobBerMedDisc!$C$13),"",GlobBerMedDisc!$C$13)</f>
        <v/>
      </c>
      <c r="C962" s="44"/>
      <c r="D962" s="151" t="str">
        <f t="shared" si="14"/>
        <v>_Glob_MedDisc_Vorm_12##</v>
      </c>
      <c r="E962" s="151"/>
    </row>
    <row r="963" spans="1:5" x14ac:dyDescent="0.2">
      <c r="A963" s="151" t="s">
        <v>3437</v>
      </c>
      <c r="B963" t="str">
        <f>IF(ISBLANK(GlobBerMedDisc!$C$14),"",GlobBerMedDisc!$C$14)</f>
        <v/>
      </c>
      <c r="C963" s="44"/>
      <c r="D963" s="151" t="str">
        <f t="shared" ref="D963:D1026" si="15">A963&amp;"##"&amp;B963</f>
        <v>_Glob_MedDisc_Vorm_13##</v>
      </c>
    </row>
    <row r="964" spans="1:5" x14ac:dyDescent="0.2">
      <c r="A964" s="151" t="s">
        <v>3438</v>
      </c>
      <c r="B964" t="str">
        <f>IF(ISBLANK(GlobBerMedDisc!$C$15),"",GlobBerMedDisc!$C$15)</f>
        <v/>
      </c>
      <c r="C964" s="44"/>
      <c r="D964" s="151" t="str">
        <f t="shared" si="15"/>
        <v>_Glob_MedDisc_Vorm_14##</v>
      </c>
    </row>
    <row r="965" spans="1:5" x14ac:dyDescent="0.2">
      <c r="A965" s="151" t="s">
        <v>3439</v>
      </c>
      <c r="B965" t="str">
        <f>IF(ISBLANK(GlobBerMedDisc!$C$16),"",GlobBerMedDisc!$C$16)</f>
        <v/>
      </c>
      <c r="C965" s="44"/>
      <c r="D965" s="151" t="str">
        <f t="shared" si="15"/>
        <v>_Glob_MedDisc_Vorm_15##</v>
      </c>
    </row>
    <row r="966" spans="1:5" x14ac:dyDescent="0.2">
      <c r="A966" s="151" t="s">
        <v>3440</v>
      </c>
      <c r="B966" t="str">
        <f>IF(ISBLANK(GlobBerMedDisc!$C$17),"",GlobBerMedDisc!$C$17)</f>
        <v/>
      </c>
      <c r="C966" s="44"/>
      <c r="D966" s="151" t="str">
        <f t="shared" si="15"/>
        <v>_Glob_MedDisc_Vorm_16##</v>
      </c>
    </row>
    <row r="967" spans="1:5" x14ac:dyDescent="0.2">
      <c r="A967" s="151" t="s">
        <v>3441</v>
      </c>
      <c r="B967" t="str">
        <f>IF(ISBLANK(GlobBerMedDisc!$C$18),"",GlobBerMedDisc!$C$18)</f>
        <v/>
      </c>
      <c r="C967" s="44"/>
      <c r="D967" s="151" t="str">
        <f t="shared" si="15"/>
        <v>_Glob_MedDisc_Vorm_17##</v>
      </c>
    </row>
    <row r="968" spans="1:5" x14ac:dyDescent="0.2">
      <c r="A968" s="151" t="s">
        <v>3442</v>
      </c>
      <c r="B968" t="str">
        <f>IF(ISBLANK(GlobBerMedDisc!$C$19),"",GlobBerMedDisc!$C$19)</f>
        <v/>
      </c>
      <c r="C968" s="44"/>
      <c r="D968" s="151" t="str">
        <f t="shared" si="15"/>
        <v>_Glob_MedDisc_Vorm_18##</v>
      </c>
    </row>
    <row r="969" spans="1:5" x14ac:dyDescent="0.2">
      <c r="A969" s="151" t="s">
        <v>3443</v>
      </c>
      <c r="B969" t="str">
        <f>IF(ISBLANK(GlobBerMedDisc!$C$20),"",GlobBerMedDisc!$C$20)</f>
        <v/>
      </c>
      <c r="C969" s="44"/>
      <c r="D969" s="151" t="str">
        <f t="shared" si="15"/>
        <v>_Glob_MedDisc_Vorm_19##</v>
      </c>
    </row>
    <row r="970" spans="1:5" x14ac:dyDescent="0.2">
      <c r="A970" s="151" t="s">
        <v>3444</v>
      </c>
      <c r="B970" t="str">
        <f>IF(ISBLANK(GlobBerMedDisc!$C$21),"",GlobBerMedDisc!$C$21)</f>
        <v/>
      </c>
      <c r="C970" s="44"/>
      <c r="D970" s="151" t="str">
        <f t="shared" si="15"/>
        <v>_Glob_MedDisc_Vorm_20##</v>
      </c>
    </row>
    <row r="971" spans="1:5" x14ac:dyDescent="0.2">
      <c r="A971" s="151" t="s">
        <v>3445</v>
      </c>
      <c r="B971" t="str">
        <f>IF(ISBLANK(GlobBerMedDisc!$C$22),"",GlobBerMedDisc!$C$22)</f>
        <v/>
      </c>
      <c r="C971" s="44"/>
      <c r="D971" s="151" t="str">
        <f t="shared" si="15"/>
        <v>_Glob_MedDisc_Vorm_21##</v>
      </c>
    </row>
    <row r="972" spans="1:5" x14ac:dyDescent="0.2">
      <c r="A972" s="151" t="s">
        <v>3446</v>
      </c>
      <c r="B972" t="str">
        <f>IF(ISBLANK(GlobBerMedDisc!$C$23),"",GlobBerMedDisc!$C$23)</f>
        <v/>
      </c>
      <c r="C972" s="44"/>
      <c r="D972" s="151" t="str">
        <f t="shared" si="15"/>
        <v>_Glob_MedDisc_Vorm_22##</v>
      </c>
    </row>
    <row r="973" spans="1:5" x14ac:dyDescent="0.2">
      <c r="A973" s="151" t="s">
        <v>3447</v>
      </c>
      <c r="B973" t="str">
        <f>IF(ISBLANK(GlobBerMedDisc!$C$24),"",GlobBerMedDisc!$C$24)</f>
        <v/>
      </c>
      <c r="C973" s="44"/>
      <c r="D973" s="151" t="str">
        <f t="shared" si="15"/>
        <v>_Glob_MedDisc_Vorm_23##</v>
      </c>
    </row>
    <row r="974" spans="1:5" x14ac:dyDescent="0.2">
      <c r="A974" s="151" t="s">
        <v>3448</v>
      </c>
      <c r="B974" t="str">
        <f>IF(ISBLANK(GlobBerMedDisc!$C$25),"",GlobBerMedDisc!$C$25)</f>
        <v/>
      </c>
      <c r="C974" s="44"/>
      <c r="D974" s="151" t="str">
        <f t="shared" si="15"/>
        <v>_Glob_MedDisc_Vorm_24##</v>
      </c>
    </row>
    <row r="975" spans="1:5" x14ac:dyDescent="0.2">
      <c r="A975" s="151" t="s">
        <v>3449</v>
      </c>
      <c r="B975" t="str">
        <f>IF(ISBLANK(GlobBerMedDisc!$C$26),"",GlobBerMedDisc!$C$26)</f>
        <v/>
      </c>
      <c r="C975" s="44"/>
      <c r="D975" s="151" t="str">
        <f t="shared" si="15"/>
        <v>_Glob_MedDisc_Vorm_25##</v>
      </c>
    </row>
    <row r="976" spans="1:5" x14ac:dyDescent="0.2">
      <c r="A976" s="151" t="s">
        <v>3450</v>
      </c>
      <c r="B976" s="151" t="str">
        <f>IF(ISBLANK(GlobBerMedDisc!$C$27),"",GlobBerMedDisc!$C$27)</f>
        <v/>
      </c>
      <c r="C976" s="44"/>
      <c r="D976" s="151" t="str">
        <f t="shared" si="15"/>
        <v>_Glob_MedDisc_Vorm_26##</v>
      </c>
    </row>
    <row r="977" spans="1:6" x14ac:dyDescent="0.2">
      <c r="A977" s="151" t="s">
        <v>3451</v>
      </c>
      <c r="B977" t="str">
        <f>IF(ISBLANK(GlobBerMedDisc!$C$28),"",GlobBerMedDisc!$C$28)</f>
        <v/>
      </c>
      <c r="C977" s="44"/>
      <c r="D977" s="151" t="str">
        <f t="shared" si="15"/>
        <v>_Glob_MedDisc_Vorm_27##</v>
      </c>
    </row>
    <row r="978" spans="1:6" x14ac:dyDescent="0.2">
      <c r="A978" s="151" t="s">
        <v>3452</v>
      </c>
      <c r="B978" t="str">
        <f>IF(ISBLANK(GlobBerMedDisc!$C$29),"",GlobBerMedDisc!$C$29)</f>
        <v/>
      </c>
      <c r="C978" s="44"/>
      <c r="D978" s="151" t="str">
        <f t="shared" si="15"/>
        <v>_Glob_MedDisc_Vorm_28##</v>
      </c>
      <c r="E978" s="151"/>
    </row>
    <row r="979" spans="1:6" x14ac:dyDescent="0.2">
      <c r="A979" s="151" t="s">
        <v>3453</v>
      </c>
      <c r="B979" t="str">
        <f>IF(ISBLANK(GlobBerMedDisc!$C$30),"",GlobBerMedDisc!$C$30)</f>
        <v/>
      </c>
      <c r="C979" s="44"/>
      <c r="D979" s="151" t="str">
        <f t="shared" si="15"/>
        <v>_Glob_MedDisc_Vorm_29##</v>
      </c>
    </row>
    <row r="980" spans="1:6" x14ac:dyDescent="0.2">
      <c r="A980" s="151" t="s">
        <v>3454</v>
      </c>
      <c r="B980" t="str">
        <f>IF(ISBLANK(GlobBerMedDisc!$C$31),"",GlobBerMedDisc!$C$31)</f>
        <v/>
      </c>
      <c r="C980" s="44"/>
      <c r="D980" s="151" t="str">
        <f t="shared" si="15"/>
        <v>_Glob_MedDisc_Vorm_30##</v>
      </c>
    </row>
    <row r="981" spans="1:6" x14ac:dyDescent="0.2">
      <c r="A981" s="151" t="s">
        <v>4090</v>
      </c>
      <c r="B981">
        <f>IF(ISBLANK(GlobTblEnt!$B$39),"",GlobTblEnt!$B$39)</f>
        <v>0</v>
      </c>
      <c r="C981" s="370">
        <v>0</v>
      </c>
      <c r="D981" s="151" t="str">
        <f t="shared" si="15"/>
        <v>_Glob_SpecialeVoeding_01##0</v>
      </c>
    </row>
    <row r="982" spans="1:6" x14ac:dyDescent="0.2">
      <c r="A982" s="151" t="s">
        <v>4092</v>
      </c>
      <c r="B982">
        <f>IF(ISBLANK(GlobTblEnt!$C$39),"",GlobTblEnt!$C$39)</f>
        <v>0</v>
      </c>
      <c r="C982" s="370">
        <v>0</v>
      </c>
      <c r="D982" s="151" t="str">
        <f t="shared" si="15"/>
        <v>_Glob_SpecialeVoeding_02##0</v>
      </c>
    </row>
    <row r="983" spans="1:6" x14ac:dyDescent="0.2">
      <c r="A983" s="151" t="s">
        <v>4094</v>
      </c>
      <c r="B983">
        <f>IF(ISBLANK(GlobTblEnt!$D$39),"",GlobTblEnt!$D$39)</f>
        <v>0</v>
      </c>
      <c r="C983" s="370">
        <v>0</v>
      </c>
      <c r="D983" s="151" t="str">
        <f t="shared" si="15"/>
        <v>_Glob_SpecialeVoeding_03##0</v>
      </c>
    </row>
    <row r="984" spans="1:6" x14ac:dyDescent="0.2">
      <c r="A984" s="151" t="s">
        <v>4096</v>
      </c>
      <c r="B984">
        <f>IF(ISBLANK(GlobTblEnt!$E$39),"",GlobTblEnt!$E$39)</f>
        <v>0</v>
      </c>
      <c r="C984" s="370">
        <v>0</v>
      </c>
      <c r="D984" s="151" t="str">
        <f t="shared" si="15"/>
        <v>_Glob_SpecialeVoeding_04##0</v>
      </c>
    </row>
    <row r="985" spans="1:6" x14ac:dyDescent="0.2">
      <c r="A985" s="151" t="s">
        <v>4098</v>
      </c>
      <c r="B985">
        <f>IF(ISBLANK(GlobTblEnt!$F$39),"",GlobTblEnt!$F$39)</f>
        <v>0</v>
      </c>
      <c r="C985" s="370">
        <v>0</v>
      </c>
      <c r="D985" s="151" t="str">
        <f t="shared" si="15"/>
        <v>_Glob_SpecialeVoeding_05##0</v>
      </c>
    </row>
    <row r="986" spans="1:6" x14ac:dyDescent="0.2">
      <c r="A986" s="151" t="s">
        <v>4100</v>
      </c>
      <c r="B986">
        <f>IF(ISBLANK(GlobTblEnt!$G$39),"",GlobTblEnt!$G$39)</f>
        <v>0</v>
      </c>
      <c r="C986" s="370">
        <v>0</v>
      </c>
      <c r="D986" s="151" t="str">
        <f t="shared" si="15"/>
        <v>_Glob_SpecialeVoeding_06##0</v>
      </c>
      <c r="F986" s="151"/>
    </row>
    <row r="987" spans="1:6" x14ac:dyDescent="0.2">
      <c r="A987" s="151" t="s">
        <v>4102</v>
      </c>
      <c r="B987">
        <f>IF(ISBLANK(GlobTblEnt!$H$39),"",GlobTblEnt!$H$39)</f>
        <v>0</v>
      </c>
      <c r="C987" s="370">
        <v>0</v>
      </c>
      <c r="D987" s="151" t="str">
        <f t="shared" si="15"/>
        <v>_Glob_SpecialeVoeding_07##0</v>
      </c>
    </row>
    <row r="988" spans="1:6" x14ac:dyDescent="0.2">
      <c r="A988" s="151" t="s">
        <v>4104</v>
      </c>
      <c r="B988">
        <f>IF(ISBLANK(GlobTblEnt!$I$39),"",GlobTblEnt!$I$39)</f>
        <v>0</v>
      </c>
      <c r="C988" s="370">
        <v>0</v>
      </c>
      <c r="D988" s="151" t="str">
        <f t="shared" si="15"/>
        <v>_Glob_SpecialeVoeding_08##0</v>
      </c>
    </row>
    <row r="989" spans="1:6" x14ac:dyDescent="0.2">
      <c r="A989" s="151" t="s">
        <v>4106</v>
      </c>
      <c r="B989">
        <f>IF(ISBLANK(GlobTblEnt!$J$39),"",GlobTblEnt!$J$39)</f>
        <v>0</v>
      </c>
      <c r="C989" s="370">
        <v>0</v>
      </c>
      <c r="D989" s="151" t="str">
        <f t="shared" si="15"/>
        <v>_Glob_SpecialeVoeding_09##0</v>
      </c>
    </row>
    <row r="990" spans="1:6" x14ac:dyDescent="0.2">
      <c r="A990" s="151" t="s">
        <v>4108</v>
      </c>
      <c r="B990">
        <f>IF(ISBLANK(GlobTblEnt!$K$39),"",GlobTblEnt!$K$39)</f>
        <v>0</v>
      </c>
      <c r="C990" s="370">
        <v>0</v>
      </c>
      <c r="D990" s="151" t="str">
        <f t="shared" si="15"/>
        <v>_Glob_SpecialeVoeding_10##0</v>
      </c>
    </row>
    <row r="991" spans="1:6" x14ac:dyDescent="0.2">
      <c r="A991" s="151" t="s">
        <v>4110</v>
      </c>
      <c r="B991">
        <f>IF(ISBLANK(GlobTblEnt!$L$39),"",GlobTblEnt!$L$39)</f>
        <v>0</v>
      </c>
      <c r="C991" s="370">
        <v>0</v>
      </c>
      <c r="D991" s="151" t="str">
        <f t="shared" si="15"/>
        <v>_Glob_SpecialeVoeding_11##0</v>
      </c>
      <c r="F991" s="151"/>
    </row>
    <row r="992" spans="1:6" x14ac:dyDescent="0.2">
      <c r="A992" s="151" t="s">
        <v>4112</v>
      </c>
      <c r="B992">
        <f>IF(ISBLANK(GlobTblEnt!$M$39),"",GlobTblEnt!$M$39)</f>
        <v>0</v>
      </c>
      <c r="C992" s="370">
        <v>0</v>
      </c>
      <c r="D992" s="151" t="str">
        <f t="shared" si="15"/>
        <v>_Glob_SpecialeVoeding_12##0</v>
      </c>
      <c r="F992" s="151"/>
    </row>
    <row r="993" spans="1:6" x14ac:dyDescent="0.2">
      <c r="A993" s="151" t="s">
        <v>3806</v>
      </c>
      <c r="B993">
        <f>IF(ISBLANK(NeoDataInfB!$D$2),"",NeoDataInfB!$D$2)</f>
        <v>0</v>
      </c>
      <c r="C993" s="7">
        <v>0</v>
      </c>
      <c r="D993" s="151" t="str">
        <f t="shared" si="15"/>
        <v>_Neo_1700_Cont_ArtLijn##0</v>
      </c>
      <c r="F993" s="151"/>
    </row>
    <row r="994" spans="1:6" x14ac:dyDescent="0.2">
      <c r="A994" s="151" t="s">
        <v>4447</v>
      </c>
      <c r="B994">
        <f>IF(ISBLANK(NeoDataInfB!$D$3),"",NeoDataInfB!$D$3)</f>
        <v>1</v>
      </c>
      <c r="C994" s="151">
        <v>1</v>
      </c>
      <c r="D994" s="151" t="str">
        <f t="shared" si="15"/>
        <v>_Neo_1700_Cont_MedKeuze_01##1</v>
      </c>
      <c r="F994" s="151"/>
    </row>
    <row r="995" spans="1:6" x14ac:dyDescent="0.2">
      <c r="A995" s="151" t="s">
        <v>4448</v>
      </c>
      <c r="B995">
        <f>IF(ISBLANK(NeoDataInfB!$D$4),"",NeoDataInfB!$D$4)</f>
        <v>1</v>
      </c>
      <c r="C995" s="151">
        <v>1</v>
      </c>
      <c r="D995" s="151" t="str">
        <f t="shared" si="15"/>
        <v>_Neo_1700_Cont_MedKeuze_02##1</v>
      </c>
    </row>
    <row r="996" spans="1:6" x14ac:dyDescent="0.2">
      <c r="A996" s="151" t="s">
        <v>4449</v>
      </c>
      <c r="B996">
        <f>IF(ISBLANK(NeoDataInfB!$D$5),"",NeoDataInfB!$D$5)</f>
        <v>1</v>
      </c>
      <c r="C996" s="151">
        <v>1</v>
      </c>
      <c r="D996" s="151" t="str">
        <f t="shared" si="15"/>
        <v>_Neo_1700_Cont_MedKeuze_03##1</v>
      </c>
    </row>
    <row r="997" spans="1:6" x14ac:dyDescent="0.2">
      <c r="A997" s="151" t="s">
        <v>4450</v>
      </c>
      <c r="B997">
        <f>IF(ISBLANK(NeoDataInfB!$D$6),"",NeoDataInfB!$D$6)</f>
        <v>1</v>
      </c>
      <c r="C997" s="151">
        <v>1</v>
      </c>
      <c r="D997" s="151" t="str">
        <f t="shared" si="15"/>
        <v>_Neo_1700_Cont_MedKeuze_04##1</v>
      </c>
    </row>
    <row r="998" spans="1:6" x14ac:dyDescent="0.2">
      <c r="A998" s="151" t="s">
        <v>4451</v>
      </c>
      <c r="B998" s="151">
        <f>IF(ISBLANK(NeoDataInfB!$D$7),"",NeoDataInfB!$D$7)</f>
        <v>1</v>
      </c>
      <c r="C998" s="151">
        <v>1</v>
      </c>
      <c r="D998" s="151" t="str">
        <f t="shared" si="15"/>
        <v>_Neo_1700_Cont_MedKeuze_05##1</v>
      </c>
    </row>
    <row r="999" spans="1:6" x14ac:dyDescent="0.2">
      <c r="A999" s="151" t="s">
        <v>4452</v>
      </c>
      <c r="B999">
        <f>IF(ISBLANK(NeoDataInfB!$D$8),"",NeoDataInfB!$D$8)</f>
        <v>1</v>
      </c>
      <c r="C999" s="151">
        <v>1</v>
      </c>
      <c r="D999" s="151" t="str">
        <f t="shared" si="15"/>
        <v>_Neo_1700_Cont_MedKeuze_06##1</v>
      </c>
    </row>
    <row r="1000" spans="1:6" x14ac:dyDescent="0.2">
      <c r="A1000" s="151" t="s">
        <v>4453</v>
      </c>
      <c r="B1000">
        <f>IF(ISBLANK(NeoDataInfB!$D$9),"",NeoDataInfB!$D$9)</f>
        <v>1</v>
      </c>
      <c r="C1000" s="151">
        <v>1</v>
      </c>
      <c r="D1000" s="151" t="str">
        <f t="shared" si="15"/>
        <v>_Neo_1700_Cont_MedKeuze_07##1</v>
      </c>
    </row>
    <row r="1001" spans="1:6" x14ac:dyDescent="0.2">
      <c r="A1001" s="151" t="s">
        <v>4454</v>
      </c>
      <c r="B1001">
        <f>IF(ISBLANK(NeoDataInfB!$D$10),"",NeoDataInfB!$D$10)</f>
        <v>1</v>
      </c>
      <c r="C1001" s="151">
        <v>1</v>
      </c>
      <c r="D1001" s="151" t="str">
        <f t="shared" si="15"/>
        <v>_Neo_1700_Cont_MedKeuze_08##1</v>
      </c>
    </row>
    <row r="1002" spans="1:6" x14ac:dyDescent="0.2">
      <c r="A1002" s="151" t="s">
        <v>4455</v>
      </c>
      <c r="B1002">
        <f>IF(ISBLANK(NeoDataInfB!$D$11),"",NeoDataInfB!$D$11)</f>
        <v>1</v>
      </c>
      <c r="C1002" s="151">
        <v>1</v>
      </c>
      <c r="D1002" s="151" t="str">
        <f t="shared" si="15"/>
        <v>_Neo_1700_Cont_MedKeuze_09##1</v>
      </c>
    </row>
    <row r="1003" spans="1:6" x14ac:dyDescent="0.2">
      <c r="A1003" s="151" t="s">
        <v>4456</v>
      </c>
      <c r="B1003">
        <f>IF(ISBLANK(NeoDataInfB!$D$12),"",NeoDataInfB!$D$12)</f>
        <v>1</v>
      </c>
      <c r="C1003" s="151">
        <v>1</v>
      </c>
      <c r="D1003" s="151" t="str">
        <f t="shared" si="15"/>
        <v>_Neo_1700_Cont_MedKeuze_10##1</v>
      </c>
    </row>
    <row r="1004" spans="1:6" x14ac:dyDescent="0.2">
      <c r="A1004" s="151" t="s">
        <v>4263</v>
      </c>
      <c r="B1004">
        <f>IF(ISBLANK(NeoDataInfB!$D$13),"",NeoDataInfB!$D$13)</f>
        <v>0</v>
      </c>
      <c r="C1004" s="153">
        <v>0</v>
      </c>
      <c r="D1004" s="151" t="str">
        <f t="shared" si="15"/>
        <v>_Neo_1700_Cont_MedSterkte_01##0</v>
      </c>
    </row>
    <row r="1005" spans="1:6" x14ac:dyDescent="0.2">
      <c r="A1005" s="151" t="s">
        <v>4264</v>
      </c>
      <c r="B1005">
        <f>IF(ISBLANK(NeoDataInfB!$D$14),"",NeoDataInfB!$D$14)</f>
        <v>0</v>
      </c>
      <c r="C1005" s="153">
        <v>0</v>
      </c>
      <c r="D1005" s="151" t="str">
        <f t="shared" si="15"/>
        <v>_Neo_1700_Cont_MedSterkte_02##0</v>
      </c>
    </row>
    <row r="1006" spans="1:6" x14ac:dyDescent="0.2">
      <c r="A1006" s="151" t="s">
        <v>4265</v>
      </c>
      <c r="B1006">
        <f>IF(ISBLANK(NeoDataInfB!$D$15),"",NeoDataInfB!$D$15)</f>
        <v>0</v>
      </c>
      <c r="C1006" s="153">
        <v>0</v>
      </c>
      <c r="D1006" s="151" t="str">
        <f t="shared" si="15"/>
        <v>_Neo_1700_Cont_MedSterkte_03##0</v>
      </c>
    </row>
    <row r="1007" spans="1:6" x14ac:dyDescent="0.2">
      <c r="A1007" s="151" t="s">
        <v>4266</v>
      </c>
      <c r="B1007">
        <f>IF(ISBLANK(NeoDataInfB!$D$16),"",NeoDataInfB!$D$16)</f>
        <v>0</v>
      </c>
      <c r="C1007" s="153">
        <v>0</v>
      </c>
      <c r="D1007" s="151" t="str">
        <f t="shared" si="15"/>
        <v>_Neo_1700_Cont_MedSterkte_04##0</v>
      </c>
    </row>
    <row r="1008" spans="1:6" x14ac:dyDescent="0.2">
      <c r="A1008" s="151" t="s">
        <v>4267</v>
      </c>
      <c r="B1008">
        <f>IF(ISBLANK(NeoDataInfB!$D$17),"",NeoDataInfB!$D$17)</f>
        <v>0</v>
      </c>
      <c r="C1008" s="153">
        <v>0</v>
      </c>
      <c r="D1008" s="151" t="str">
        <f t="shared" si="15"/>
        <v>_Neo_1700_Cont_MedSterkte_05##0</v>
      </c>
    </row>
    <row r="1009" spans="1:6" x14ac:dyDescent="0.2">
      <c r="A1009" s="151" t="s">
        <v>4268</v>
      </c>
      <c r="B1009">
        <f>IF(ISBLANK(NeoDataInfB!$D$18),"",NeoDataInfB!$D$18)</f>
        <v>0</v>
      </c>
      <c r="C1009" s="153">
        <v>0</v>
      </c>
      <c r="D1009" s="151" t="str">
        <f t="shared" si="15"/>
        <v>_Neo_1700_Cont_MedSterkte_06##0</v>
      </c>
    </row>
    <row r="1010" spans="1:6" x14ac:dyDescent="0.2">
      <c r="A1010" s="151" t="s">
        <v>4269</v>
      </c>
      <c r="B1010">
        <f>IF(ISBLANK(NeoDataInfB!$D$19),"",NeoDataInfB!$D$19)</f>
        <v>0</v>
      </c>
      <c r="C1010" s="153">
        <v>0</v>
      </c>
      <c r="D1010" s="151" t="str">
        <f t="shared" si="15"/>
        <v>_Neo_1700_Cont_MedSterkte_07##0</v>
      </c>
    </row>
    <row r="1011" spans="1:6" x14ac:dyDescent="0.2">
      <c r="A1011" s="151" t="s">
        <v>4270</v>
      </c>
      <c r="B1011">
        <f>IF(ISBLANK(NeoDataInfB!$D$20),"",NeoDataInfB!$D$20)</f>
        <v>0</v>
      </c>
      <c r="C1011" s="153">
        <v>0</v>
      </c>
      <c r="D1011" s="151" t="str">
        <f t="shared" si="15"/>
        <v>_Neo_1700_Cont_MedSterkte_08##0</v>
      </c>
    </row>
    <row r="1012" spans="1:6" x14ac:dyDescent="0.2">
      <c r="A1012" s="151" t="s">
        <v>4271</v>
      </c>
      <c r="B1012">
        <f>IF(ISBLANK(NeoDataInfB!$D$21),"",NeoDataInfB!$D$21)</f>
        <v>0</v>
      </c>
      <c r="C1012" s="153">
        <v>0</v>
      </c>
      <c r="D1012" s="151" t="str">
        <f t="shared" si="15"/>
        <v>_Neo_1700_Cont_MedSterkte_09##0</v>
      </c>
    </row>
    <row r="1013" spans="1:6" x14ac:dyDescent="0.2">
      <c r="A1013" s="151" t="s">
        <v>4272</v>
      </c>
      <c r="B1013">
        <f>IF(ISBLANK(NeoDataInfB!$D$22),"",NeoDataInfB!$D$22)</f>
        <v>0</v>
      </c>
      <c r="C1013" s="153">
        <v>0</v>
      </c>
      <c r="D1013" s="151" t="str">
        <f t="shared" si="15"/>
        <v>_Neo_1700_Cont_MedSterkte_10##0</v>
      </c>
    </row>
    <row r="1014" spans="1:6" x14ac:dyDescent="0.2">
      <c r="A1014" s="151" t="s">
        <v>3807</v>
      </c>
      <c r="B1014" t="str">
        <f>IF(ISBLANK(NeoDataInfB!$D$23),"",NeoDataInfB!$D$23)</f>
        <v/>
      </c>
      <c r="C1014" s="44" t="s">
        <v>3475</v>
      </c>
      <c r="D1014" s="151" t="str">
        <f t="shared" si="15"/>
        <v>_Neo_1700_Cont_MedTekst_1##</v>
      </c>
    </row>
    <row r="1015" spans="1:6" x14ac:dyDescent="0.2">
      <c r="A1015" s="151" t="s">
        <v>3808</v>
      </c>
      <c r="B1015" t="str">
        <f>IF(ISBLANK(NeoDataInfB!$D$24),"",NeoDataInfB!$D$24)</f>
        <v/>
      </c>
      <c r="C1015" s="44" t="s">
        <v>3475</v>
      </c>
      <c r="D1015" s="151" t="str">
        <f t="shared" si="15"/>
        <v>_Neo_1700_Cont_MedTekst_2##</v>
      </c>
    </row>
    <row r="1016" spans="1:6" x14ac:dyDescent="0.2">
      <c r="A1016" s="151" t="s">
        <v>4273</v>
      </c>
      <c r="B1016">
        <f>IF(ISBLANK(NeoDataInfB!$D$25),"",NeoDataInfB!$D$25)</f>
        <v>0</v>
      </c>
      <c r="C1016" s="153">
        <v>0</v>
      </c>
      <c r="D1016" s="151" t="str">
        <f t="shared" si="15"/>
        <v>_Neo_1700_Cont_OplHoev_01##0</v>
      </c>
      <c r="E1016" s="151"/>
      <c r="F1016" s="151"/>
    </row>
    <row r="1017" spans="1:6" x14ac:dyDescent="0.2">
      <c r="A1017" s="151" t="s">
        <v>4274</v>
      </c>
      <c r="B1017">
        <f>IF(ISBLANK(NeoDataInfB!$D$26),"",NeoDataInfB!$D$26)</f>
        <v>0</v>
      </c>
      <c r="C1017" s="153">
        <v>0</v>
      </c>
      <c r="D1017" s="151" t="str">
        <f t="shared" si="15"/>
        <v>_Neo_1700_Cont_OplHoev_02##0</v>
      </c>
    </row>
    <row r="1018" spans="1:6" x14ac:dyDescent="0.2">
      <c r="A1018" s="151" t="s">
        <v>4275</v>
      </c>
      <c r="B1018">
        <f>IF(ISBLANK(NeoDataInfB!$D$27),"",NeoDataInfB!$D$27)</f>
        <v>0</v>
      </c>
      <c r="C1018" s="153">
        <v>0</v>
      </c>
      <c r="D1018" s="151" t="str">
        <f t="shared" si="15"/>
        <v>_Neo_1700_Cont_OplHoev_03##0</v>
      </c>
    </row>
    <row r="1019" spans="1:6" x14ac:dyDescent="0.2">
      <c r="A1019" s="151" t="s">
        <v>4276</v>
      </c>
      <c r="B1019">
        <f>IF(ISBLANK(NeoDataInfB!$D$28),"",NeoDataInfB!$D$28)</f>
        <v>0</v>
      </c>
      <c r="C1019" s="153">
        <v>0</v>
      </c>
      <c r="D1019" s="151" t="str">
        <f t="shared" si="15"/>
        <v>_Neo_1700_Cont_OplHoev_04##0</v>
      </c>
    </row>
    <row r="1020" spans="1:6" s="151" customFormat="1" x14ac:dyDescent="0.2">
      <c r="A1020" s="151" t="s">
        <v>4277</v>
      </c>
      <c r="B1020">
        <f>IF(ISBLANK(NeoDataInfB!$D$29),"",NeoDataInfB!$D$29)</f>
        <v>0</v>
      </c>
      <c r="C1020" s="153">
        <v>0</v>
      </c>
      <c r="D1020" s="151" t="str">
        <f t="shared" si="15"/>
        <v>_Neo_1700_Cont_OplHoev_05##0</v>
      </c>
      <c r="E1020"/>
      <c r="F1020"/>
    </row>
    <row r="1021" spans="1:6" x14ac:dyDescent="0.2">
      <c r="A1021" s="151" t="s">
        <v>4278</v>
      </c>
      <c r="B1021">
        <f>IF(ISBLANK(NeoDataInfB!$D$30),"",NeoDataInfB!$D$30)</f>
        <v>0</v>
      </c>
      <c r="C1021" s="153">
        <v>0</v>
      </c>
      <c r="D1021" s="151" t="str">
        <f t="shared" si="15"/>
        <v>_Neo_1700_Cont_OplHoev_06##0</v>
      </c>
      <c r="E1021" s="151"/>
      <c r="F1021" s="151"/>
    </row>
    <row r="1022" spans="1:6" x14ac:dyDescent="0.2">
      <c r="A1022" s="151" t="s">
        <v>4279</v>
      </c>
      <c r="B1022">
        <f>IF(ISBLANK(NeoDataInfB!$D$31),"",NeoDataInfB!$D$31)</f>
        <v>0</v>
      </c>
      <c r="C1022" s="153">
        <v>0</v>
      </c>
      <c r="D1022" s="151" t="str">
        <f t="shared" si="15"/>
        <v>_Neo_1700_Cont_OplHoev_07##0</v>
      </c>
      <c r="E1022" s="151"/>
      <c r="F1022" s="151"/>
    </row>
    <row r="1023" spans="1:6" s="151" customFormat="1" x14ac:dyDescent="0.2">
      <c r="A1023" s="151" t="s">
        <v>4280</v>
      </c>
      <c r="B1023">
        <f>IF(ISBLANK(NeoDataInfB!$D$32),"",NeoDataInfB!$D$32)</f>
        <v>0</v>
      </c>
      <c r="C1023" s="153">
        <v>0</v>
      </c>
      <c r="D1023" s="151" t="str">
        <f t="shared" si="15"/>
        <v>_Neo_1700_Cont_OplHoev_08##0</v>
      </c>
    </row>
    <row r="1024" spans="1:6" s="151" customFormat="1" x14ac:dyDescent="0.2">
      <c r="A1024" s="151" t="s">
        <v>4281</v>
      </c>
      <c r="B1024">
        <f>IF(ISBLANK(NeoDataInfB!$D$33),"",NeoDataInfB!$D$33)</f>
        <v>0</v>
      </c>
      <c r="C1024" s="153">
        <v>0</v>
      </c>
      <c r="D1024" s="151" t="str">
        <f t="shared" si="15"/>
        <v>_Neo_1700_Cont_OplHoev_09##0</v>
      </c>
    </row>
    <row r="1025" spans="1:6" x14ac:dyDescent="0.2">
      <c r="A1025" s="151" t="s">
        <v>4282</v>
      </c>
      <c r="B1025">
        <f>IF(ISBLANK(NeoDataInfB!$D$34),"",NeoDataInfB!$D$34)</f>
        <v>0</v>
      </c>
      <c r="C1025" s="153">
        <v>0</v>
      </c>
      <c r="D1025" s="151" t="str">
        <f t="shared" si="15"/>
        <v>_Neo_1700_Cont_OplHoev_10##0</v>
      </c>
    </row>
    <row r="1026" spans="1:6" x14ac:dyDescent="0.2">
      <c r="A1026" s="151" t="s">
        <v>3809</v>
      </c>
      <c r="B1026">
        <f>IF(ISBLANK(NeoDataInfB!$D$35),"",NeoDataInfB!$D$35)</f>
        <v>1</v>
      </c>
      <c r="C1026" s="7">
        <v>1</v>
      </c>
      <c r="D1026" s="151" t="str">
        <f t="shared" si="15"/>
        <v>_Neo_1700_Cont_Oplossing_01##1</v>
      </c>
    </row>
    <row r="1027" spans="1:6" x14ac:dyDescent="0.2">
      <c r="A1027" s="151" t="s">
        <v>3810</v>
      </c>
      <c r="B1027">
        <f>IF(ISBLANK(NeoDataInfB!$D$36),"",NeoDataInfB!$D$36)</f>
        <v>1</v>
      </c>
      <c r="C1027" s="7">
        <v>1</v>
      </c>
      <c r="D1027" s="151" t="str">
        <f t="shared" ref="D1027:D1090" si="16">A1027&amp;"##"&amp;B1027</f>
        <v>_Neo_1700_Cont_Oplossing_02##1</v>
      </c>
    </row>
    <row r="1028" spans="1:6" x14ac:dyDescent="0.2">
      <c r="A1028" s="151" t="s">
        <v>3811</v>
      </c>
      <c r="B1028">
        <f>IF(ISBLANK(NeoDataInfB!$D$37),"",NeoDataInfB!$D$37)</f>
        <v>1</v>
      </c>
      <c r="C1028" s="7">
        <v>1</v>
      </c>
      <c r="D1028" s="151" t="str">
        <f t="shared" si="16"/>
        <v>_Neo_1700_Cont_Oplossing_03##1</v>
      </c>
    </row>
    <row r="1029" spans="1:6" s="151" customFormat="1" x14ac:dyDescent="0.2">
      <c r="A1029" s="151" t="s">
        <v>3812</v>
      </c>
      <c r="B1029">
        <f>IF(ISBLANK(NeoDataInfB!$D$38),"",NeoDataInfB!$D$38)</f>
        <v>1</v>
      </c>
      <c r="C1029" s="7">
        <v>1</v>
      </c>
      <c r="D1029" s="151" t="str">
        <f t="shared" si="16"/>
        <v>_Neo_1700_Cont_Oplossing_04##1</v>
      </c>
      <c r="E1029"/>
      <c r="F1029"/>
    </row>
    <row r="1030" spans="1:6" s="151" customFormat="1" x14ac:dyDescent="0.2">
      <c r="A1030" s="151" t="s">
        <v>3813</v>
      </c>
      <c r="B1030">
        <f>IF(ISBLANK(NeoDataInfB!$D$39),"",NeoDataInfB!$D$39)</f>
        <v>1</v>
      </c>
      <c r="C1030" s="7">
        <v>1</v>
      </c>
      <c r="D1030" s="151" t="str">
        <f t="shared" si="16"/>
        <v>_Neo_1700_Cont_Oplossing_05##1</v>
      </c>
      <c r="E1030"/>
      <c r="F1030"/>
    </row>
    <row r="1031" spans="1:6" x14ac:dyDescent="0.2">
      <c r="A1031" s="151" t="s">
        <v>3814</v>
      </c>
      <c r="B1031">
        <f>IF(ISBLANK(NeoDataInfB!$D$40),"",NeoDataInfB!$D$40)</f>
        <v>1</v>
      </c>
      <c r="C1031" s="7">
        <v>1</v>
      </c>
      <c r="D1031" s="151" t="str">
        <f t="shared" si="16"/>
        <v>_Neo_1700_Cont_Oplossing_06##1</v>
      </c>
    </row>
    <row r="1032" spans="1:6" x14ac:dyDescent="0.2">
      <c r="A1032" s="151" t="s">
        <v>3815</v>
      </c>
      <c r="B1032">
        <f>IF(ISBLANK(NeoDataInfB!$D$41),"",NeoDataInfB!$D$41)</f>
        <v>1</v>
      </c>
      <c r="C1032" s="7">
        <v>1</v>
      </c>
      <c r="D1032" s="151" t="str">
        <f t="shared" si="16"/>
        <v>_Neo_1700_Cont_Oplossing_07##1</v>
      </c>
    </row>
    <row r="1033" spans="1:6" x14ac:dyDescent="0.2">
      <c r="A1033" s="151" t="s">
        <v>3816</v>
      </c>
      <c r="B1033">
        <f>IF(ISBLANK(NeoDataInfB!$D$42),"",NeoDataInfB!$D$42)</f>
        <v>1</v>
      </c>
      <c r="C1033" s="7">
        <v>1</v>
      </c>
      <c r="D1033" s="151" t="str">
        <f t="shared" si="16"/>
        <v>_Neo_1700_Cont_Oplossing_08##1</v>
      </c>
    </row>
    <row r="1034" spans="1:6" x14ac:dyDescent="0.2">
      <c r="A1034" s="151" t="s">
        <v>3817</v>
      </c>
      <c r="B1034">
        <f>IF(ISBLANK(NeoDataInfB!$D$43),"",NeoDataInfB!$D$43)</f>
        <v>1</v>
      </c>
      <c r="C1034" s="7">
        <v>1</v>
      </c>
      <c r="D1034" s="151" t="str">
        <f t="shared" si="16"/>
        <v>_Neo_1700_Cont_Oplossing_09##1</v>
      </c>
    </row>
    <row r="1035" spans="1:6" x14ac:dyDescent="0.2">
      <c r="A1035" s="151" t="s">
        <v>3818</v>
      </c>
      <c r="B1035">
        <f>IF(ISBLANK(NeoDataInfB!$D$44),"",NeoDataInfB!$D$44)</f>
        <v>1</v>
      </c>
      <c r="C1035" s="7">
        <v>1</v>
      </c>
      <c r="D1035" s="151" t="str">
        <f t="shared" si="16"/>
        <v>_Neo_1700_Cont_Oplossing_10##1</v>
      </c>
    </row>
    <row r="1036" spans="1:6" x14ac:dyDescent="0.2">
      <c r="A1036" s="151" t="s">
        <v>3819</v>
      </c>
      <c r="B1036">
        <f>IF(ISBLANK(NeoDataInfB!$D$45),"",NeoDataInfB!$D$45)</f>
        <v>1</v>
      </c>
      <c r="C1036" s="7">
        <v>1</v>
      </c>
      <c r="D1036" s="151" t="str">
        <f t="shared" si="16"/>
        <v>_Neo_1700_Cont_Oplossing_11##1</v>
      </c>
    </row>
    <row r="1037" spans="1:6" x14ac:dyDescent="0.2">
      <c r="A1037" s="151" t="s">
        <v>3820</v>
      </c>
      <c r="B1037">
        <f>IF(ISBLANK(NeoDataInfB!$D$46),"",NeoDataInfB!$D$46)</f>
        <v>1</v>
      </c>
      <c r="C1037" s="7">
        <v>1</v>
      </c>
      <c r="D1037" s="151" t="str">
        <f t="shared" si="16"/>
        <v>_Neo_1700_Cont_Oplossing_12##1</v>
      </c>
    </row>
    <row r="1038" spans="1:6" s="151" customFormat="1" x14ac:dyDescent="0.2">
      <c r="A1038" s="151" t="s">
        <v>4283</v>
      </c>
      <c r="B1038">
        <f>IF(ISBLANK(NeoDataInfB!$D$47),"",NeoDataInfB!$D$47)</f>
        <v>1</v>
      </c>
      <c r="C1038" s="7">
        <v>1</v>
      </c>
      <c r="D1038" s="151" t="str">
        <f t="shared" si="16"/>
        <v>_Neo_1700_Cont_Oplossing_13##1</v>
      </c>
      <c r="E1038"/>
      <c r="F1038"/>
    </row>
    <row r="1039" spans="1:6" x14ac:dyDescent="0.2">
      <c r="A1039" s="151" t="s">
        <v>3821</v>
      </c>
      <c r="B1039">
        <f>IF(ISBLANK(NeoDataInfB!$D$48),"",NeoDataInfB!$D$48)</f>
        <v>0</v>
      </c>
      <c r="C1039" s="153">
        <v>0</v>
      </c>
      <c r="D1039" s="151" t="str">
        <f t="shared" si="16"/>
        <v>_Neo_1700_Cont_Stand_01##0</v>
      </c>
    </row>
    <row r="1040" spans="1:6" x14ac:dyDescent="0.2">
      <c r="A1040" s="151" t="s">
        <v>3822</v>
      </c>
      <c r="B1040">
        <f>IF(ISBLANK(NeoDataInfB!$D$49),"",NeoDataInfB!$D$49)</f>
        <v>0</v>
      </c>
      <c r="C1040" s="153">
        <v>0</v>
      </c>
      <c r="D1040" s="151" t="str">
        <f t="shared" si="16"/>
        <v>_Neo_1700_Cont_Stand_02##0</v>
      </c>
    </row>
    <row r="1041" spans="1:5" x14ac:dyDescent="0.2">
      <c r="A1041" s="151" t="s">
        <v>3823</v>
      </c>
      <c r="B1041">
        <f>IF(ISBLANK(NeoDataInfB!$D$50),"",NeoDataInfB!$D$50)</f>
        <v>0</v>
      </c>
      <c r="C1041" s="153">
        <v>0</v>
      </c>
      <c r="D1041" s="151" t="str">
        <f t="shared" si="16"/>
        <v>_Neo_1700_Cont_Stand_03##0</v>
      </c>
    </row>
    <row r="1042" spans="1:5" x14ac:dyDescent="0.2">
      <c r="A1042" s="151" t="s">
        <v>3824</v>
      </c>
      <c r="B1042">
        <f>IF(ISBLANK(NeoDataInfB!$D$51),"",NeoDataInfB!$D$51)</f>
        <v>0</v>
      </c>
      <c r="C1042" s="153">
        <v>0</v>
      </c>
      <c r="D1042" s="151" t="str">
        <f t="shared" si="16"/>
        <v>_Neo_1700_Cont_Stand_04##0</v>
      </c>
    </row>
    <row r="1043" spans="1:5" x14ac:dyDescent="0.2">
      <c r="A1043" s="151" t="s">
        <v>3825</v>
      </c>
      <c r="B1043">
        <f>IF(ISBLANK(NeoDataInfB!$D$52),"",NeoDataInfB!$D$52)</f>
        <v>0</v>
      </c>
      <c r="C1043" s="153">
        <v>0</v>
      </c>
      <c r="D1043" s="151" t="str">
        <f t="shared" si="16"/>
        <v>_Neo_1700_Cont_Stand_05##0</v>
      </c>
    </row>
    <row r="1044" spans="1:5" x14ac:dyDescent="0.2">
      <c r="A1044" s="151" t="s">
        <v>3826</v>
      </c>
      <c r="B1044">
        <f>IF(ISBLANK(NeoDataInfB!$D$53),"",NeoDataInfB!$D$53)</f>
        <v>0</v>
      </c>
      <c r="C1044" s="153">
        <v>0</v>
      </c>
      <c r="D1044" s="151" t="str">
        <f t="shared" si="16"/>
        <v>_Neo_1700_Cont_Stand_06##0</v>
      </c>
    </row>
    <row r="1045" spans="1:5" x14ac:dyDescent="0.2">
      <c r="A1045" s="151" t="s">
        <v>3827</v>
      </c>
      <c r="B1045">
        <f>IF(ISBLANK(NeoDataInfB!$D$54),"",NeoDataInfB!$D$54)</f>
        <v>0</v>
      </c>
      <c r="C1045" s="153">
        <v>0</v>
      </c>
      <c r="D1045" s="151" t="str">
        <f t="shared" si="16"/>
        <v>_Neo_1700_Cont_Stand_07##0</v>
      </c>
    </row>
    <row r="1046" spans="1:5" x14ac:dyDescent="0.2">
      <c r="A1046" s="151" t="s">
        <v>3828</v>
      </c>
      <c r="B1046">
        <f>IF(ISBLANK(NeoDataInfB!$D$55),"",NeoDataInfB!$D$55)</f>
        <v>0</v>
      </c>
      <c r="C1046" s="153">
        <v>0</v>
      </c>
      <c r="D1046" s="151" t="str">
        <f t="shared" si="16"/>
        <v>_Neo_1700_Cont_Stand_08##0</v>
      </c>
      <c r="E1046" s="151"/>
    </row>
    <row r="1047" spans="1:5" x14ac:dyDescent="0.2">
      <c r="A1047" s="151" t="s">
        <v>3829</v>
      </c>
      <c r="B1047" s="7">
        <f>IF(ISBLANK(NeoDataInfB!$D$56),"",NeoDataInfB!$D$56)</f>
        <v>0</v>
      </c>
      <c r="C1047" s="153">
        <v>0</v>
      </c>
      <c r="D1047" s="151" t="str">
        <f t="shared" si="16"/>
        <v>_Neo_1700_Cont_Stand_09##0</v>
      </c>
    </row>
    <row r="1048" spans="1:5" x14ac:dyDescent="0.2">
      <c r="A1048" s="151" t="s">
        <v>3830</v>
      </c>
      <c r="B1048">
        <f>IF(ISBLANK(NeoDataInfB!$D$57),"",NeoDataInfB!$D$57)</f>
        <v>0</v>
      </c>
      <c r="C1048" s="153">
        <v>0</v>
      </c>
      <c r="D1048" s="151" t="str">
        <f t="shared" si="16"/>
        <v>_Neo_1700_Cont_Stand_10##0</v>
      </c>
    </row>
    <row r="1049" spans="1:5" x14ac:dyDescent="0.2">
      <c r="A1049" s="151" t="s">
        <v>3831</v>
      </c>
      <c r="B1049">
        <f>IF(ISBLANK(NeoDataInfB!$D$58),"",NeoDataInfB!$D$58)</f>
        <v>0</v>
      </c>
      <c r="C1049" s="153">
        <v>0</v>
      </c>
      <c r="D1049" s="151" t="str">
        <f t="shared" si="16"/>
        <v>_Neo_1700_Cont_Stand_11##0</v>
      </c>
    </row>
    <row r="1050" spans="1:5" x14ac:dyDescent="0.2">
      <c r="A1050" s="151" t="s">
        <v>3832</v>
      </c>
      <c r="B1050">
        <f>IF(ISBLANK(NeoDataInfB!$D$59),"",NeoDataInfB!$D$59)</f>
        <v>0</v>
      </c>
      <c r="C1050" s="153">
        <v>0</v>
      </c>
      <c r="D1050" s="151" t="str">
        <f t="shared" si="16"/>
        <v>_Neo_1700_Cont_Stand_12##0</v>
      </c>
    </row>
    <row r="1051" spans="1:5" x14ac:dyDescent="0.2">
      <c r="A1051" s="151" t="s">
        <v>4284</v>
      </c>
      <c r="B1051">
        <f>IF(ISBLANK(NeoDataInfB!$D$60),"",NeoDataInfB!$D$60)</f>
        <v>0</v>
      </c>
      <c r="C1051" s="153">
        <v>0</v>
      </c>
      <c r="D1051" s="151" t="str">
        <f t="shared" si="16"/>
        <v>_Neo_1700_Cont_Stand_13##0</v>
      </c>
      <c r="E1051" s="151"/>
    </row>
    <row r="1052" spans="1:5" x14ac:dyDescent="0.2">
      <c r="A1052" s="151" t="s">
        <v>3833</v>
      </c>
      <c r="B1052" t="b">
        <f>IF(ISBLANK(NeoDataInfB!$D$61),"",NeoDataInfB!$D$61)</f>
        <v>0</v>
      </c>
      <c r="C1052" s="7" t="b">
        <v>0</v>
      </c>
      <c r="D1052" s="151" t="str">
        <f t="shared" si="16"/>
        <v>_Neo_1700_Cont_VochtExtra_01##ONWAAR</v>
      </c>
      <c r="E1052" s="151"/>
    </row>
    <row r="1053" spans="1:5" x14ac:dyDescent="0.2">
      <c r="A1053" s="151" t="s">
        <v>3834</v>
      </c>
      <c r="B1053" t="b">
        <f>IF(ISBLANK(NeoDataInfB!$D$62),"",NeoDataInfB!$D$62)</f>
        <v>0</v>
      </c>
      <c r="C1053" s="7" t="b">
        <v>0</v>
      </c>
      <c r="D1053" s="151" t="str">
        <f t="shared" si="16"/>
        <v>_Neo_1700_Cont_VochtExtra_02##ONWAAR</v>
      </c>
      <c r="E1053" s="151"/>
    </row>
    <row r="1054" spans="1:5" x14ac:dyDescent="0.2">
      <c r="A1054" s="151" t="s">
        <v>3835</v>
      </c>
      <c r="B1054" t="b">
        <f>IF(ISBLANK(NeoDataInfB!$D$63),"",NeoDataInfB!$D$63)</f>
        <v>0</v>
      </c>
      <c r="C1054" s="7" t="b">
        <v>0</v>
      </c>
      <c r="D1054" s="151" t="str">
        <f t="shared" si="16"/>
        <v>_Neo_1700_Cont_VochtExtra_03##ONWAAR</v>
      </c>
      <c r="E1054" s="151"/>
    </row>
    <row r="1055" spans="1:5" x14ac:dyDescent="0.2">
      <c r="A1055" s="151" t="s">
        <v>3836</v>
      </c>
      <c r="B1055" s="151" t="b">
        <f>IF(ISBLANK(NeoDataInfB!$D$64),"",NeoDataInfB!$D$64)</f>
        <v>0</v>
      </c>
      <c r="C1055" s="7" t="b">
        <v>0</v>
      </c>
      <c r="D1055" s="151" t="str">
        <f t="shared" si="16"/>
        <v>_Neo_1700_Cont_VochtExtra_04##ONWAAR</v>
      </c>
    </row>
    <row r="1056" spans="1:5" x14ac:dyDescent="0.2">
      <c r="A1056" s="151" t="s">
        <v>3837</v>
      </c>
      <c r="B1056" s="151" t="b">
        <f>IF(ISBLANK(NeoDataInfB!$D$65),"",NeoDataInfB!$D$65)</f>
        <v>0</v>
      </c>
      <c r="C1056" s="7" t="b">
        <v>0</v>
      </c>
      <c r="D1056" s="151" t="str">
        <f t="shared" si="16"/>
        <v>_Neo_1700_Cont_VochtExtra_05##ONWAAR</v>
      </c>
    </row>
    <row r="1057" spans="1:6" x14ac:dyDescent="0.2">
      <c r="A1057" s="151" t="s">
        <v>3838</v>
      </c>
      <c r="B1057" s="151" t="b">
        <f>IF(ISBLANK(NeoDataInfB!$D$66),"",NeoDataInfB!$D$66)</f>
        <v>0</v>
      </c>
      <c r="C1057" s="7" t="b">
        <v>0</v>
      </c>
      <c r="D1057" s="151" t="str">
        <f t="shared" si="16"/>
        <v>_Neo_1700_Cont_VochtExtra_06##ONWAAR</v>
      </c>
    </row>
    <row r="1058" spans="1:6" x14ac:dyDescent="0.2">
      <c r="A1058" s="151" t="s">
        <v>3839</v>
      </c>
      <c r="B1058" s="151" t="b">
        <f>IF(ISBLANK(NeoDataInfB!$D$67),"",NeoDataInfB!$D$67)</f>
        <v>0</v>
      </c>
      <c r="C1058" s="7" t="b">
        <v>0</v>
      </c>
      <c r="D1058" s="151" t="str">
        <f t="shared" si="16"/>
        <v>_Neo_1700_Cont_VochtExtra_07##ONWAAR</v>
      </c>
    </row>
    <row r="1059" spans="1:6" x14ac:dyDescent="0.2">
      <c r="A1059" s="151" t="s">
        <v>3840</v>
      </c>
      <c r="B1059" s="151" t="b">
        <f>IF(ISBLANK(NeoDataInfB!$D$68),"",NeoDataInfB!$D$68)</f>
        <v>0</v>
      </c>
      <c r="C1059" s="7" t="b">
        <v>0</v>
      </c>
      <c r="D1059" s="151" t="str">
        <f t="shared" si="16"/>
        <v>_Neo_1700_Cont_VochtExtra_08##ONWAAR</v>
      </c>
    </row>
    <row r="1060" spans="1:6" x14ac:dyDescent="0.2">
      <c r="A1060" s="151" t="s">
        <v>3841</v>
      </c>
      <c r="B1060" s="151" t="b">
        <f>IF(ISBLANK(NeoDataInfB!$D$69),"",NeoDataInfB!$D$69)</f>
        <v>0</v>
      </c>
      <c r="C1060" s="7" t="b">
        <v>0</v>
      </c>
      <c r="D1060" s="151" t="str">
        <f t="shared" si="16"/>
        <v>_Neo_1700_Cont_VochtExtra_09##ONWAAR</v>
      </c>
    </row>
    <row r="1061" spans="1:6" x14ac:dyDescent="0.2">
      <c r="A1061" s="151" t="s">
        <v>3842</v>
      </c>
      <c r="B1061" s="151" t="b">
        <f>IF(ISBLANK(NeoDataInfB!$D$70),"",NeoDataInfB!$D$70)</f>
        <v>0</v>
      </c>
      <c r="C1061" s="7" t="b">
        <v>0</v>
      </c>
      <c r="D1061" s="151" t="str">
        <f t="shared" si="16"/>
        <v>_Neo_1700_Cont_VochtExtra_10##ONWAAR</v>
      </c>
    </row>
    <row r="1062" spans="1:6" x14ac:dyDescent="0.2">
      <c r="A1062" s="151" t="s">
        <v>3843</v>
      </c>
      <c r="B1062" s="151" t="b">
        <f>IF(ISBLANK(NeoDataInfB!$D$71),"",NeoDataInfB!$D$71)</f>
        <v>0</v>
      </c>
      <c r="C1062" s="151" t="b">
        <v>0</v>
      </c>
      <c r="D1062" s="151" t="str">
        <f t="shared" si="16"/>
        <v>_Neo_1700_Cont_VochtExtra_11##ONWAAR</v>
      </c>
    </row>
    <row r="1063" spans="1:6" x14ac:dyDescent="0.2">
      <c r="A1063" s="151" t="s">
        <v>3844</v>
      </c>
      <c r="B1063" s="151" t="b">
        <f>IF(ISBLANK(NeoDataInfB!$D$72),"",NeoDataInfB!$D$72)</f>
        <v>0</v>
      </c>
      <c r="C1063" s="151" t="b">
        <v>0</v>
      </c>
      <c r="D1063" s="151" t="str">
        <f t="shared" si="16"/>
        <v>_Neo_1700_Cont_VochtExtra_12##ONWAAR</v>
      </c>
    </row>
    <row r="1064" spans="1:6" x14ac:dyDescent="0.2">
      <c r="A1064" s="151" t="s">
        <v>3845</v>
      </c>
      <c r="B1064" s="151" t="b">
        <f>IF(ISBLANK(NeoDataInfB!$D$73),"",NeoDataInfB!$D$73)</f>
        <v>0</v>
      </c>
      <c r="C1064" s="151" t="b">
        <v>0</v>
      </c>
      <c r="D1064" s="151" t="str">
        <f t="shared" si="16"/>
        <v>_Neo_1700_Cont_VochtExtra_13##ONWAAR</v>
      </c>
    </row>
    <row r="1065" spans="1:6" x14ac:dyDescent="0.2">
      <c r="A1065" s="151" t="s">
        <v>3846</v>
      </c>
      <c r="B1065" t="b">
        <f>IF(ISBLANK(NeoDataInfB!$D$74),"",NeoDataInfB!$D$74)</f>
        <v>0</v>
      </c>
      <c r="C1065" s="151" t="b">
        <v>0</v>
      </c>
      <c r="D1065" s="151" t="str">
        <f t="shared" si="16"/>
        <v>_Neo_1700_Cont_VochtExtra_14##ONWAAR</v>
      </c>
    </row>
    <row r="1066" spans="1:6" x14ac:dyDescent="0.2">
      <c r="A1066" s="152" t="s">
        <v>4457</v>
      </c>
      <c r="B1066">
        <f>IF(ISBLANK(NeoDataInfB!$D$75),"",NeoDataInfB!$D$75)</f>
        <v>2</v>
      </c>
      <c r="C1066" s="151">
        <v>2</v>
      </c>
      <c r="D1066" s="151" t="str">
        <f t="shared" si="16"/>
        <v>_Neo_1700_Ent_Extra##2</v>
      </c>
    </row>
    <row r="1067" spans="1:6" x14ac:dyDescent="0.2">
      <c r="A1067" s="151" t="s">
        <v>3847</v>
      </c>
      <c r="B1067">
        <f>IF(ISBLANK(NeoDataInfB!$D$76),"",NeoDataInfB!$D$76)</f>
        <v>0</v>
      </c>
      <c r="C1067" s="7">
        <v>0</v>
      </c>
      <c r="D1067" s="151" t="str">
        <f t="shared" si="16"/>
        <v>_Neo_1700_Ent_Frequentie_1##0</v>
      </c>
    </row>
    <row r="1068" spans="1:6" x14ac:dyDescent="0.2">
      <c r="A1068" s="151" t="s">
        <v>3848</v>
      </c>
      <c r="B1068">
        <f>IF(ISBLANK(NeoDataInfB!$D$77),"",NeoDataInfB!$D$77)</f>
        <v>0</v>
      </c>
      <c r="C1068" s="7">
        <v>0</v>
      </c>
      <c r="D1068" s="151" t="str">
        <f t="shared" si="16"/>
        <v>_Neo_1700_Ent_Frequentie_2##0</v>
      </c>
    </row>
    <row r="1069" spans="1:6" x14ac:dyDescent="0.2">
      <c r="A1069" s="151" t="s">
        <v>3849</v>
      </c>
      <c r="B1069">
        <f>IF(ISBLANK(NeoDataInfB!$D$78),"",NeoDataInfB!$D$78)</f>
        <v>0</v>
      </c>
      <c r="C1069" s="153">
        <v>0</v>
      </c>
      <c r="D1069" s="151" t="str">
        <f t="shared" si="16"/>
        <v>_Neo_1700_Ent_Hoeveelheid_1##0</v>
      </c>
    </row>
    <row r="1070" spans="1:6" x14ac:dyDescent="0.2">
      <c r="A1070" s="151" t="s">
        <v>3850</v>
      </c>
      <c r="B1070">
        <f>IF(ISBLANK(NeoDataInfB!$D$79),"",NeoDataInfB!$D$79)</f>
        <v>0</v>
      </c>
      <c r="C1070" s="153">
        <v>0</v>
      </c>
      <c r="D1070" s="151" t="str">
        <f t="shared" si="16"/>
        <v>_Neo_1700_Ent_Hoeveelheid_2##0</v>
      </c>
      <c r="F1070" s="151"/>
    </row>
    <row r="1071" spans="1:6" s="151" customFormat="1" x14ac:dyDescent="0.2">
      <c r="A1071" s="151" t="s">
        <v>3851</v>
      </c>
      <c r="B1071">
        <f>IF(ISBLANK(NeoDataInfB!$D$80),"",NeoDataInfB!$D$80)</f>
        <v>1</v>
      </c>
      <c r="C1071" s="7">
        <v>1</v>
      </c>
      <c r="D1071" s="151" t="str">
        <f t="shared" si="16"/>
        <v>_Neo_1700_Ent_PercentageKeuze_0##1</v>
      </c>
      <c r="E1071"/>
    </row>
    <row r="1072" spans="1:6" x14ac:dyDescent="0.2">
      <c r="A1072" s="151" t="s">
        <v>3852</v>
      </c>
      <c r="B1072">
        <f>IF(ISBLANK(NeoDataInfB!$D$81),"",NeoDataInfB!$D$81)</f>
        <v>1</v>
      </c>
      <c r="C1072" s="7">
        <v>1</v>
      </c>
      <c r="D1072" s="151" t="str">
        <f t="shared" si="16"/>
        <v>_Neo_1700_Ent_PercentageKeuze_1##1</v>
      </c>
      <c r="F1072" s="151"/>
    </row>
    <row r="1073" spans="1:6" x14ac:dyDescent="0.2">
      <c r="A1073" s="151" t="s">
        <v>3853</v>
      </c>
      <c r="B1073">
        <f>IF(ISBLANK(NeoDataInfB!$D$82),"",NeoDataInfB!$D$82)</f>
        <v>1</v>
      </c>
      <c r="C1073" s="7">
        <v>1</v>
      </c>
      <c r="D1073" s="151" t="str">
        <f t="shared" si="16"/>
        <v>_Neo_1700_Ent_PercentageKeuze_2##1</v>
      </c>
      <c r="F1073" s="151"/>
    </row>
    <row r="1074" spans="1:6" x14ac:dyDescent="0.2">
      <c r="A1074" s="151" t="s">
        <v>3854</v>
      </c>
      <c r="B1074">
        <f>IF(ISBLANK(NeoDataInfB!$D$83),"",NeoDataInfB!$D$83)</f>
        <v>1</v>
      </c>
      <c r="C1074" s="7">
        <v>1</v>
      </c>
      <c r="D1074" s="151" t="str">
        <f t="shared" si="16"/>
        <v>_Neo_1700_Ent_PercentageKeuze_3##1</v>
      </c>
      <c r="F1074" s="151"/>
    </row>
    <row r="1075" spans="1:6" x14ac:dyDescent="0.2">
      <c r="A1075" s="151" t="s">
        <v>3855</v>
      </c>
      <c r="B1075">
        <f>IF(ISBLANK(NeoDataInfB!$D$84),"",NeoDataInfB!$D$84)</f>
        <v>1</v>
      </c>
      <c r="C1075" s="7">
        <v>1</v>
      </c>
      <c r="D1075" s="151" t="str">
        <f t="shared" si="16"/>
        <v>_Neo_1700_Ent_PercentageKeuze_4##1</v>
      </c>
      <c r="F1075" s="151"/>
    </row>
    <row r="1076" spans="1:6" x14ac:dyDescent="0.2">
      <c r="A1076" s="151" t="s">
        <v>3856</v>
      </c>
      <c r="B1076">
        <f>IF(ISBLANK(NeoDataInfB!$D$85),"",NeoDataInfB!$D$85)</f>
        <v>1</v>
      </c>
      <c r="C1076" s="7">
        <v>1</v>
      </c>
      <c r="D1076" s="151" t="str">
        <f t="shared" si="16"/>
        <v>_Neo_1700_Ent_PercentageKeuze_5##1</v>
      </c>
      <c r="F1076" s="151"/>
    </row>
    <row r="1077" spans="1:6" x14ac:dyDescent="0.2">
      <c r="A1077" s="151" t="s">
        <v>3857</v>
      </c>
      <c r="B1077">
        <f>IF(ISBLANK(NeoDataInfB!$D$86),"",NeoDataInfB!$D$86)</f>
        <v>1</v>
      </c>
      <c r="C1077" s="7">
        <v>1</v>
      </c>
      <c r="D1077" s="151" t="str">
        <f t="shared" si="16"/>
        <v>_Neo_1700_Ent_PercentageKeuze_6##1</v>
      </c>
      <c r="F1077" s="151"/>
    </row>
    <row r="1078" spans="1:6" x14ac:dyDescent="0.2">
      <c r="A1078" s="151" t="s">
        <v>3858</v>
      </c>
      <c r="B1078">
        <f>IF(ISBLANK(NeoDataInfB!$D$87),"",NeoDataInfB!$D$87)</f>
        <v>1</v>
      </c>
      <c r="C1078" s="7">
        <v>1</v>
      </c>
      <c r="D1078" s="151" t="str">
        <f t="shared" si="16"/>
        <v>_Neo_1700_Ent_PercentageKeuze_7##1</v>
      </c>
      <c r="F1078" s="151"/>
    </row>
    <row r="1079" spans="1:6" x14ac:dyDescent="0.2">
      <c r="A1079" s="151" t="s">
        <v>3859</v>
      </c>
      <c r="B1079">
        <f>IF(ISBLANK(NeoDataInfB!$D$88),"",NeoDataInfB!$D$88)</f>
        <v>1</v>
      </c>
      <c r="C1079" s="7">
        <v>1</v>
      </c>
      <c r="D1079" s="151" t="str">
        <f t="shared" si="16"/>
        <v>_Neo_1700_Ent_PercentageKeuze_8##1</v>
      </c>
      <c r="F1079" s="151"/>
    </row>
    <row r="1080" spans="1:6" x14ac:dyDescent="0.2">
      <c r="A1080" s="151" t="s">
        <v>3860</v>
      </c>
      <c r="B1080" s="151">
        <f>IF(ISBLANK(NeoDataInfB!$D$89),"",NeoDataInfB!$D$89)</f>
        <v>1</v>
      </c>
      <c r="C1080" s="7">
        <v>1</v>
      </c>
      <c r="D1080" s="151" t="str">
        <f t="shared" si="16"/>
        <v>_Neo_1700_Ent_Toevoeging_1##1</v>
      </c>
    </row>
    <row r="1081" spans="1:6" x14ac:dyDescent="0.2">
      <c r="A1081" s="151" t="s">
        <v>3861</v>
      </c>
      <c r="B1081" s="151">
        <f>IF(ISBLANK(NeoDataInfB!$D$90),"",NeoDataInfB!$D$90)</f>
        <v>1</v>
      </c>
      <c r="C1081" s="7">
        <v>1</v>
      </c>
      <c r="D1081" s="151" t="str">
        <f t="shared" si="16"/>
        <v>_Neo_1700_Ent_Toevoeging_2##1</v>
      </c>
    </row>
    <row r="1082" spans="1:6" x14ac:dyDescent="0.2">
      <c r="A1082" s="151" t="s">
        <v>3862</v>
      </c>
      <c r="B1082" s="151">
        <f>IF(ISBLANK(NeoDataInfB!$D$91),"",NeoDataInfB!$D$91)</f>
        <v>1</v>
      </c>
      <c r="C1082" s="7">
        <v>1</v>
      </c>
      <c r="D1082" s="151" t="str">
        <f t="shared" si="16"/>
        <v>_Neo_1700_Ent_Toevoeging_3##1</v>
      </c>
    </row>
    <row r="1083" spans="1:6" s="151" customFormat="1" x14ac:dyDescent="0.2">
      <c r="A1083" s="151" t="s">
        <v>3863</v>
      </c>
      <c r="B1083" s="151">
        <f>IF(ISBLANK(NeoDataInfB!$D$92),"",NeoDataInfB!$D$92)</f>
        <v>1</v>
      </c>
      <c r="C1083" s="7">
        <v>1</v>
      </c>
      <c r="D1083" s="151" t="str">
        <f t="shared" si="16"/>
        <v>_Neo_1700_Ent_Toevoeging_4##1</v>
      </c>
      <c r="E1083"/>
      <c r="F1083"/>
    </row>
    <row r="1084" spans="1:6" x14ac:dyDescent="0.2">
      <c r="A1084" s="151" t="s">
        <v>3864</v>
      </c>
      <c r="B1084" s="151">
        <f>IF(ISBLANK(NeoDataInfB!$D$93),"",NeoDataInfB!$D$93)</f>
        <v>1</v>
      </c>
      <c r="C1084" s="7">
        <v>1</v>
      </c>
      <c r="D1084" s="151" t="str">
        <f t="shared" si="16"/>
        <v>_Neo_1700_Ent_Toevoeging_5##1</v>
      </c>
    </row>
    <row r="1085" spans="1:6" x14ac:dyDescent="0.2">
      <c r="A1085" s="151" t="s">
        <v>3865</v>
      </c>
      <c r="B1085" s="151">
        <f>IF(ISBLANK(NeoDataInfB!$D$94),"",NeoDataInfB!$D$94)</f>
        <v>1</v>
      </c>
      <c r="C1085" s="7">
        <v>1</v>
      </c>
      <c r="D1085" s="151" t="str">
        <f t="shared" si="16"/>
        <v>_Neo_1700_Ent_Toevoeging_6##1</v>
      </c>
    </row>
    <row r="1086" spans="1:6" x14ac:dyDescent="0.2">
      <c r="A1086" s="151" t="s">
        <v>3866</v>
      </c>
      <c r="B1086" s="151">
        <f>IF(ISBLANK(NeoDataInfB!$D$95),"",NeoDataInfB!$D$95)</f>
        <v>1</v>
      </c>
      <c r="C1086" s="7">
        <v>1</v>
      </c>
      <c r="D1086" s="151" t="str">
        <f t="shared" si="16"/>
        <v>_Neo_1700_Ent_Toevoeging_7##1</v>
      </c>
    </row>
    <row r="1087" spans="1:6" x14ac:dyDescent="0.2">
      <c r="A1087" s="151" t="s">
        <v>3867</v>
      </c>
      <c r="B1087" s="151">
        <f>IF(ISBLANK(NeoDataInfB!$D$96),"",NeoDataInfB!$D$96)</f>
        <v>1</v>
      </c>
      <c r="C1087" s="7">
        <v>1</v>
      </c>
      <c r="D1087" s="151" t="str">
        <f t="shared" si="16"/>
        <v>_Neo_1700_Ent_Toevoeging_8##1</v>
      </c>
    </row>
    <row r="1088" spans="1:6" x14ac:dyDescent="0.2">
      <c r="A1088" s="151" t="s">
        <v>3868</v>
      </c>
      <c r="B1088" s="151">
        <f>IF(ISBLANK(NeoDataInfB!$D$97),"",NeoDataInfB!$D$97)</f>
        <v>1</v>
      </c>
      <c r="C1088" s="151">
        <v>1</v>
      </c>
      <c r="D1088" s="151" t="str">
        <f t="shared" si="16"/>
        <v>_Neo_1700_Ent_Voeding##1</v>
      </c>
    </row>
    <row r="1089" spans="1:4" x14ac:dyDescent="0.2">
      <c r="A1089" s="151" t="s">
        <v>3869</v>
      </c>
      <c r="B1089" s="151">
        <f>IF(ISBLANK(NeoDataInfB!$D$98),"",NeoDataInfB!$D$98)</f>
        <v>5000</v>
      </c>
      <c r="C1089" s="151">
        <v>5000</v>
      </c>
      <c r="D1089" s="151" t="str">
        <f t="shared" si="16"/>
        <v>_Neo_1700_TPN_CaCl2##5000</v>
      </c>
    </row>
    <row r="1090" spans="1:4" x14ac:dyDescent="0.2">
      <c r="A1090" s="151" t="s">
        <v>3870</v>
      </c>
      <c r="B1090" s="151">
        <f>IF(ISBLANK(NeoDataInfB!$D$99),"",NeoDataInfB!$D$99)</f>
        <v>1</v>
      </c>
      <c r="C1090" s="151">
        <v>1</v>
      </c>
      <c r="D1090" s="151" t="str">
        <f t="shared" si="16"/>
        <v>_Neo_1700_TPN_DagKeuze##1</v>
      </c>
    </row>
    <row r="1091" spans="1:4" x14ac:dyDescent="0.2">
      <c r="A1091" s="151" t="s">
        <v>3871</v>
      </c>
      <c r="B1091" s="151">
        <f>IF(ISBLANK(NeoDataInfB!$D$100),"",NeoDataInfB!$D$100)</f>
        <v>2</v>
      </c>
      <c r="C1091" s="151">
        <v>2</v>
      </c>
      <c r="D1091" s="151" t="str">
        <f t="shared" ref="D1091:D1154" si="17">A1091&amp;"##"&amp;B1091</f>
        <v>_Neo_1700_TPN_Fototherapie##2</v>
      </c>
    </row>
    <row r="1092" spans="1:4" x14ac:dyDescent="0.2">
      <c r="A1092" s="151" t="s">
        <v>3872</v>
      </c>
      <c r="B1092" s="151">
        <f>IF(ISBLANK(NeoDataInfB!$D$101),"",NeoDataInfB!$D$101)</f>
        <v>2</v>
      </c>
      <c r="C1092" s="151">
        <v>2</v>
      </c>
      <c r="D1092" s="151" t="str">
        <f t="shared" si="17"/>
        <v>_Neo_1700_TPN_GlucSterkte##2</v>
      </c>
    </row>
    <row r="1093" spans="1:4" x14ac:dyDescent="0.2">
      <c r="A1093" s="151" t="s">
        <v>3873</v>
      </c>
      <c r="B1093" s="151">
        <f>IF(ISBLANK(NeoDataInfB!$D$102),"",NeoDataInfB!$D$102)</f>
        <v>0</v>
      </c>
      <c r="C1093" s="151">
        <v>0</v>
      </c>
      <c r="D1093" s="151" t="str">
        <f t="shared" si="17"/>
        <v>_Neo_1700_TPN_IntakePerKg##0</v>
      </c>
    </row>
    <row r="1094" spans="1:4" x14ac:dyDescent="0.2">
      <c r="A1094" s="151" t="s">
        <v>3874</v>
      </c>
      <c r="B1094" s="151">
        <f>IF(ISBLANK(NeoDataInfB!$D$103),"",NeoDataInfB!$D$103)</f>
        <v>5000</v>
      </c>
      <c r="C1094" s="151">
        <v>5000</v>
      </c>
      <c r="D1094" s="151" t="str">
        <f t="shared" si="17"/>
        <v>_Neo_1700_TPN_IntraLipid##5000</v>
      </c>
    </row>
    <row r="1095" spans="1:4" x14ac:dyDescent="0.2">
      <c r="A1095" s="151" t="s">
        <v>3875</v>
      </c>
      <c r="B1095" s="151">
        <f>IF(ISBLANK(NeoDataInfB!$D$104),"",NeoDataInfB!$D$104)</f>
        <v>1</v>
      </c>
      <c r="C1095" s="151">
        <v>1</v>
      </c>
      <c r="D1095" s="151" t="str">
        <f t="shared" si="17"/>
        <v>_Neo_1700_TPN_IntralipidSmof##1</v>
      </c>
    </row>
    <row r="1096" spans="1:4" x14ac:dyDescent="0.2">
      <c r="A1096" s="151" t="s">
        <v>3876</v>
      </c>
      <c r="B1096" s="151">
        <f>IF(ISBLANK(NeoDataInfB!$D$105),"",NeoDataInfB!$D$105)</f>
        <v>5000</v>
      </c>
      <c r="C1096" s="151">
        <v>5000</v>
      </c>
      <c r="D1096" s="151" t="str">
        <f t="shared" si="17"/>
        <v>_Neo_1700_TPN_KCl##5000</v>
      </c>
    </row>
    <row r="1097" spans="1:4" x14ac:dyDescent="0.2">
      <c r="A1097" s="151" t="s">
        <v>3877</v>
      </c>
      <c r="B1097" s="151">
        <f>IF(ISBLANK(NeoDataInfB!$D$106),"",NeoDataInfB!$D$106)</f>
        <v>5000</v>
      </c>
      <c r="C1097" s="151">
        <v>5000</v>
      </c>
      <c r="D1097" s="151" t="str">
        <f t="shared" si="17"/>
        <v>_Neo_1700_TPN_MgCl2##5000</v>
      </c>
    </row>
    <row r="1098" spans="1:4" x14ac:dyDescent="0.2">
      <c r="A1098" s="152" t="s">
        <v>4688</v>
      </c>
      <c r="B1098" s="151">
        <f>IF(ISBLANK(NeoDataInfB!$D$107),"",NeoDataInfB!$D$107)</f>
        <v>5000</v>
      </c>
      <c r="C1098" s="151">
        <v>5000</v>
      </c>
      <c r="D1098" s="151" t="str">
        <f t="shared" si="17"/>
        <v>_Neo_1700_TPN_NaCl##5000</v>
      </c>
    </row>
    <row r="1099" spans="1:4" x14ac:dyDescent="0.2">
      <c r="A1099" s="151" t="s">
        <v>3878</v>
      </c>
      <c r="B1099" s="151">
        <f>IF(ISBLANK(NeoDataInfB!$D$108),"",NeoDataInfB!$D$108)</f>
        <v>5000</v>
      </c>
      <c r="C1099" s="151">
        <v>5000</v>
      </c>
      <c r="D1099" s="151" t="str">
        <f t="shared" si="17"/>
        <v>_Neo_1700_TPN_NICUMix##5000</v>
      </c>
    </row>
    <row r="1100" spans="1:4" x14ac:dyDescent="0.2">
      <c r="A1100" s="151" t="s">
        <v>3879</v>
      </c>
      <c r="B1100" s="151" t="b">
        <f>IF(ISBLANK(NeoDataInfB!$D$109),"",NeoDataInfB!$D$109)</f>
        <v>0</v>
      </c>
      <c r="C1100" s="151" t="b">
        <v>0</v>
      </c>
      <c r="D1100" s="151" t="str">
        <f t="shared" si="17"/>
        <v>_Neo_1700_TPN_Parenteraal##ONWAAR</v>
      </c>
    </row>
    <row r="1101" spans="1:4" x14ac:dyDescent="0.2">
      <c r="A1101" s="151" t="s">
        <v>3880</v>
      </c>
      <c r="B1101" s="151">
        <f>IF(ISBLANK(NeoDataInfB!$D$110),"",NeoDataInfB!$D$110)</f>
        <v>5000</v>
      </c>
      <c r="C1101" s="151">
        <v>5000</v>
      </c>
      <c r="D1101" s="151" t="str">
        <f t="shared" si="17"/>
        <v>_Neo_1700_TPN_Primene##5000</v>
      </c>
    </row>
    <row r="1102" spans="1:4" x14ac:dyDescent="0.2">
      <c r="A1102" s="152" t="s">
        <v>4689</v>
      </c>
      <c r="B1102" s="151">
        <f>IF(ISBLANK(NeoDataInfB!$D$111),"",NeoDataInfB!$D$111)</f>
        <v>5000</v>
      </c>
      <c r="C1102" s="151">
        <v>5000</v>
      </c>
      <c r="D1102" s="151" t="str">
        <f t="shared" si="17"/>
        <v>_Neo_1700_TPN_Soluvit##5000</v>
      </c>
    </row>
    <row r="1103" spans="1:4" x14ac:dyDescent="0.2">
      <c r="A1103" s="151" t="s">
        <v>3881</v>
      </c>
      <c r="B1103" s="151">
        <f>IF(ISBLANK(NeoDataInfB!$D$112),"",NeoDataInfB!$D$112)</f>
        <v>5000</v>
      </c>
      <c r="C1103">
        <v>5000</v>
      </c>
      <c r="D1103" s="151" t="str">
        <f t="shared" si="17"/>
        <v>_Neo_1700_TPN_SSTB##5000</v>
      </c>
    </row>
    <row r="1104" spans="1:4" x14ac:dyDescent="0.2">
      <c r="A1104" s="151" t="s">
        <v>1525</v>
      </c>
      <c r="B1104" s="151" t="b">
        <f>IF(ISBLANK(NeoBerAfspr!$B$22),"",NeoBerAfspr!$B$22)</f>
        <v>0</v>
      </c>
      <c r="C1104" t="b">
        <v>0</v>
      </c>
      <c r="D1104" s="151" t="str">
        <f t="shared" si="17"/>
        <v>_Neo_AfsprB_aEEG##ONWAAR</v>
      </c>
    </row>
    <row r="1105" spans="1:4" x14ac:dyDescent="0.2">
      <c r="A1105" s="151" t="s">
        <v>1526</v>
      </c>
      <c r="B1105" s="151" t="b">
        <f>IF(ISBLANK(NeoBerAfspr!$D$11),"",NeoBerAfspr!$D$11)</f>
        <v>0</v>
      </c>
      <c r="C1105" t="b">
        <v>0</v>
      </c>
      <c r="D1105" s="151" t="str">
        <f t="shared" si="17"/>
        <v>_Neo_AfsprB_ArmLinks##ONWAAR</v>
      </c>
    </row>
    <row r="1106" spans="1:4" x14ac:dyDescent="0.2">
      <c r="A1106" s="151" t="s">
        <v>1527</v>
      </c>
      <c r="B1106" s="151" t="b">
        <f>IF(ISBLANK(NeoBerAfspr!$D$12),"",NeoBerAfspr!$D$12)</f>
        <v>0</v>
      </c>
      <c r="C1106" t="b">
        <v>0</v>
      </c>
      <c r="D1106" s="151" t="str">
        <f t="shared" si="17"/>
        <v>_Neo_AfsprB_ArmRechts##ONWAAR</v>
      </c>
    </row>
    <row r="1107" spans="1:4" x14ac:dyDescent="0.2">
      <c r="A1107" s="151" t="s">
        <v>1528</v>
      </c>
      <c r="B1107" s="151" t="b">
        <f>IF(ISBLANK(NeoBerAfspr!$D$13),"",NeoBerAfspr!$D$13)</f>
        <v>0</v>
      </c>
      <c r="C1107" t="b">
        <v>0</v>
      </c>
      <c r="D1107" s="151" t="str">
        <f t="shared" si="17"/>
        <v>_Neo_AfsprB_BeenLinks##ONWAAR</v>
      </c>
    </row>
    <row r="1108" spans="1:4" x14ac:dyDescent="0.2">
      <c r="A1108" s="151" t="s">
        <v>1529</v>
      </c>
      <c r="B1108" s="151" t="b">
        <f>IF(ISBLANK(NeoBerAfspr!$D$14),"",NeoBerAfspr!$D$14)</f>
        <v>0</v>
      </c>
      <c r="C1108" t="b">
        <v>0</v>
      </c>
      <c r="D1108" s="151" t="str">
        <f t="shared" si="17"/>
        <v>_Neo_AfsprB_BeenRechts##ONWAAR</v>
      </c>
    </row>
    <row r="1109" spans="1:4" x14ac:dyDescent="0.2">
      <c r="A1109" s="151" t="s">
        <v>1530</v>
      </c>
      <c r="B1109" s="151" t="b">
        <f>IF(ISBLANK(NeoBerAfspr!$F$7),"",NeoBerAfspr!$F$7)</f>
        <v>0</v>
      </c>
      <c r="C1109" t="b">
        <v>0</v>
      </c>
      <c r="D1109" s="151" t="str">
        <f t="shared" si="17"/>
        <v>_Neo_AfsprB_Bloedkweek##ONWAAR</v>
      </c>
    </row>
    <row r="1110" spans="1:4" x14ac:dyDescent="0.2">
      <c r="A1110" s="151" t="s">
        <v>1531</v>
      </c>
      <c r="B1110" s="151" t="b">
        <f>IF(ISBLANK(NeoBerAfspr!$J$7),"",NeoBerAfspr!$J$7)</f>
        <v>0</v>
      </c>
      <c r="C1110" t="b">
        <v>0</v>
      </c>
      <c r="D1110" s="151" t="str">
        <f t="shared" si="17"/>
        <v>_Neo_AfsprB_CatheterDemeure##ONWAAR</v>
      </c>
    </row>
    <row r="1111" spans="1:4" x14ac:dyDescent="0.2">
      <c r="A1111" s="151" t="s">
        <v>1532</v>
      </c>
      <c r="B1111" s="151" t="b">
        <f>IF(ISBLANK(NeoBerAfspr!$B$23),"",NeoBerAfspr!$B$23)</f>
        <v>0</v>
      </c>
      <c r="C1111" t="b">
        <v>0</v>
      </c>
      <c r="D1111" s="151" t="str">
        <f t="shared" si="17"/>
        <v>_Neo_AfsprB_CT##ONWAAR</v>
      </c>
    </row>
    <row r="1112" spans="1:4" x14ac:dyDescent="0.2">
      <c r="A1112" s="151" t="s">
        <v>1533</v>
      </c>
      <c r="B1112" s="151" t="b">
        <f>IF(ISBLANK(NeoBerAfspr!$B$24),"",NeoBerAfspr!$B$24)</f>
        <v>0</v>
      </c>
      <c r="C1112" t="b">
        <v>0</v>
      </c>
      <c r="D1112" s="151" t="str">
        <f t="shared" si="17"/>
        <v>_Neo_AfsprB_ECG##ONWAAR</v>
      </c>
    </row>
    <row r="1113" spans="1:4" x14ac:dyDescent="0.2">
      <c r="A1113" s="151" t="s">
        <v>1534</v>
      </c>
      <c r="B1113" s="151" t="b">
        <f>IF(ISBLANK(NeoBerAfspr!$B$25),"",NeoBerAfspr!$B$25)</f>
        <v>0</v>
      </c>
      <c r="C1113" t="b">
        <v>0</v>
      </c>
      <c r="D1113" s="151" t="str">
        <f t="shared" si="17"/>
        <v>_Neo_AfsprB_EchoBuik##ONWAAR</v>
      </c>
    </row>
    <row r="1114" spans="1:4" x14ac:dyDescent="0.2">
      <c r="A1114" s="151" t="s">
        <v>1535</v>
      </c>
      <c r="B1114" s="151" t="b">
        <f>IF(ISBLANK(NeoBerAfspr!$B$26),"",NeoBerAfspr!$B$26)</f>
        <v>0</v>
      </c>
      <c r="C1114" t="b">
        <v>0</v>
      </c>
      <c r="D1114" s="151" t="str">
        <f t="shared" si="17"/>
        <v>_Neo_AfsprB_EchoHart##ONWAAR</v>
      </c>
    </row>
    <row r="1115" spans="1:4" x14ac:dyDescent="0.2">
      <c r="A1115" s="151" t="s">
        <v>1536</v>
      </c>
      <c r="B1115" s="151" t="b">
        <f>IF(ISBLANK(NeoBerAfspr!$H$8),"",NeoBerAfspr!$H$8)</f>
        <v>0</v>
      </c>
      <c r="C1115" t="b">
        <v>0</v>
      </c>
      <c r="D1115" s="151" t="str">
        <f t="shared" si="17"/>
        <v>_Neo_AfsprB_FaecesBacterieel##ONWAAR</v>
      </c>
    </row>
    <row r="1116" spans="1:4" x14ac:dyDescent="0.2">
      <c r="A1116" s="151" t="s">
        <v>1537</v>
      </c>
      <c r="B1116" s="151" t="b">
        <f>IF(ISBLANK(NeoBerAfspr!$F$8),"",NeoBerAfspr!$F$8)</f>
        <v>0</v>
      </c>
      <c r="C1116" t="b">
        <v>0</v>
      </c>
      <c r="D1116" s="151" t="str">
        <f t="shared" si="17"/>
        <v>_Neo_AfsprB_Faeceskweek##ONWAAR</v>
      </c>
    </row>
    <row r="1117" spans="1:4" x14ac:dyDescent="0.2">
      <c r="A1117" s="151" t="s">
        <v>1538</v>
      </c>
      <c r="B1117" s="151" t="b">
        <f>IF(ISBLANK(NeoBerAfspr!$H$9),"",NeoBerAfspr!$H$9)</f>
        <v>0</v>
      </c>
      <c r="C1117" t="b">
        <v>0</v>
      </c>
      <c r="D1117" s="151" t="str">
        <f t="shared" si="17"/>
        <v>_Neo_AfsprB_FaecesRotaAdeno##ONWAAR</v>
      </c>
    </row>
    <row r="1118" spans="1:4" x14ac:dyDescent="0.2">
      <c r="A1118" s="151" t="s">
        <v>1539</v>
      </c>
      <c r="B1118" s="151" t="b">
        <f>IF(ISBLANK(NeoBerAfspr!$H$10),"",NeoBerAfspr!$H$10)</f>
        <v>0</v>
      </c>
      <c r="C1118" t="b">
        <v>0</v>
      </c>
      <c r="D1118" s="151" t="str">
        <f t="shared" si="17"/>
        <v>_Neo_AfsprB_FaecesSchimmelGist##ONWAAR</v>
      </c>
    </row>
    <row r="1119" spans="1:4" x14ac:dyDescent="0.2">
      <c r="A1119" s="151" t="s">
        <v>1540</v>
      </c>
      <c r="B1119" s="151" t="b">
        <f>IF(ISBLANK(NeoBerAfspr!$H$11),"",NeoBerAfspr!$H$11)</f>
        <v>0</v>
      </c>
      <c r="C1119" t="b">
        <v>0</v>
      </c>
      <c r="D1119" s="151" t="str">
        <f t="shared" si="17"/>
        <v>_Neo_AfsprB_FaecesViraal##ONWAAR</v>
      </c>
    </row>
    <row r="1120" spans="1:4" x14ac:dyDescent="0.2">
      <c r="A1120" s="151" t="s">
        <v>1541</v>
      </c>
      <c r="B1120" s="151" t="b">
        <f>IF(ISBLANK(NeoBerAfspr!$B$7),"",NeoBerAfspr!$B$7)</f>
        <v>0</v>
      </c>
      <c r="C1120" t="b">
        <v>0</v>
      </c>
      <c r="D1120" s="151" t="str">
        <f t="shared" si="17"/>
        <v>_Neo_AfsprB_Finnigan##ONWAAR</v>
      </c>
    </row>
    <row r="1121" spans="1:6" x14ac:dyDescent="0.2">
      <c r="A1121" s="151" t="s">
        <v>1542</v>
      </c>
      <c r="B1121" s="151" t="b">
        <f>IF(ISBLANK(NeoBerAfspr!$J$30),"",NeoBerAfspr!$J$30)</f>
        <v>0</v>
      </c>
      <c r="C1121" t="b">
        <v>0</v>
      </c>
      <c r="D1121" s="151" t="str">
        <f t="shared" si="17"/>
        <v>_Neo_AfsprB_Fototherapie##ONWAAR</v>
      </c>
    </row>
    <row r="1122" spans="1:6" x14ac:dyDescent="0.2">
      <c r="A1122" s="151" t="s">
        <v>1543</v>
      </c>
      <c r="B1122" s="151" t="b">
        <f>IF(ISBLANK(NeoBerAfspr!$J$8),"",NeoBerAfspr!$J$8)</f>
        <v>0</v>
      </c>
      <c r="C1122" t="b">
        <v>0</v>
      </c>
      <c r="D1122" s="151" t="str">
        <f t="shared" si="17"/>
        <v>_Neo_AfsprB_FototherapieStop##ONWAAR</v>
      </c>
    </row>
    <row r="1123" spans="1:6" x14ac:dyDescent="0.2">
      <c r="A1123" s="151" t="s">
        <v>1544</v>
      </c>
      <c r="B1123" s="151" t="b">
        <f>IF(ISBLANK(NeoBerAfspr!$J$9),"",NeoBerAfspr!$J$9)</f>
        <v>0</v>
      </c>
      <c r="C1123" t="b">
        <v>0</v>
      </c>
      <c r="D1123" s="151" t="str">
        <f t="shared" si="17"/>
        <v>_Neo_AfsprB_Gatrostoma##ONWAAR</v>
      </c>
    </row>
    <row r="1124" spans="1:6" x14ac:dyDescent="0.2">
      <c r="A1124" s="151" t="s">
        <v>1545</v>
      </c>
      <c r="B1124" s="151" t="b">
        <f>IF(ISBLANK(NeoBerAfspr!$B$8),"",NeoBerAfspr!$B$8)</f>
        <v>0</v>
      </c>
      <c r="C1124" t="b">
        <v>0</v>
      </c>
      <c r="D1124" s="151" t="str">
        <f t="shared" si="17"/>
        <v>_Neo_AfsprB_Gewicht##ONWAAR</v>
      </c>
    </row>
    <row r="1125" spans="1:6" x14ac:dyDescent="0.2">
      <c r="A1125" s="151" t="s">
        <v>1546</v>
      </c>
      <c r="B1125" s="151" t="b">
        <f>IF(ISBLANK(NeoBerAfspr!$J$10),"",NeoBerAfspr!$J$10)</f>
        <v>0</v>
      </c>
      <c r="C1125" t="b">
        <v>0</v>
      </c>
      <c r="D1125" s="151" t="str">
        <f t="shared" si="17"/>
        <v>_Neo_AfsprB_InfuusOpSlot##ONWAAR</v>
      </c>
    </row>
    <row r="1126" spans="1:6" x14ac:dyDescent="0.2">
      <c r="A1126" s="151" t="s">
        <v>1547</v>
      </c>
      <c r="B1126" s="151" t="b">
        <f>IF(ISBLANK(NeoBerAfspr!$J$11),"",NeoBerAfspr!$J$11)</f>
        <v>0</v>
      </c>
      <c r="C1126" t="b">
        <v>0</v>
      </c>
      <c r="D1126" s="151" t="str">
        <f t="shared" si="17"/>
        <v>_Neo_AfsprB_InfuusUit##ONWAAR</v>
      </c>
    </row>
    <row r="1127" spans="1:6" x14ac:dyDescent="0.2">
      <c r="A1127" s="151" t="s">
        <v>1548</v>
      </c>
      <c r="B1127" s="151" t="b">
        <f>IF(ISBLANK(NeoBerAfspr!$F$12),"",NeoBerAfspr!$F$12)</f>
        <v>0</v>
      </c>
      <c r="C1127" s="151" t="b">
        <v>0</v>
      </c>
      <c r="D1127" s="151" t="str">
        <f t="shared" si="17"/>
        <v>_Neo_AfsprB_Keelkweek##ONWAAR</v>
      </c>
      <c r="E1127" s="151"/>
    </row>
    <row r="1128" spans="1:6" x14ac:dyDescent="0.2">
      <c r="A1128" s="151" t="s">
        <v>1549</v>
      </c>
      <c r="B1128" s="151" t="b">
        <f>IF(ISBLANK(NeoBerAfspr!$B$9),"",NeoBerAfspr!$B$9)</f>
        <v>0</v>
      </c>
      <c r="C1128" t="b">
        <v>0</v>
      </c>
      <c r="D1128" s="151" t="str">
        <f t="shared" si="17"/>
        <v>_Neo_AfsprB_Lengte##ONWAAR</v>
      </c>
      <c r="E1128" s="151"/>
    </row>
    <row r="1129" spans="1:6" x14ac:dyDescent="0.2">
      <c r="A1129" s="151" t="s">
        <v>1550</v>
      </c>
      <c r="B1129" s="151" t="b">
        <f>IF(ISBLANK(NeoBerAfspr!$B$46),"",NeoBerAfspr!$B$46)</f>
        <v>0</v>
      </c>
      <c r="C1129" s="151" t="b">
        <v>0</v>
      </c>
      <c r="D1129" s="151" t="str">
        <f t="shared" si="17"/>
        <v>_Neo_AfsprB_Liquor##ONWAAR</v>
      </c>
      <c r="E1129" s="151"/>
    </row>
    <row r="1130" spans="1:6" s="151" customFormat="1" x14ac:dyDescent="0.2">
      <c r="A1130" s="155" t="s">
        <v>7045</v>
      </c>
      <c r="B1130" s="151" t="b">
        <f>IF(ISBLANK(NeoBerAfspr!$J$12),"",NeoBerAfspr!$J$12)</f>
        <v>0</v>
      </c>
      <c r="C1130" s="151" t="b">
        <v>0</v>
      </c>
      <c r="D1130" s="151" t="str">
        <f t="shared" si="17"/>
        <v>_Neo_AfsprB_MaagsondeAfhanged##ONWAAR</v>
      </c>
    </row>
    <row r="1131" spans="1:6" x14ac:dyDescent="0.2">
      <c r="A1131" s="151" t="s">
        <v>1551</v>
      </c>
      <c r="B1131" s="151" t="b">
        <f>IF(ISBLANK(NeoBerAfspr!$J$13),"",NeoBerAfspr!$J$13)</f>
        <v>0</v>
      </c>
      <c r="C1131" t="b">
        <v>0</v>
      </c>
      <c r="D1131" s="151" t="str">
        <f t="shared" si="17"/>
        <v>_Neo_AfsprB_MaagsondeOpenHoog##ONWAAR</v>
      </c>
      <c r="E1131" s="151"/>
    </row>
    <row r="1132" spans="1:6" x14ac:dyDescent="0.2">
      <c r="A1132" s="151" t="s">
        <v>1552</v>
      </c>
      <c r="B1132" s="151" t="b">
        <f>IF(ISBLANK(NeoBerAfspr!$B$10),"",NeoBerAfspr!$B$10)</f>
        <v>0</v>
      </c>
      <c r="C1132" t="b">
        <v>0</v>
      </c>
      <c r="D1132" s="151" t="str">
        <f t="shared" si="17"/>
        <v>_Neo_AfsprB_Monitor##ONWAAR</v>
      </c>
      <c r="E1132" s="151"/>
    </row>
    <row r="1133" spans="1:6" s="151" customFormat="1" x14ac:dyDescent="0.2">
      <c r="A1133" s="151" t="s">
        <v>1553</v>
      </c>
      <c r="B1133" s="151" t="b">
        <f>IF(ISBLANK(NeoBerAfspr!$B$27),"",NeoBerAfspr!$B$27)</f>
        <v>0</v>
      </c>
      <c r="C1133" t="b">
        <v>0</v>
      </c>
      <c r="D1133" s="151" t="str">
        <f t="shared" si="17"/>
        <v>_Neo_AfsprB_MRI##ONWAAR</v>
      </c>
      <c r="F1133"/>
    </row>
    <row r="1134" spans="1:6" x14ac:dyDescent="0.2">
      <c r="A1134" s="151" t="s">
        <v>1554</v>
      </c>
      <c r="B1134" s="151" t="b">
        <f>IF(ISBLANK(NeoBerAfspr!$F$13),"",NeoBerAfspr!$F$13)</f>
        <v>0</v>
      </c>
      <c r="C1134" t="b">
        <v>0</v>
      </c>
      <c r="D1134" s="151" t="str">
        <f t="shared" si="17"/>
        <v>_Neo_AfsprB_Neusspoelsel##ONWAAR</v>
      </c>
      <c r="E1134" s="151"/>
    </row>
    <row r="1135" spans="1:6" x14ac:dyDescent="0.2">
      <c r="A1135" s="151" t="s">
        <v>1555</v>
      </c>
      <c r="B1135" s="151" t="b">
        <f>IF(ISBLANK(NeoBerAfspr!$H$13),"",NeoBerAfspr!$H$13)</f>
        <v>0</v>
      </c>
      <c r="C1135" t="b">
        <v>0</v>
      </c>
      <c r="D1135" s="151" t="str">
        <f t="shared" si="17"/>
        <v>_Neo_AfsprB_NeusspoelselViraal##ONWAAR</v>
      </c>
      <c r="E1135" s="151"/>
    </row>
    <row r="1136" spans="1:6" x14ac:dyDescent="0.2">
      <c r="A1136" s="151" t="s">
        <v>1556</v>
      </c>
      <c r="B1136" s="151" t="b">
        <f>IF(ISBLANK(NeoBerAfspr!$B$11),"",NeoBerAfspr!$B$11)</f>
        <v>0</v>
      </c>
      <c r="C1136" t="b">
        <v>0</v>
      </c>
      <c r="D1136" s="151" t="str">
        <f t="shared" si="17"/>
        <v>_Neo_AfsprB_NIBD##ONWAAR</v>
      </c>
      <c r="E1136" s="151"/>
    </row>
    <row r="1137" spans="1:6" x14ac:dyDescent="0.2">
      <c r="A1137" s="151" t="s">
        <v>1557</v>
      </c>
      <c r="B1137" s="151" t="b">
        <f>IF(ISBLANK(NeoBerAfspr!$B$15),"",NeoBerAfspr!$B$15)</f>
        <v>0</v>
      </c>
      <c r="C1137" t="b">
        <v>0</v>
      </c>
      <c r="D1137" s="151" t="str">
        <f t="shared" si="17"/>
        <v>_Neo_AfsprB_NIBDAll##ONWAAR</v>
      </c>
    </row>
    <row r="1138" spans="1:6" x14ac:dyDescent="0.2">
      <c r="A1138" s="151" t="s">
        <v>1558</v>
      </c>
      <c r="B1138" s="151" t="b">
        <f>IF(ISBLANK(NeoBerAfspr!$B$28),"",NeoBerAfspr!$B$28)</f>
        <v>0</v>
      </c>
      <c r="C1138" t="b">
        <v>0</v>
      </c>
      <c r="D1138" s="151" t="str">
        <f t="shared" si="17"/>
        <v>_Neo_AfsprB_NIRS1##ONWAAR</v>
      </c>
    </row>
    <row r="1139" spans="1:6" x14ac:dyDescent="0.2">
      <c r="A1139" s="151" t="s">
        <v>1559</v>
      </c>
      <c r="B1139" s="151" t="b">
        <f>IF(ISBLANK(NeoBerAfspr!$B$29),"",NeoBerAfspr!$B$29)</f>
        <v>0</v>
      </c>
      <c r="C1139" t="b">
        <v>0</v>
      </c>
      <c r="D1139" s="151" t="str">
        <f t="shared" si="17"/>
        <v>_Neo_AfsprB_NIRS2##ONWAAR</v>
      </c>
    </row>
    <row r="1140" spans="1:6" x14ac:dyDescent="0.2">
      <c r="A1140" s="151" t="s">
        <v>1560</v>
      </c>
      <c r="B1140" s="151" t="b">
        <f>IF(ISBLANK(NeoBerAfspr!$B$30),"",NeoBerAfspr!$B$30)</f>
        <v>0</v>
      </c>
      <c r="C1140" s="151" t="b">
        <v>0</v>
      </c>
      <c r="D1140" s="151" t="str">
        <f t="shared" si="17"/>
        <v>_Neo_AfsprB_NIRSnier##ONWAAR</v>
      </c>
      <c r="E1140" s="151"/>
    </row>
    <row r="1141" spans="1:6" x14ac:dyDescent="0.2">
      <c r="A1141" s="151" t="s">
        <v>1561</v>
      </c>
      <c r="B1141" s="151" t="b">
        <f>IF(ISBLANK(NeoBerAfspr!$J$16),"",NeoBerAfspr!$J$16)</f>
        <v>0</v>
      </c>
      <c r="C1141" s="151" t="b">
        <v>0</v>
      </c>
      <c r="D1141" s="151" t="str">
        <f t="shared" si="17"/>
        <v>_Neo_AfsprB_OntslagAkkoord##ONWAAR</v>
      </c>
      <c r="E1141" s="151"/>
      <c r="F1141" s="151"/>
    </row>
    <row r="1142" spans="1:6" x14ac:dyDescent="0.2">
      <c r="A1142" s="151" t="s">
        <v>1562</v>
      </c>
      <c r="B1142" s="151" t="b">
        <f>IF(ISBLANK(NeoBerAfspr!$J$14),"",NeoBerAfspr!$J$14)</f>
        <v>0</v>
      </c>
      <c r="C1142" s="151" t="b">
        <v>0</v>
      </c>
      <c r="D1142" s="151" t="str">
        <f t="shared" si="17"/>
        <v>_Neo_AfsprB_OntslagInOverleg##ONWAAR</v>
      </c>
      <c r="E1142" s="151"/>
    </row>
    <row r="1143" spans="1:6" x14ac:dyDescent="0.2">
      <c r="A1143" s="151" t="s">
        <v>1563</v>
      </c>
      <c r="B1143" s="151" t="b">
        <f>IF(ISBLANK(NeoBerAfspr!$J$15),"",NeoBerAfspr!$J$15)</f>
        <v>0</v>
      </c>
      <c r="C1143" s="151" t="b">
        <v>0</v>
      </c>
      <c r="D1143" s="151" t="str">
        <f t="shared" si="17"/>
        <v>_Neo_AfsprB_OntslagNaVisite##ONWAAR</v>
      </c>
      <c r="E1143" s="151"/>
    </row>
    <row r="1144" spans="1:6" x14ac:dyDescent="0.2">
      <c r="A1144" s="151" t="s">
        <v>1564</v>
      </c>
      <c r="B1144" s="151" t="b">
        <f>IF(ISBLANK(NeoBerAfspr!$F$14),"",NeoBerAfspr!$F$14)</f>
        <v>0</v>
      </c>
      <c r="C1144" s="151" t="b">
        <v>0</v>
      </c>
      <c r="D1144" s="151" t="str">
        <f t="shared" si="17"/>
        <v>_Neo_AfsprB_Opnamekweken##ONWAAR</v>
      </c>
      <c r="E1144" s="151"/>
      <c r="F1144" s="151"/>
    </row>
    <row r="1145" spans="1:6" x14ac:dyDescent="0.2">
      <c r="A1145" s="151" t="s">
        <v>1565</v>
      </c>
      <c r="B1145" s="151" t="b">
        <f>IF(ISBLANK(NeoBerAfspr!$H$16),"",NeoBerAfspr!$H$16)</f>
        <v>0</v>
      </c>
      <c r="C1145" s="151" t="b">
        <v>0</v>
      </c>
      <c r="D1145" s="151" t="str">
        <f t="shared" si="17"/>
        <v>_Neo_AfsprB_OppervlakteGistSchimmel##ONWAAR</v>
      </c>
      <c r="E1145" s="151"/>
      <c r="F1145" s="151"/>
    </row>
    <row r="1146" spans="1:6" x14ac:dyDescent="0.2">
      <c r="A1146" s="151" t="s">
        <v>1566</v>
      </c>
      <c r="B1146" s="151" t="b">
        <f>IF(ISBLANK(NeoBerAfspr!$F$15),"",NeoBerAfspr!$F$15)</f>
        <v>0</v>
      </c>
      <c r="C1146" s="151" t="b">
        <v>0</v>
      </c>
      <c r="D1146" s="151" t="str">
        <f t="shared" si="17"/>
        <v>_Neo_AfsprB_Oppervlaktekweken##ONWAAR</v>
      </c>
      <c r="E1146" s="151"/>
    </row>
    <row r="1147" spans="1:6" x14ac:dyDescent="0.2">
      <c r="A1147" s="151" t="s">
        <v>1567</v>
      </c>
      <c r="B1147" s="151" t="b">
        <f>IF(ISBLANK(NeoBerAfspr!$H$15),"",NeoBerAfspr!$H$15)</f>
        <v>0</v>
      </c>
      <c r="C1147" s="151" t="b">
        <v>0</v>
      </c>
      <c r="D1147" s="151" t="str">
        <f t="shared" si="17"/>
        <v>_Neo_AfsprB_OppervlakteOpname##ONWAAR</v>
      </c>
      <c r="E1147" s="151"/>
    </row>
    <row r="1148" spans="1:6" x14ac:dyDescent="0.2">
      <c r="A1148" s="151" t="s">
        <v>1568</v>
      </c>
      <c r="B1148" s="151" t="b">
        <f>IF(ISBLANK(NeoBerAfspr!$J$17),"",NeoBerAfspr!$J$17)</f>
        <v>0</v>
      </c>
      <c r="C1148" s="151" t="b">
        <v>0</v>
      </c>
      <c r="D1148" s="151" t="str">
        <f t="shared" si="17"/>
        <v>_Neo_AfsprB_Pacemakerdraden##ONWAAR</v>
      </c>
      <c r="E1148" s="151"/>
    </row>
    <row r="1149" spans="1:6" x14ac:dyDescent="0.2">
      <c r="A1149" s="151" t="s">
        <v>1569</v>
      </c>
      <c r="B1149" s="151" t="b">
        <f>IF(ISBLANK(NeoBerAfspr!$B$43),"",NeoBerAfspr!$B$43)</f>
        <v>0</v>
      </c>
      <c r="C1149" s="151" t="b">
        <v>0</v>
      </c>
      <c r="D1149" s="151" t="str">
        <f t="shared" si="17"/>
        <v>_Neo_AfsprB_Peritoneaal##ONWAAR</v>
      </c>
    </row>
    <row r="1150" spans="1:6" x14ac:dyDescent="0.2">
      <c r="A1150" s="151" t="s">
        <v>1570</v>
      </c>
      <c r="B1150" s="151" t="b">
        <f>IF(ISBLANK(NeoBerAfspr!$D$43),"",NeoBerAfspr!$D$43)</f>
        <v>0</v>
      </c>
      <c r="C1150" s="151" t="b">
        <v>0</v>
      </c>
      <c r="D1150" s="151" t="str">
        <f t="shared" si="17"/>
        <v>_Neo_AfsprB_PeritoneaalVacuum##ONWAAR</v>
      </c>
      <c r="F1150" s="151"/>
    </row>
    <row r="1151" spans="1:6" x14ac:dyDescent="0.2">
      <c r="A1151" s="151" t="s">
        <v>1571</v>
      </c>
      <c r="B1151" s="151" t="b">
        <f>IF(ISBLANK(NeoBerAfspr!$B$44),"",NeoBerAfspr!$B$44)</f>
        <v>0</v>
      </c>
      <c r="C1151" s="151" t="b">
        <v>0</v>
      </c>
      <c r="D1151" s="151" t="str">
        <f t="shared" si="17"/>
        <v>_Neo_AfsprB_Pigtail##ONWAAR</v>
      </c>
      <c r="F1151" s="151"/>
    </row>
    <row r="1152" spans="1:6" x14ac:dyDescent="0.2">
      <c r="A1152" s="151" t="s">
        <v>1572</v>
      </c>
      <c r="B1152" s="151" t="b">
        <f>IF(ISBLANK(NeoBerAfspr!$D$44),"",NeoBerAfspr!$D$44)</f>
        <v>0</v>
      </c>
      <c r="C1152" s="151" t="b">
        <v>0</v>
      </c>
      <c r="D1152" s="151" t="str">
        <f t="shared" si="17"/>
        <v>_Neo_AfsprB_PigtailVacuum##ONWAAR</v>
      </c>
    </row>
    <row r="1153" spans="1:6" x14ac:dyDescent="0.2">
      <c r="A1153" s="151" t="s">
        <v>1573</v>
      </c>
      <c r="B1153" s="151" t="b">
        <f>IF(ISBLANK(NeoBerAfspr!$B$45),"",NeoBerAfspr!$B$45)</f>
        <v>0</v>
      </c>
      <c r="C1153" s="151" t="b">
        <v>0</v>
      </c>
      <c r="D1153" s="151" t="str">
        <f t="shared" si="17"/>
        <v>_Neo_AfsprB_Redon##ONWAAR</v>
      </c>
    </row>
    <row r="1154" spans="1:6" x14ac:dyDescent="0.2">
      <c r="A1154" s="151" t="s">
        <v>1574</v>
      </c>
      <c r="B1154" s="151" t="b">
        <f>IF(ISBLANK(NeoBerAfspr!$D$45),"",NeoBerAfspr!$D$45)</f>
        <v>0</v>
      </c>
      <c r="C1154" s="151" t="b">
        <v>0</v>
      </c>
      <c r="D1154" s="151" t="str">
        <f t="shared" si="17"/>
        <v>_Neo_AfsprB_RedonVacuum##ONWAAR</v>
      </c>
    </row>
    <row r="1155" spans="1:6" x14ac:dyDescent="0.2">
      <c r="A1155" s="151" t="s">
        <v>1575</v>
      </c>
      <c r="B1155" s="151" t="b">
        <f>IF(ISBLANK(NeoBerAfspr!$J$18),"",NeoBerAfspr!$J$18)</f>
        <v>0</v>
      </c>
      <c r="C1155" s="151" t="b">
        <v>0</v>
      </c>
      <c r="D1155" s="151" t="str">
        <f t="shared" ref="D1155:D1218" si="18">A1155&amp;"##"&amp;B1155</f>
        <v>_Neo_AfsprB_Rickham##ONWAAR</v>
      </c>
    </row>
    <row r="1156" spans="1:6" x14ac:dyDescent="0.2">
      <c r="A1156" s="151" t="s">
        <v>1576</v>
      </c>
      <c r="B1156" s="151" t="b">
        <f>IF(ISBLANK(NeoBerAfspr!$J$19),"",NeoBerAfspr!$J$19)</f>
        <v>0</v>
      </c>
      <c r="C1156" s="151" t="b">
        <v>0</v>
      </c>
      <c r="D1156" s="151" t="str">
        <f t="shared" si="18"/>
        <v>_Neo_AfsprB_RS##ONWAAR</v>
      </c>
    </row>
    <row r="1157" spans="1:6" x14ac:dyDescent="0.2">
      <c r="A1157" s="151" t="s">
        <v>1577</v>
      </c>
      <c r="B1157" s="151" t="b">
        <f>IF(ISBLANK(NeoBerAfspr!$F$17),"",NeoBerAfspr!$F$17)</f>
        <v>0</v>
      </c>
      <c r="C1157" s="151" t="b">
        <v>0</v>
      </c>
      <c r="D1157" s="151" t="str">
        <f t="shared" si="18"/>
        <v>_Neo_AfsprB_RSdiagnostiek##ONWAAR</v>
      </c>
    </row>
    <row r="1158" spans="1:6" x14ac:dyDescent="0.2">
      <c r="A1158" s="151" t="s">
        <v>1578</v>
      </c>
      <c r="B1158" s="151" t="b">
        <f>IF(ISBLANK(NeoBerAfspr!$B$16),"",NeoBerAfspr!$B$16)</f>
        <v>0</v>
      </c>
      <c r="C1158" s="151" t="b">
        <v>0</v>
      </c>
      <c r="D1158" s="151" t="str">
        <f t="shared" si="18"/>
        <v>_Neo_AfsprB_SaturatiePost##ONWAAR</v>
      </c>
    </row>
    <row r="1159" spans="1:6" x14ac:dyDescent="0.2">
      <c r="A1159" s="151" t="s">
        <v>1579</v>
      </c>
      <c r="B1159" s="151" t="b">
        <f>IF(ISBLANK(NeoBerAfspr!$B$17),"",NeoBerAfspr!$B$17)</f>
        <v>0</v>
      </c>
      <c r="C1159" s="151" t="b">
        <v>0</v>
      </c>
      <c r="D1159" s="151" t="str">
        <f t="shared" si="18"/>
        <v>_Neo_AfsprB_SaturatiePre##ONWAAR</v>
      </c>
      <c r="F1159" s="151"/>
    </row>
    <row r="1160" spans="1:6" x14ac:dyDescent="0.2">
      <c r="A1160" s="151" t="s">
        <v>1580</v>
      </c>
      <c r="B1160" s="151" t="b">
        <f>IF(ISBLANK(NeoBerAfspr!$B$18),"",NeoBerAfspr!$B$18)</f>
        <v>0</v>
      </c>
      <c r="C1160" s="151" t="b">
        <v>0</v>
      </c>
      <c r="D1160" s="151" t="str">
        <f t="shared" si="18"/>
        <v>_Neo_AfsprB_Schedel##ONWAAR</v>
      </c>
    </row>
    <row r="1161" spans="1:6" x14ac:dyDescent="0.2">
      <c r="A1161" s="151" t="s">
        <v>1581</v>
      </c>
      <c r="B1161" s="151" t="b">
        <f>IF(ISBLANK(NeoBerAfspr!$H$18),"",NeoBerAfspr!$H$18)</f>
        <v>0</v>
      </c>
      <c r="C1161" s="151" t="b">
        <v>0</v>
      </c>
      <c r="D1161" s="151" t="str">
        <f t="shared" si="18"/>
        <v>_Neo_AfsprB_SputumBacterieel##ONWAAR</v>
      </c>
    </row>
    <row r="1162" spans="1:6" x14ac:dyDescent="0.2">
      <c r="A1162" s="151" t="s">
        <v>1582</v>
      </c>
      <c r="B1162" s="151" t="b">
        <f>IF(ISBLANK(NeoBerAfspr!$F$18),"",NeoBerAfspr!$F$18)</f>
        <v>0</v>
      </c>
      <c r="C1162" s="151" t="b">
        <v>0</v>
      </c>
      <c r="D1162" s="151" t="str">
        <f t="shared" si="18"/>
        <v>_Neo_AfsprB_Sputumkweek##ONWAAR</v>
      </c>
    </row>
    <row r="1163" spans="1:6" x14ac:dyDescent="0.2">
      <c r="A1163" s="151" t="s">
        <v>1583</v>
      </c>
      <c r="B1163" s="151" t="b">
        <f>IF(ISBLANK(NeoBerAfspr!$H$19),"",NeoBerAfspr!$H$19)</f>
        <v>0</v>
      </c>
      <c r="C1163" s="151" t="b">
        <v>0</v>
      </c>
      <c r="D1163" s="151" t="str">
        <f t="shared" si="18"/>
        <v>_Neo_AfsprB_SputumUreaplasmaMycoplasma##ONWAAR</v>
      </c>
    </row>
    <row r="1164" spans="1:6" x14ac:dyDescent="0.2">
      <c r="A1164" s="151" t="s">
        <v>1584</v>
      </c>
      <c r="B1164" s="151" t="b">
        <f>IF(ISBLANK(NeoBerAfspr!$H$20),"",NeoBerAfspr!$H$20)</f>
        <v>0</v>
      </c>
      <c r="C1164" s="151" t="b">
        <v>0</v>
      </c>
      <c r="D1164" s="151" t="str">
        <f t="shared" si="18"/>
        <v>_Neo_AfsprB_SputumViraal##ONWAAR</v>
      </c>
    </row>
    <row r="1165" spans="1:6" x14ac:dyDescent="0.2">
      <c r="A1165" s="151" t="s">
        <v>1585</v>
      </c>
      <c r="B1165" s="151" t="b">
        <f>IF(ISBLANK(NeoBerAfspr!$B$34),"",NeoBerAfspr!$B$34)</f>
        <v>0</v>
      </c>
      <c r="C1165" s="151" t="b">
        <v>0</v>
      </c>
      <c r="D1165" s="151" t="str">
        <f t="shared" si="18"/>
        <v>_Neo_AfsprB_Thorax1##ONWAAR</v>
      </c>
    </row>
    <row r="1166" spans="1:6" x14ac:dyDescent="0.2">
      <c r="A1166" s="151" t="s">
        <v>1586</v>
      </c>
      <c r="B1166" s="151" t="b">
        <f>IF(ISBLANK(NeoBerAfspr!$B$37),"",NeoBerAfspr!$B$37)</f>
        <v>0</v>
      </c>
      <c r="C1166" s="151" t="b">
        <v>0</v>
      </c>
      <c r="D1166" s="151" t="str">
        <f t="shared" si="18"/>
        <v>_Neo_AfsprB_Thorax2##ONWAAR</v>
      </c>
    </row>
    <row r="1167" spans="1:6" x14ac:dyDescent="0.2">
      <c r="A1167" s="151" t="s">
        <v>1587</v>
      </c>
      <c r="B1167" s="151" t="b">
        <f>IF(ISBLANK(NeoBerAfspr!$B$40),"",NeoBerAfspr!$B$40)</f>
        <v>0</v>
      </c>
      <c r="C1167" s="151" t="b">
        <v>0</v>
      </c>
      <c r="D1167" s="151" t="str">
        <f t="shared" si="18"/>
        <v>_Neo_AfsprB_Thorax3##ONWAAR</v>
      </c>
    </row>
    <row r="1168" spans="1:6" x14ac:dyDescent="0.2">
      <c r="A1168" s="151" t="s">
        <v>1588</v>
      </c>
      <c r="B1168" s="151" t="b">
        <f>IF(ISBLANK(NeoBerAfspr!$F$21),"",NeoBerAfspr!$F$21)</f>
        <v>0</v>
      </c>
      <c r="C1168" s="151" t="b">
        <v>0</v>
      </c>
      <c r="D1168" s="151" t="str">
        <f t="shared" si="18"/>
        <v>_Neo_AfsprB_Uitzuigkweek##ONWAAR</v>
      </c>
    </row>
    <row r="1169" spans="1:5" x14ac:dyDescent="0.2">
      <c r="A1169" s="151" t="s">
        <v>1589</v>
      </c>
      <c r="B1169" s="151" t="b">
        <f>IF(ISBLANK(NeoBerAfspr!$F$23),"",NeoBerAfspr!$F$23)</f>
        <v>0</v>
      </c>
      <c r="C1169" s="151" t="b">
        <v>0</v>
      </c>
      <c r="D1169" s="151" t="str">
        <f t="shared" si="18"/>
        <v>_Neo_AfsprB_Urine##ONWAAR</v>
      </c>
    </row>
    <row r="1170" spans="1:5" x14ac:dyDescent="0.2">
      <c r="A1170" s="151" t="s">
        <v>1590</v>
      </c>
      <c r="B1170" s="151" t="b">
        <f>IF(ISBLANK(NeoBerAfspr!$H$27),"",NeoBerAfspr!$H$27)</f>
        <v>0</v>
      </c>
      <c r="C1170" s="151" t="b">
        <v>0</v>
      </c>
      <c r="D1170" s="151" t="str">
        <f t="shared" si="18"/>
        <v>_Neo_AfsprB_Urine24uur##ONWAAR</v>
      </c>
    </row>
    <row r="1171" spans="1:5" x14ac:dyDescent="0.2">
      <c r="A1171" s="151" t="s">
        <v>1591</v>
      </c>
      <c r="B1171" s="150" t="b">
        <f>IF(ISBLANK(NeoBerAfspr!$H$28),"",NeoBerAfspr!$H$28)</f>
        <v>0</v>
      </c>
      <c r="C1171" s="151" t="b">
        <v>0</v>
      </c>
      <c r="D1171" s="151" t="str">
        <f t="shared" si="18"/>
        <v>_Neo_AfsprB_UrineCMV##ONWAAR</v>
      </c>
      <c r="E1171" s="151"/>
    </row>
    <row r="1172" spans="1:5" x14ac:dyDescent="0.2">
      <c r="A1172" s="151" t="s">
        <v>1592</v>
      </c>
      <c r="B1172" s="150" t="b">
        <f>IF(ISBLANK(NeoBerAfspr!$F$22),"",NeoBerAfspr!$F$22)</f>
        <v>0</v>
      </c>
      <c r="C1172" s="151" t="b">
        <v>0</v>
      </c>
      <c r="D1172" s="151" t="str">
        <f t="shared" si="18"/>
        <v>_Neo_AfsprB_Urinekweek##ONWAAR</v>
      </c>
    </row>
    <row r="1173" spans="1:5" x14ac:dyDescent="0.2">
      <c r="A1173" s="151" t="s">
        <v>1593</v>
      </c>
      <c r="B1173" s="150" t="b">
        <f>IF(ISBLANK(NeoBerAfspr!$H$22),"",NeoBerAfspr!$H$22)</f>
        <v>0</v>
      </c>
      <c r="C1173" s="151" t="b">
        <v>0</v>
      </c>
      <c r="D1173" s="151" t="str">
        <f t="shared" si="18"/>
        <v>_Neo_AfsprB_UrinekweekBacterieel##ONWAAR</v>
      </c>
    </row>
    <row r="1174" spans="1:5" x14ac:dyDescent="0.2">
      <c r="A1174" s="151" t="s">
        <v>1594</v>
      </c>
      <c r="B1174" s="150" t="b">
        <f>IF(ISBLANK(NeoBerAfspr!$H$29),"",NeoBerAfspr!$H$29)</f>
        <v>0</v>
      </c>
      <c r="C1174" s="151" t="b">
        <v>0</v>
      </c>
      <c r="D1174" s="151" t="str">
        <f t="shared" si="18"/>
        <v>_Neo_AfsprB_UrineMetabool##ONWAAR</v>
      </c>
      <c r="E1174" s="151"/>
    </row>
    <row r="1175" spans="1:5" x14ac:dyDescent="0.2">
      <c r="A1175" s="151" t="s">
        <v>1595</v>
      </c>
      <c r="B1175" s="150" t="b">
        <f>IF(ISBLANK(NeoBerAfspr!$H$23),"",NeoBerAfspr!$H$23)</f>
        <v>0</v>
      </c>
      <c r="C1175" s="151" t="b">
        <v>0</v>
      </c>
      <c r="D1175" s="151" t="str">
        <f t="shared" si="18"/>
        <v>_Neo_AfsprB_UrineNatriumKalium##ONWAAR</v>
      </c>
      <c r="E1175" s="151"/>
    </row>
    <row r="1176" spans="1:5" x14ac:dyDescent="0.2">
      <c r="A1176" s="151" t="s">
        <v>1596</v>
      </c>
      <c r="B1176" s="150" t="b">
        <f>IF(ISBLANK(NeoBerAfspr!$H$30),"",NeoBerAfspr!$H$30)</f>
        <v>0</v>
      </c>
      <c r="C1176" s="151" t="b">
        <v>0</v>
      </c>
      <c r="D1176" s="151" t="str">
        <f t="shared" si="18"/>
        <v>_Neo_AfsprB_UrineRchitis##ONWAAR</v>
      </c>
    </row>
    <row r="1177" spans="1:5" x14ac:dyDescent="0.2">
      <c r="A1177" s="151" t="s">
        <v>1597</v>
      </c>
      <c r="B1177" s="150" t="b">
        <f>IF(ISBLANK(NeoBerAfspr!$H$24),"",NeoBerAfspr!$H$24)</f>
        <v>0</v>
      </c>
      <c r="C1177" s="151" t="b">
        <v>0</v>
      </c>
      <c r="D1177" s="151" t="str">
        <f t="shared" si="18"/>
        <v>_Neo_AfsprB_UrineSediment##ONWAAR</v>
      </c>
    </row>
    <row r="1178" spans="1:5" x14ac:dyDescent="0.2">
      <c r="A1178" s="151" t="s">
        <v>1598</v>
      </c>
      <c r="B1178" s="150" t="b">
        <f>IF(ISBLANK(NeoBerAfspr!$H$25),"",NeoBerAfspr!$H$25)</f>
        <v>0</v>
      </c>
      <c r="C1178" s="151" t="b">
        <v>0</v>
      </c>
      <c r="D1178" s="151" t="str">
        <f t="shared" si="18"/>
        <v>_Neo_AfsprB_UrineSedimentKweek##ONWAAR</v>
      </c>
    </row>
    <row r="1179" spans="1:5" x14ac:dyDescent="0.2">
      <c r="A1179" s="151" t="s">
        <v>1599</v>
      </c>
      <c r="B1179" s="150" t="b">
        <f>IF(ISBLANK(NeoBerAfspr!$H$26),"",NeoBerAfspr!$H$26)</f>
        <v>0</v>
      </c>
      <c r="C1179" s="151" t="b">
        <v>0</v>
      </c>
      <c r="D1179" s="151" t="str">
        <f t="shared" si="18"/>
        <v>_Neo_AfsprB_UrineSedimentMaWoVr##ONWAAR</v>
      </c>
    </row>
    <row r="1180" spans="1:5" x14ac:dyDescent="0.2">
      <c r="A1180" s="151" t="s">
        <v>1600</v>
      </c>
      <c r="B1180" s="150" t="b">
        <f>IF(ISBLANK(NeoBerAfspr!$J$20),"",NeoBerAfspr!$J$20)</f>
        <v>0</v>
      </c>
      <c r="C1180" s="151" t="b">
        <v>0</v>
      </c>
      <c r="D1180" s="151" t="str">
        <f t="shared" si="18"/>
        <v>_Neo_AfsprB_Urostoma##ONWAAR</v>
      </c>
      <c r="E1180" s="151"/>
    </row>
    <row r="1181" spans="1:5" x14ac:dyDescent="0.2">
      <c r="A1181" s="151" t="s">
        <v>1601</v>
      </c>
      <c r="B1181" s="150" t="b">
        <f>IF(ISBLANK(NeoBerAfspr!$J$21),"",NeoBerAfspr!$J$21)</f>
        <v>0</v>
      </c>
      <c r="C1181" s="151" t="b">
        <v>0</v>
      </c>
      <c r="D1181" s="151" t="str">
        <f t="shared" si="18"/>
        <v>_Neo_AfsprB_Verliezen##ONWAAR</v>
      </c>
      <c r="E1181" s="151"/>
    </row>
    <row r="1182" spans="1:5" x14ac:dyDescent="0.2">
      <c r="A1182" s="151" t="s">
        <v>1602</v>
      </c>
      <c r="B1182" s="150" t="b">
        <f>IF(ISBLANK(NeoBerAfspr!$L$24),"",NeoBerAfspr!$L$24)</f>
        <v>0</v>
      </c>
      <c r="C1182" s="151" t="b">
        <v>0</v>
      </c>
      <c r="D1182" s="151" t="str">
        <f t="shared" si="18"/>
        <v>_Neo_AfsprB_VerliezenFFP##ONWAAR</v>
      </c>
    </row>
    <row r="1183" spans="1:5" x14ac:dyDescent="0.2">
      <c r="A1183" s="151" t="s">
        <v>1603</v>
      </c>
      <c r="B1183" s="150" t="b">
        <f>IF(ISBLANK(NeoBerAfspr!$L$23),"",NeoBerAfspr!$L$23)</f>
        <v>0</v>
      </c>
      <c r="C1183" s="151" t="b">
        <v>0</v>
      </c>
      <c r="D1183" s="151" t="str">
        <f t="shared" si="18"/>
        <v>_Neo_AfsprB_VerliezenNaCl##ONWAAR</v>
      </c>
    </row>
    <row r="1184" spans="1:5" x14ac:dyDescent="0.2">
      <c r="A1184" s="151" t="s">
        <v>1604</v>
      </c>
      <c r="B1184" s="150" t="b">
        <f>IF(ISBLANK(NeoBerAfspr!$L$22),"",NeoBerAfspr!$L$22)</f>
        <v>0</v>
      </c>
      <c r="C1184" s="151" t="b">
        <v>0</v>
      </c>
      <c r="D1184" s="151" t="str">
        <f t="shared" si="18"/>
        <v>_Neo_AfsprB_VerliezenRingerslactaat##ONWAAR</v>
      </c>
    </row>
    <row r="1185" spans="1:6" x14ac:dyDescent="0.2">
      <c r="A1185" s="151" t="s">
        <v>1605</v>
      </c>
      <c r="B1185" s="150" t="b">
        <f>IF(ISBLANK(NeoBerAfspr!$J$25),"",NeoBerAfspr!$J$25)</f>
        <v>0</v>
      </c>
      <c r="C1185" s="151" t="b">
        <v>0</v>
      </c>
      <c r="D1185" s="151" t="str">
        <f t="shared" si="18"/>
        <v>_Neo_AfsprB_Verwijderen##ONWAAR</v>
      </c>
    </row>
    <row r="1186" spans="1:6" x14ac:dyDescent="0.2">
      <c r="A1186" s="151" t="s">
        <v>1606</v>
      </c>
      <c r="B1186" s="150" t="b">
        <f>IF(ISBLANK(NeoBerAfspr!$L$25),"",NeoBerAfspr!$L$25)</f>
        <v>0</v>
      </c>
      <c r="C1186" s="151" t="b">
        <v>0</v>
      </c>
      <c r="D1186" s="151" t="str">
        <f t="shared" si="18"/>
        <v>_Neo_AfsprB_VerwijderenCAD##ONWAAR</v>
      </c>
    </row>
    <row r="1187" spans="1:6" x14ac:dyDescent="0.2">
      <c r="A1187" s="151" t="s">
        <v>1607</v>
      </c>
      <c r="B1187" s="150" t="b">
        <f>IF(ISBLANK(NeoBerAfspr!$L$26),"",NeoBerAfspr!$L$26)</f>
        <v>0</v>
      </c>
      <c r="C1187" s="151" t="b">
        <v>0</v>
      </c>
      <c r="D1187" s="151" t="str">
        <f t="shared" si="18"/>
        <v>_Neo_AfsprB_VerwijderenNVL##ONWAAR</v>
      </c>
    </row>
    <row r="1188" spans="1:6" x14ac:dyDescent="0.2">
      <c r="A1188" s="151" t="s">
        <v>1608</v>
      </c>
      <c r="B1188" s="150" t="b">
        <f>IF(ISBLANK(NeoBerAfspr!$L$27),"",NeoBerAfspr!$L$27)</f>
        <v>0</v>
      </c>
      <c r="C1188" s="151" t="b">
        <v>0</v>
      </c>
      <c r="D1188" s="151" t="str">
        <f t="shared" si="18"/>
        <v>_Neo_AfsprB_VerwijderenPAL##ONWAAR</v>
      </c>
    </row>
    <row r="1189" spans="1:6" x14ac:dyDescent="0.2">
      <c r="A1189" s="151" t="s">
        <v>1609</v>
      </c>
      <c r="B1189" s="150" t="b">
        <f>IF(ISBLANK(NeoBerAfspr!$L$28),"",NeoBerAfspr!$L$28)</f>
        <v>0</v>
      </c>
      <c r="C1189" s="151" t="b">
        <v>0</v>
      </c>
      <c r="D1189" s="151" t="str">
        <f t="shared" si="18"/>
        <v>_Neo_AfsprB_VerwijderenSilastic##ONWAAR</v>
      </c>
      <c r="E1189" s="151"/>
    </row>
    <row r="1190" spans="1:6" x14ac:dyDescent="0.2">
      <c r="A1190" s="151" t="s">
        <v>1610</v>
      </c>
      <c r="B1190" s="150" t="b">
        <f>IF(ISBLANK(NeoBerAfspr!$B$19),"",NeoBerAfspr!$B$19)</f>
        <v>0</v>
      </c>
      <c r="C1190" s="151" t="b">
        <v>0</v>
      </c>
      <c r="D1190" s="151" t="str">
        <f t="shared" si="18"/>
        <v>_Neo_AfsprB_Vochtbalans##ONWAAR</v>
      </c>
    </row>
    <row r="1191" spans="1:6" x14ac:dyDescent="0.2">
      <c r="A1191" s="152" t="s">
        <v>4767</v>
      </c>
      <c r="B1191" s="150" t="b">
        <f>IF(ISBLANK(NeoBerAfspr!$F$31),"",NeoBerAfspr!$F$31)</f>
        <v>0</v>
      </c>
      <c r="C1191" s="151" t="b">
        <v>0</v>
      </c>
      <c r="D1191" s="151" t="str">
        <f t="shared" si="18"/>
        <v>_Neo_AfsprB_WondKweek##ONWAAR</v>
      </c>
    </row>
    <row r="1192" spans="1:6" x14ac:dyDescent="0.2">
      <c r="A1192" s="151" t="s">
        <v>1611</v>
      </c>
      <c r="B1192" s="150" t="b">
        <f>IF(ISBLANK(NeoBerAfspr!$B$31),"",NeoBerAfspr!$B$31)</f>
        <v>0</v>
      </c>
      <c r="C1192" s="151" t="b">
        <v>0</v>
      </c>
      <c r="D1192" s="151" t="str">
        <f t="shared" si="18"/>
        <v>_Neo_AfsprB_XBOZ##ONWAAR</v>
      </c>
      <c r="F1192" s="151"/>
    </row>
    <row r="1193" spans="1:6" x14ac:dyDescent="0.2">
      <c r="A1193" s="151" t="s">
        <v>1612</v>
      </c>
      <c r="B1193" s="150" t="b">
        <f>IF(ISBLANK(NeoBerAfspr!$B$32),"",NeoBerAfspr!$B$32)</f>
        <v>0</v>
      </c>
      <c r="C1193" s="151" t="b">
        <v>0</v>
      </c>
      <c r="D1193" s="151" t="str">
        <f t="shared" si="18"/>
        <v>_Neo_AfsprB_XThorax##ONWAAR</v>
      </c>
    </row>
    <row r="1194" spans="1:6" x14ac:dyDescent="0.2">
      <c r="A1194" s="151" t="s">
        <v>1613</v>
      </c>
      <c r="B1194" s="150">
        <f>IF(ISBLANK(NeoBerAfspr!$K$30),"",NeoBerAfspr!$K$30)</f>
        <v>0</v>
      </c>
      <c r="C1194" s="151">
        <v>0</v>
      </c>
      <c r="D1194" s="151" t="str">
        <f t="shared" si="18"/>
        <v>_Neo_AfsprD_AantalLampen##0</v>
      </c>
    </row>
    <row r="1195" spans="1:6" x14ac:dyDescent="0.2">
      <c r="A1195" s="151" t="s">
        <v>1614</v>
      </c>
      <c r="B1195" s="150">
        <f>IF(ISBLANK(NeoBerAfspr!$D$22),"",NeoBerAfspr!$D$22)</f>
        <v>1</v>
      </c>
      <c r="C1195" s="151">
        <v>1</v>
      </c>
      <c r="D1195" s="151" t="str">
        <f t="shared" si="18"/>
        <v>_Neo_AfsprD_aEEG##1</v>
      </c>
    </row>
    <row r="1196" spans="1:6" x14ac:dyDescent="0.2">
      <c r="A1196" s="151" t="s">
        <v>1615</v>
      </c>
      <c r="B1196" s="150">
        <f>IF(ISBLANK(NeoBerAfspr!$C$8),"",NeoBerAfspr!$C$8)</f>
        <v>0</v>
      </c>
      <c r="C1196" s="151">
        <v>0</v>
      </c>
      <c r="D1196" s="151" t="str">
        <f t="shared" si="18"/>
        <v>_Neo_AfsprD_GewichtFrequentie##0</v>
      </c>
    </row>
    <row r="1197" spans="1:6" x14ac:dyDescent="0.2">
      <c r="A1197" s="151" t="s">
        <v>1616</v>
      </c>
      <c r="B1197" s="150">
        <f>IF(ISBLANK(NeoBerAfspr!$D$8),"",NeoBerAfspr!$D$8)</f>
        <v>1</v>
      </c>
      <c r="C1197" s="151">
        <v>1</v>
      </c>
      <c r="D1197" s="151" t="str">
        <f t="shared" si="18"/>
        <v>_Neo_AfsprD_GewichtPer##1</v>
      </c>
    </row>
    <row r="1198" spans="1:6" x14ac:dyDescent="0.2">
      <c r="A1198" s="151" t="s">
        <v>1617</v>
      </c>
      <c r="B1198" s="150">
        <f>IF(ISBLANK(NeoBerAfspr!$C$9),"",NeoBerAfspr!$C$9)</f>
        <v>0</v>
      </c>
      <c r="C1198" s="151">
        <v>0</v>
      </c>
      <c r="D1198" s="151" t="str">
        <f t="shared" si="18"/>
        <v>_Neo_AfsprD_LengteFrequentie##0</v>
      </c>
    </row>
    <row r="1199" spans="1:6" x14ac:dyDescent="0.2">
      <c r="A1199" s="151" t="s">
        <v>1618</v>
      </c>
      <c r="B1199" s="150">
        <f>IF(ISBLANK(NeoBerAfspr!$D$9),"",NeoBerAfspr!$D$9)</f>
        <v>1</v>
      </c>
      <c r="C1199" s="151">
        <v>1</v>
      </c>
      <c r="D1199" s="151" t="str">
        <f t="shared" si="18"/>
        <v>_Neo_AfsprD_LengtePer##1</v>
      </c>
    </row>
    <row r="1200" spans="1:6" x14ac:dyDescent="0.2">
      <c r="A1200" s="151" t="s">
        <v>1619</v>
      </c>
      <c r="B1200" s="150">
        <f>IF(ISBLANK(NeoBerAfspr!$D$47),"",NeoBerAfspr!$D$47)</f>
        <v>0</v>
      </c>
      <c r="C1200" s="151">
        <v>0</v>
      </c>
      <c r="D1200" s="151" t="str">
        <f t="shared" si="18"/>
        <v>_Neo_AfsprD_LiquorHoogte##0</v>
      </c>
    </row>
    <row r="1201" spans="1:6" x14ac:dyDescent="0.2">
      <c r="A1201" s="151" t="s">
        <v>1620</v>
      </c>
      <c r="B1201" s="150">
        <f>IF(ISBLANK(NeoBerAfspr!$D$46),"",NeoBerAfspr!$D$46)</f>
        <v>1</v>
      </c>
      <c r="C1201">
        <v>1</v>
      </c>
      <c r="D1201" s="151" t="str">
        <f t="shared" si="18"/>
        <v>_Neo_AfsprD_LiquorSub##1</v>
      </c>
    </row>
    <row r="1202" spans="1:6" x14ac:dyDescent="0.2">
      <c r="A1202" s="151" t="s">
        <v>1621</v>
      </c>
      <c r="B1202" s="150">
        <f>IF(ISBLANK(NeoBerAfspr!$B$12),"",NeoBerAfspr!$B$12)</f>
        <v>0</v>
      </c>
      <c r="C1202">
        <v>0</v>
      </c>
      <c r="D1202" s="151" t="str">
        <f t="shared" si="18"/>
        <v>_Neo_AfsprD_NIBDdd##0</v>
      </c>
    </row>
    <row r="1203" spans="1:6" s="151" customFormat="1" x14ac:dyDescent="0.2">
      <c r="A1203" s="155" t="s">
        <v>7051</v>
      </c>
      <c r="B1203" s="150" t="str">
        <f>IF(ISBLANK(NeoBerAfspr!$J$31),"",NeoBerAfspr!$J$31)</f>
        <v/>
      </c>
      <c r="D1203" s="151" t="str">
        <f t="shared" si="18"/>
        <v>_Neo_AfsprD_OverigTekst##</v>
      </c>
    </row>
    <row r="1204" spans="1:6" x14ac:dyDescent="0.2">
      <c r="A1204" s="151" t="s">
        <v>1622</v>
      </c>
      <c r="B1204" s="150">
        <f>IF(ISBLANK(NeoBerAfspr!$K$18),"",NeoBerAfspr!$K$18)</f>
        <v>0</v>
      </c>
      <c r="C1204" s="151">
        <v>0</v>
      </c>
      <c r="D1204" s="151" t="str">
        <f t="shared" si="18"/>
        <v>_Neo_AfsprD_Rickhamdd##0</v>
      </c>
    </row>
    <row r="1205" spans="1:6" x14ac:dyDescent="0.2">
      <c r="A1205" s="151" t="s">
        <v>1623</v>
      </c>
      <c r="B1205" s="150">
        <f>IF(ISBLANK(NeoBerAfspr!$L$18),"",NeoBerAfspr!$L$18)</f>
        <v>0</v>
      </c>
      <c r="C1205" s="151">
        <v>0</v>
      </c>
      <c r="D1205" s="151" t="str">
        <f t="shared" si="18"/>
        <v>_Neo_AfsprD_Rickhamml##0</v>
      </c>
      <c r="F1205" s="151"/>
    </row>
    <row r="1206" spans="1:6" x14ac:dyDescent="0.2">
      <c r="A1206" s="151" t="s">
        <v>1624</v>
      </c>
      <c r="B1206" s="150">
        <f>IF(ISBLANK(NeoBerAfspr!$C$18),"",NeoBerAfspr!$C$18)</f>
        <v>0</v>
      </c>
      <c r="C1206" s="151">
        <v>0</v>
      </c>
      <c r="D1206" s="151" t="str">
        <f t="shared" si="18"/>
        <v>_Neo_AfsprD_SchedelFrequentie##0</v>
      </c>
    </row>
    <row r="1207" spans="1:6" x14ac:dyDescent="0.2">
      <c r="A1207" s="151" t="s">
        <v>1625</v>
      </c>
      <c r="B1207" s="150">
        <f>IF(ISBLANK(NeoBerAfspr!$D$18),"",NeoBerAfspr!$D$18)</f>
        <v>1</v>
      </c>
      <c r="C1207" s="151">
        <v>1</v>
      </c>
      <c r="D1207" s="151" t="str">
        <f t="shared" si="18"/>
        <v>_Neo_AfsprD_SchedelPer##1</v>
      </c>
    </row>
    <row r="1208" spans="1:6" x14ac:dyDescent="0.2">
      <c r="A1208" s="151" t="s">
        <v>1626</v>
      </c>
      <c r="B1208" s="150">
        <f>IF(ISBLANK(NeoBerAfspr!$D$36),"",NeoBerAfspr!$D$36)</f>
        <v>1</v>
      </c>
      <c r="C1208" s="151">
        <v>1</v>
      </c>
      <c r="D1208" s="151" t="str">
        <f t="shared" si="18"/>
        <v>_Neo_AfsprD_Thorax1Sub1##1</v>
      </c>
    </row>
    <row r="1209" spans="1:6" x14ac:dyDescent="0.2">
      <c r="A1209" s="151" t="s">
        <v>1627</v>
      </c>
      <c r="B1209" s="150">
        <f>IF(ISBLANK(NeoBerAfspr!$D$34),"",NeoBerAfspr!$D$34)</f>
        <v>1</v>
      </c>
      <c r="C1209" s="151">
        <v>1</v>
      </c>
      <c r="D1209" s="151" t="str">
        <f t="shared" si="18"/>
        <v>_Neo_AfsprD_Thorax1Sub2##1</v>
      </c>
    </row>
    <row r="1210" spans="1:6" x14ac:dyDescent="0.2">
      <c r="A1210" s="151" t="s">
        <v>1628</v>
      </c>
      <c r="B1210" s="150">
        <f>IF(ISBLANK(NeoBerAfspr!$D$35),"",NeoBerAfspr!$D$35)</f>
        <v>1</v>
      </c>
      <c r="C1210" s="151">
        <v>1</v>
      </c>
      <c r="D1210" s="151" t="str">
        <f t="shared" si="18"/>
        <v>_Neo_AfsprD_Thorax1Sub3##1</v>
      </c>
    </row>
    <row r="1211" spans="1:6" x14ac:dyDescent="0.2">
      <c r="A1211" s="151" t="s">
        <v>1629</v>
      </c>
      <c r="B1211" s="150">
        <f>IF(ISBLANK(NeoBerAfspr!$D$39),"",NeoBerAfspr!$D$39)</f>
        <v>1</v>
      </c>
      <c r="C1211" s="151">
        <v>1</v>
      </c>
      <c r="D1211" s="151" t="str">
        <f t="shared" si="18"/>
        <v>_Neo_AfsprD_Thorax2Sub1##1</v>
      </c>
    </row>
    <row r="1212" spans="1:6" x14ac:dyDescent="0.2">
      <c r="A1212" s="151" t="s">
        <v>1630</v>
      </c>
      <c r="B1212" s="150">
        <f>IF(ISBLANK(NeoBerAfspr!$D$37),"",NeoBerAfspr!$D$37)</f>
        <v>1</v>
      </c>
      <c r="C1212" s="151">
        <v>1</v>
      </c>
      <c r="D1212" s="151" t="str">
        <f t="shared" si="18"/>
        <v>_Neo_AfsprD_Thorax2Sub2##1</v>
      </c>
    </row>
    <row r="1213" spans="1:6" x14ac:dyDescent="0.2">
      <c r="A1213" s="151" t="s">
        <v>1631</v>
      </c>
      <c r="B1213" s="150">
        <f>IF(ISBLANK(NeoBerAfspr!$D$38),"",NeoBerAfspr!$D$38)</f>
        <v>1</v>
      </c>
      <c r="C1213" s="151">
        <v>1</v>
      </c>
      <c r="D1213" s="151" t="str">
        <f t="shared" si="18"/>
        <v>_Neo_AfsprD_Thorax2Sub3##1</v>
      </c>
    </row>
    <row r="1214" spans="1:6" x14ac:dyDescent="0.2">
      <c r="A1214" s="151" t="s">
        <v>1632</v>
      </c>
      <c r="B1214" s="150">
        <f>IF(ISBLANK(NeoBerAfspr!$D$42),"",NeoBerAfspr!$D$42)</f>
        <v>1</v>
      </c>
      <c r="C1214" s="151">
        <v>1</v>
      </c>
      <c r="D1214" s="151" t="str">
        <f t="shared" si="18"/>
        <v>_Neo_AfsprD_Thorax3Sub1##1</v>
      </c>
    </row>
    <row r="1215" spans="1:6" x14ac:dyDescent="0.2">
      <c r="A1215" s="151" t="s">
        <v>1633</v>
      </c>
      <c r="B1215" s="150">
        <f>IF(ISBLANK(NeoBerAfspr!$D$40),"",NeoBerAfspr!$D$40)</f>
        <v>1</v>
      </c>
      <c r="C1215" s="151">
        <v>1</v>
      </c>
      <c r="D1215" s="151" t="str">
        <f t="shared" si="18"/>
        <v>_Neo_AfsprD_Thorax3Sub2##1</v>
      </c>
    </row>
    <row r="1216" spans="1:6" x14ac:dyDescent="0.2">
      <c r="A1216" s="151" t="s">
        <v>1634</v>
      </c>
      <c r="B1216" s="150">
        <f>IF(ISBLANK(NeoBerAfspr!$D$41),"",NeoBerAfspr!$D$41)</f>
        <v>1</v>
      </c>
      <c r="C1216" s="151">
        <v>1</v>
      </c>
      <c r="D1216" s="151" t="str">
        <f t="shared" si="18"/>
        <v>_Neo_AfsprD_Thorax3Sub3##1</v>
      </c>
    </row>
    <row r="1217" spans="1:5" x14ac:dyDescent="0.2">
      <c r="A1217" s="151" t="s">
        <v>1635</v>
      </c>
      <c r="B1217" s="150">
        <f>IF(ISBLANK(NeoBerAfspr!$K$21),"",NeoBerAfspr!$K$21)</f>
        <v>0</v>
      </c>
      <c r="C1217" s="151">
        <v>0</v>
      </c>
      <c r="D1217" s="151" t="str">
        <f t="shared" si="18"/>
        <v>_Neo_AfsprD_VerliezenFrequentie##0</v>
      </c>
    </row>
    <row r="1218" spans="1:5" x14ac:dyDescent="0.2">
      <c r="A1218" s="151" t="s">
        <v>1636</v>
      </c>
      <c r="B1218" s="150">
        <f>IF(ISBLANK(NeoBerAfspr!$D$27),"",NeoBerAfspr!$D$27)</f>
        <v>50</v>
      </c>
      <c r="C1218" s="151">
        <v>50</v>
      </c>
      <c r="D1218" s="151" t="str">
        <f t="shared" si="18"/>
        <v>_Neo_AfsprD_Vertrek##50</v>
      </c>
    </row>
    <row r="1219" spans="1:5" x14ac:dyDescent="0.2">
      <c r="A1219" s="152" t="s">
        <v>1637</v>
      </c>
      <c r="B1219" s="150" t="str">
        <f>IF(ISBLANK(NeoBerAfspr!$G$31),"",NeoBerAfspr!$G$31)</f>
        <v/>
      </c>
      <c r="C1219" s="290"/>
      <c r="D1219" s="151" t="str">
        <f t="shared" ref="D1219:D1282" si="19">A1219&amp;"##"&amp;B1219</f>
        <v>_Neo_AfsprD_Wondkweek##</v>
      </c>
    </row>
    <row r="1220" spans="1:5" x14ac:dyDescent="0.2">
      <c r="A1220" s="151" t="s">
        <v>1522</v>
      </c>
      <c r="B1220" s="150">
        <f>IF(ISBLANK(NeoBerAfspr!$D$27),"",NeoBerAfspr!$D$27)</f>
        <v>50</v>
      </c>
      <c r="C1220" s="151">
        <v>50</v>
      </c>
      <c r="D1220" s="151" t="str">
        <f t="shared" si="19"/>
        <v>_Neo_AfsprMRI##50</v>
      </c>
    </row>
    <row r="1221" spans="1:5" x14ac:dyDescent="0.2">
      <c r="A1221" s="151" t="s">
        <v>3882</v>
      </c>
      <c r="B1221" s="150">
        <f>IF(ISBLANK(NeoDataInfB!$B$2),"",NeoDataInfB!$B$2)</f>
        <v>0</v>
      </c>
      <c r="C1221" s="7">
        <v>0</v>
      </c>
      <c r="D1221" s="151" t="str">
        <f t="shared" si="19"/>
        <v>_Neo_InfB_Cont_ArtLijn##0</v>
      </c>
    </row>
    <row r="1222" spans="1:5" x14ac:dyDescent="0.2">
      <c r="A1222" s="151" t="s">
        <v>4290</v>
      </c>
      <c r="B1222" s="150">
        <f>IF(ISBLANK(NeoDataInfB!$B$3),"",NeoDataInfB!$B$3)</f>
        <v>1</v>
      </c>
      <c r="C1222" s="151">
        <v>1</v>
      </c>
      <c r="D1222" s="151" t="str">
        <f t="shared" si="19"/>
        <v>_Neo_InfB_Cont_MedKeuze_01##1</v>
      </c>
    </row>
    <row r="1223" spans="1:5" x14ac:dyDescent="0.2">
      <c r="A1223" s="151" t="s">
        <v>4291</v>
      </c>
      <c r="B1223" s="150">
        <f>IF(ISBLANK(NeoDataInfB!$B$4),"",NeoDataInfB!$B$4)</f>
        <v>1</v>
      </c>
      <c r="C1223" s="151">
        <v>1</v>
      </c>
      <c r="D1223" s="151" t="str">
        <f t="shared" si="19"/>
        <v>_Neo_InfB_Cont_MedKeuze_02##1</v>
      </c>
      <c r="E1223" s="151"/>
    </row>
    <row r="1224" spans="1:5" x14ac:dyDescent="0.2">
      <c r="A1224" s="151" t="s">
        <v>4292</v>
      </c>
      <c r="B1224" s="150">
        <f>IF(ISBLANK(NeoDataInfB!$B$5),"",NeoDataInfB!$B$5)</f>
        <v>1</v>
      </c>
      <c r="C1224" s="151">
        <v>1</v>
      </c>
      <c r="D1224" s="151" t="str">
        <f t="shared" si="19"/>
        <v>_Neo_InfB_Cont_MedKeuze_03##1</v>
      </c>
    </row>
    <row r="1225" spans="1:5" x14ac:dyDescent="0.2">
      <c r="A1225" s="151" t="s">
        <v>4293</v>
      </c>
      <c r="B1225" s="150">
        <f>IF(ISBLANK(NeoDataInfB!$B$6),"",NeoDataInfB!$B$6)</f>
        <v>1</v>
      </c>
      <c r="C1225" s="151">
        <v>1</v>
      </c>
      <c r="D1225" s="151" t="str">
        <f t="shared" si="19"/>
        <v>_Neo_InfB_Cont_MedKeuze_04##1</v>
      </c>
    </row>
    <row r="1226" spans="1:5" x14ac:dyDescent="0.2">
      <c r="A1226" s="151" t="s">
        <v>4294</v>
      </c>
      <c r="B1226" s="150">
        <f>IF(ISBLANK(NeoDataInfB!$B$7),"",NeoDataInfB!$B$7)</f>
        <v>1</v>
      </c>
      <c r="C1226">
        <v>1</v>
      </c>
      <c r="D1226" s="151" t="str">
        <f t="shared" si="19"/>
        <v>_Neo_InfB_Cont_MedKeuze_05##1</v>
      </c>
    </row>
    <row r="1227" spans="1:5" x14ac:dyDescent="0.2">
      <c r="A1227" s="151" t="s">
        <v>4295</v>
      </c>
      <c r="B1227" s="150">
        <f>IF(ISBLANK(NeoDataInfB!$B$8),"",NeoDataInfB!$B$8)</f>
        <v>1</v>
      </c>
      <c r="C1227">
        <v>1</v>
      </c>
      <c r="D1227" s="151" t="str">
        <f t="shared" si="19"/>
        <v>_Neo_InfB_Cont_MedKeuze_06##1</v>
      </c>
    </row>
    <row r="1228" spans="1:5" x14ac:dyDescent="0.2">
      <c r="A1228" s="151" t="s">
        <v>4296</v>
      </c>
      <c r="B1228" s="150">
        <f>IF(ISBLANK(NeoDataInfB!$B$9),"",NeoDataInfB!$B$9)</f>
        <v>1</v>
      </c>
      <c r="C1228">
        <v>1</v>
      </c>
      <c r="D1228" s="151" t="str">
        <f t="shared" si="19"/>
        <v>_Neo_InfB_Cont_MedKeuze_07##1</v>
      </c>
    </row>
    <row r="1229" spans="1:5" x14ac:dyDescent="0.2">
      <c r="A1229" s="151" t="s">
        <v>4297</v>
      </c>
      <c r="B1229" s="150">
        <f>IF(ISBLANK(NeoDataInfB!$B$10),"",NeoDataInfB!$B$10)</f>
        <v>1</v>
      </c>
      <c r="C1229">
        <v>1</v>
      </c>
      <c r="D1229" s="151" t="str">
        <f t="shared" si="19"/>
        <v>_Neo_InfB_Cont_MedKeuze_08##1</v>
      </c>
    </row>
    <row r="1230" spans="1:5" x14ac:dyDescent="0.2">
      <c r="A1230" s="151" t="s">
        <v>4298</v>
      </c>
      <c r="B1230" s="150">
        <f>IF(ISBLANK(NeoDataInfB!$B$11),"",NeoDataInfB!$B$11)</f>
        <v>1</v>
      </c>
      <c r="C1230">
        <v>1</v>
      </c>
      <c r="D1230" s="151" t="str">
        <f t="shared" si="19"/>
        <v>_Neo_InfB_Cont_MedKeuze_09##1</v>
      </c>
    </row>
    <row r="1231" spans="1:5" x14ac:dyDescent="0.2">
      <c r="A1231" s="151" t="s">
        <v>4299</v>
      </c>
      <c r="B1231" s="150">
        <f>IF(ISBLANK(NeoDataInfB!$B$12),"",NeoDataInfB!$B$12)</f>
        <v>1</v>
      </c>
      <c r="C1231">
        <v>1</v>
      </c>
      <c r="D1231" s="151" t="str">
        <f t="shared" si="19"/>
        <v>_Neo_InfB_Cont_MedKeuze_10##1</v>
      </c>
    </row>
    <row r="1232" spans="1:5" x14ac:dyDescent="0.2">
      <c r="A1232" s="151" t="s">
        <v>4300</v>
      </c>
      <c r="B1232" s="150">
        <f>IF(ISBLANK(NeoDataInfB!$B$13),"",NeoDataInfB!$B$13)</f>
        <v>0</v>
      </c>
      <c r="C1232" s="153">
        <v>0</v>
      </c>
      <c r="D1232" s="151" t="str">
        <f t="shared" si="19"/>
        <v>_Neo_InfB_Cont_MedSterkte_01##0</v>
      </c>
    </row>
    <row r="1233" spans="1:5" x14ac:dyDescent="0.2">
      <c r="A1233" s="151" t="s">
        <v>4301</v>
      </c>
      <c r="B1233" s="150">
        <f>IF(ISBLANK(NeoDataInfB!$B$14),"",NeoDataInfB!$B$14)</f>
        <v>0</v>
      </c>
      <c r="C1233" s="153">
        <v>0</v>
      </c>
      <c r="D1233" s="151" t="str">
        <f t="shared" si="19"/>
        <v>_Neo_InfB_Cont_MedSterkte_02##0</v>
      </c>
    </row>
    <row r="1234" spans="1:5" x14ac:dyDescent="0.2">
      <c r="A1234" s="151" t="s">
        <v>4302</v>
      </c>
      <c r="B1234" s="150">
        <f>IF(ISBLANK(NeoDataInfB!$B$15),"",NeoDataInfB!$B$15)</f>
        <v>0</v>
      </c>
      <c r="C1234" s="153">
        <v>0</v>
      </c>
      <c r="D1234" s="151" t="str">
        <f t="shared" si="19"/>
        <v>_Neo_InfB_Cont_MedSterkte_03##0</v>
      </c>
    </row>
    <row r="1235" spans="1:5" x14ac:dyDescent="0.2">
      <c r="A1235" s="151" t="s">
        <v>4303</v>
      </c>
      <c r="B1235" s="150">
        <f>IF(ISBLANK(NeoDataInfB!$B$16),"",NeoDataInfB!$B$16)</f>
        <v>0</v>
      </c>
      <c r="C1235" s="153">
        <v>0</v>
      </c>
      <c r="D1235" s="151" t="str">
        <f t="shared" si="19"/>
        <v>_Neo_InfB_Cont_MedSterkte_04##0</v>
      </c>
      <c r="E1235" s="151"/>
    </row>
    <row r="1236" spans="1:5" x14ac:dyDescent="0.2">
      <c r="A1236" s="151" t="s">
        <v>4304</v>
      </c>
      <c r="B1236" s="150">
        <f>IF(ISBLANK(NeoDataInfB!$B$17),"",NeoDataInfB!$B$17)</f>
        <v>0</v>
      </c>
      <c r="C1236" s="153">
        <v>0</v>
      </c>
      <c r="D1236" s="151" t="str">
        <f t="shared" si="19"/>
        <v>_Neo_InfB_Cont_MedSterkte_05##0</v>
      </c>
    </row>
    <row r="1237" spans="1:5" x14ac:dyDescent="0.2">
      <c r="A1237" s="151" t="s">
        <v>4305</v>
      </c>
      <c r="B1237" s="150">
        <f>IF(ISBLANK(NeoDataInfB!$B$18),"",NeoDataInfB!$B$18)</f>
        <v>0</v>
      </c>
      <c r="C1237" s="153">
        <v>0</v>
      </c>
      <c r="D1237" s="151" t="str">
        <f t="shared" si="19"/>
        <v>_Neo_InfB_Cont_MedSterkte_06##0</v>
      </c>
    </row>
    <row r="1238" spans="1:5" x14ac:dyDescent="0.2">
      <c r="A1238" s="151" t="s">
        <v>4306</v>
      </c>
      <c r="B1238" s="150">
        <f>IF(ISBLANK(NeoDataInfB!$B$19),"",NeoDataInfB!$B$19)</f>
        <v>0</v>
      </c>
      <c r="C1238" s="153">
        <v>0</v>
      </c>
      <c r="D1238" s="151" t="str">
        <f t="shared" si="19"/>
        <v>_Neo_InfB_Cont_MedSterkte_07##0</v>
      </c>
    </row>
    <row r="1239" spans="1:5" x14ac:dyDescent="0.2">
      <c r="A1239" s="151" t="s">
        <v>4307</v>
      </c>
      <c r="B1239" s="150">
        <f>IF(ISBLANK(NeoDataInfB!$B$20),"",NeoDataInfB!$B$20)</f>
        <v>0</v>
      </c>
      <c r="C1239" s="153">
        <v>0</v>
      </c>
      <c r="D1239" s="151" t="str">
        <f t="shared" si="19"/>
        <v>_Neo_InfB_Cont_MedSterkte_08##0</v>
      </c>
    </row>
    <row r="1240" spans="1:5" x14ac:dyDescent="0.2">
      <c r="A1240" s="151" t="s">
        <v>4308</v>
      </c>
      <c r="B1240" s="150">
        <f>IF(ISBLANK(NeoDataInfB!$B$21),"",NeoDataInfB!$B$21)</f>
        <v>0</v>
      </c>
      <c r="C1240" s="153">
        <v>0</v>
      </c>
      <c r="D1240" s="151" t="str">
        <f t="shared" si="19"/>
        <v>_Neo_InfB_Cont_MedSterkte_09##0</v>
      </c>
    </row>
    <row r="1241" spans="1:5" x14ac:dyDescent="0.2">
      <c r="A1241" s="151" t="s">
        <v>4309</v>
      </c>
      <c r="B1241" s="150">
        <f>IF(ISBLANK(NeoDataInfB!$B$22),"",NeoDataInfB!$B$22)</f>
        <v>0</v>
      </c>
      <c r="C1241" s="153">
        <v>0</v>
      </c>
      <c r="D1241" s="151" t="str">
        <f t="shared" si="19"/>
        <v>_Neo_InfB_Cont_MedSterkte_10##0</v>
      </c>
    </row>
    <row r="1242" spans="1:5" x14ac:dyDescent="0.2">
      <c r="A1242" s="151" t="s">
        <v>3883</v>
      </c>
      <c r="B1242" s="150" t="str">
        <f>IF(ISBLANK(NeoDataInfB!$B$23),"",NeoDataInfB!$B$23)</f>
        <v/>
      </c>
      <c r="C1242" s="44" t="s">
        <v>3475</v>
      </c>
      <c r="D1242" s="151" t="str">
        <f t="shared" si="19"/>
        <v>_Neo_InfB_Cont_MedTekst_1##</v>
      </c>
    </row>
    <row r="1243" spans="1:5" x14ac:dyDescent="0.2">
      <c r="A1243" s="151" t="s">
        <v>3884</v>
      </c>
      <c r="B1243" s="150" t="str">
        <f>IF(ISBLANK(NeoDataInfB!$B$24),"",NeoDataInfB!$B$24)</f>
        <v/>
      </c>
      <c r="C1243" s="44" t="s">
        <v>3475</v>
      </c>
      <c r="D1243" s="151" t="str">
        <f t="shared" si="19"/>
        <v>_Neo_InfB_Cont_MedTekst_2##</v>
      </c>
    </row>
    <row r="1244" spans="1:5" x14ac:dyDescent="0.2">
      <c r="A1244" s="151" t="s">
        <v>4310</v>
      </c>
      <c r="B1244" s="150">
        <f>IF(ISBLANK(NeoDataInfB!$B$25),"",NeoDataInfB!$B$25)</f>
        <v>0</v>
      </c>
      <c r="C1244" s="153">
        <v>0</v>
      </c>
      <c r="D1244" s="151" t="str">
        <f t="shared" si="19"/>
        <v>_Neo_InfB_Cont_OplHoev_01##0</v>
      </c>
    </row>
    <row r="1245" spans="1:5" x14ac:dyDescent="0.2">
      <c r="A1245" s="151" t="s">
        <v>4311</v>
      </c>
      <c r="B1245" s="150">
        <f>IF(ISBLANK(NeoDataInfB!$B$26),"",NeoDataInfB!$B$26)</f>
        <v>0</v>
      </c>
      <c r="C1245" s="153">
        <v>0</v>
      </c>
      <c r="D1245" s="151" t="str">
        <f t="shared" si="19"/>
        <v>_Neo_InfB_Cont_OplHoev_02##0</v>
      </c>
    </row>
    <row r="1246" spans="1:5" x14ac:dyDescent="0.2">
      <c r="A1246" s="151" t="s">
        <v>4312</v>
      </c>
      <c r="B1246" s="150">
        <f>IF(ISBLANK(NeoDataInfB!$B$27),"",NeoDataInfB!$B$27)</f>
        <v>0</v>
      </c>
      <c r="C1246" s="153">
        <v>0</v>
      </c>
      <c r="D1246" s="151" t="str">
        <f t="shared" si="19"/>
        <v>_Neo_InfB_Cont_OplHoev_03##0</v>
      </c>
    </row>
    <row r="1247" spans="1:5" x14ac:dyDescent="0.2">
      <c r="A1247" s="151" t="s">
        <v>4313</v>
      </c>
      <c r="B1247" s="150">
        <f>IF(ISBLANK(NeoDataInfB!$B$28),"",NeoDataInfB!$B$28)</f>
        <v>0</v>
      </c>
      <c r="C1247" s="153">
        <v>0</v>
      </c>
      <c r="D1247" s="151" t="str">
        <f t="shared" si="19"/>
        <v>_Neo_InfB_Cont_OplHoev_04##0</v>
      </c>
    </row>
    <row r="1248" spans="1:5" x14ac:dyDescent="0.2">
      <c r="A1248" s="151" t="s">
        <v>4314</v>
      </c>
      <c r="B1248" s="150">
        <f>IF(ISBLANK(NeoDataInfB!$B$29),"",NeoDataInfB!$B$29)</f>
        <v>0</v>
      </c>
      <c r="C1248" s="153">
        <v>0</v>
      </c>
      <c r="D1248" s="151" t="str">
        <f t="shared" si="19"/>
        <v>_Neo_InfB_Cont_OplHoev_05##0</v>
      </c>
    </row>
    <row r="1249" spans="1:6" x14ac:dyDescent="0.2">
      <c r="A1249" s="151" t="s">
        <v>4315</v>
      </c>
      <c r="B1249" s="150">
        <f>IF(ISBLANK(NeoDataInfB!$B$30),"",NeoDataInfB!$B$30)</f>
        <v>0</v>
      </c>
      <c r="C1249" s="153">
        <v>0</v>
      </c>
      <c r="D1249" s="151" t="str">
        <f t="shared" si="19"/>
        <v>_Neo_InfB_Cont_OplHoev_06##0</v>
      </c>
    </row>
    <row r="1250" spans="1:6" x14ac:dyDescent="0.2">
      <c r="A1250" s="151" t="s">
        <v>4316</v>
      </c>
      <c r="B1250" s="150">
        <f>IF(ISBLANK(NeoDataInfB!$B$31),"",NeoDataInfB!$B$31)</f>
        <v>0</v>
      </c>
      <c r="C1250" s="153">
        <v>0</v>
      </c>
      <c r="D1250" s="151" t="str">
        <f t="shared" si="19"/>
        <v>_Neo_InfB_Cont_OplHoev_07##0</v>
      </c>
    </row>
    <row r="1251" spans="1:6" x14ac:dyDescent="0.2">
      <c r="A1251" s="151" t="s">
        <v>4317</v>
      </c>
      <c r="B1251" s="150">
        <f>IF(ISBLANK(NeoDataInfB!$B$32),"",NeoDataInfB!$B$32)</f>
        <v>0</v>
      </c>
      <c r="C1251" s="153">
        <v>0</v>
      </c>
      <c r="D1251" s="151" t="str">
        <f t="shared" si="19"/>
        <v>_Neo_InfB_Cont_OplHoev_08##0</v>
      </c>
    </row>
    <row r="1252" spans="1:6" x14ac:dyDescent="0.2">
      <c r="A1252" s="151" t="s">
        <v>4318</v>
      </c>
      <c r="B1252" s="150">
        <f>IF(ISBLANK(NeoDataInfB!$B$33),"",NeoDataInfB!$B$33)</f>
        <v>0</v>
      </c>
      <c r="C1252" s="153">
        <v>0</v>
      </c>
      <c r="D1252" s="151" t="str">
        <f t="shared" si="19"/>
        <v>_Neo_InfB_Cont_OplHoev_09##0</v>
      </c>
    </row>
    <row r="1253" spans="1:6" x14ac:dyDescent="0.2">
      <c r="A1253" s="151" t="s">
        <v>4319</v>
      </c>
      <c r="B1253" s="150">
        <f>IF(ISBLANK(NeoDataInfB!$B$34),"",NeoDataInfB!$B$34)</f>
        <v>0</v>
      </c>
      <c r="C1253" s="153">
        <v>0</v>
      </c>
      <c r="D1253" s="151" t="str">
        <f t="shared" si="19"/>
        <v>_Neo_InfB_Cont_OplHoev_10##0</v>
      </c>
    </row>
    <row r="1254" spans="1:6" x14ac:dyDescent="0.2">
      <c r="A1254" s="151" t="s">
        <v>3885</v>
      </c>
      <c r="B1254" s="150">
        <f>IF(ISBLANK(NeoDataInfB!$B$35),"",NeoDataInfB!$B$35)</f>
        <v>1</v>
      </c>
      <c r="C1254" s="7">
        <v>1</v>
      </c>
      <c r="D1254" s="151" t="str">
        <f t="shared" si="19"/>
        <v>_Neo_InfB_Cont_Oplossing_01##1</v>
      </c>
      <c r="F1254" s="151"/>
    </row>
    <row r="1255" spans="1:6" x14ac:dyDescent="0.2">
      <c r="A1255" s="151" t="s">
        <v>3886</v>
      </c>
      <c r="B1255" s="150">
        <f>IF(ISBLANK(NeoDataInfB!$B$36),"",NeoDataInfB!$B$36)</f>
        <v>1</v>
      </c>
      <c r="C1255" s="7">
        <v>1</v>
      </c>
      <c r="D1255" s="151" t="str">
        <f t="shared" si="19"/>
        <v>_Neo_InfB_Cont_Oplossing_02##1</v>
      </c>
    </row>
    <row r="1256" spans="1:6" x14ac:dyDescent="0.2">
      <c r="A1256" s="151" t="s">
        <v>3887</v>
      </c>
      <c r="B1256" s="150">
        <f>IF(ISBLANK(NeoDataInfB!$B$37),"",NeoDataInfB!$B$37)</f>
        <v>1</v>
      </c>
      <c r="C1256" s="7">
        <v>1</v>
      </c>
      <c r="D1256" s="151" t="str">
        <f t="shared" si="19"/>
        <v>_Neo_InfB_Cont_Oplossing_03##1</v>
      </c>
    </row>
    <row r="1257" spans="1:6" x14ac:dyDescent="0.2">
      <c r="A1257" s="151" t="s">
        <v>3888</v>
      </c>
      <c r="B1257" s="150">
        <f>IF(ISBLANK(NeoDataInfB!$B$38),"",NeoDataInfB!$B$38)</f>
        <v>1</v>
      </c>
      <c r="C1257" s="7">
        <v>1</v>
      </c>
      <c r="D1257" s="151" t="str">
        <f t="shared" si="19"/>
        <v>_Neo_InfB_Cont_Oplossing_04##1</v>
      </c>
    </row>
    <row r="1258" spans="1:6" x14ac:dyDescent="0.2">
      <c r="A1258" s="151" t="s">
        <v>3889</v>
      </c>
      <c r="B1258" s="150">
        <f>IF(ISBLANK(NeoDataInfB!$B$39),"",NeoDataInfB!$B$39)</f>
        <v>1</v>
      </c>
      <c r="C1258" s="7">
        <v>1</v>
      </c>
      <c r="D1258" s="151" t="str">
        <f t="shared" si="19"/>
        <v>_Neo_InfB_Cont_Oplossing_05##1</v>
      </c>
    </row>
    <row r="1259" spans="1:6" x14ac:dyDescent="0.2">
      <c r="A1259" s="151" t="s">
        <v>3890</v>
      </c>
      <c r="B1259" s="150">
        <f>IF(ISBLANK(NeoDataInfB!$B$40),"",NeoDataInfB!$B$40)</f>
        <v>1</v>
      </c>
      <c r="C1259" s="7">
        <v>1</v>
      </c>
      <c r="D1259" s="151" t="str">
        <f t="shared" si="19"/>
        <v>_Neo_InfB_Cont_Oplossing_06##1</v>
      </c>
    </row>
    <row r="1260" spans="1:6" x14ac:dyDescent="0.2">
      <c r="A1260" s="151" t="s">
        <v>3891</v>
      </c>
      <c r="B1260" s="150">
        <f>IF(ISBLANK(NeoDataInfB!$B$41),"",NeoDataInfB!$B$41)</f>
        <v>1</v>
      </c>
      <c r="C1260" s="7">
        <v>1</v>
      </c>
      <c r="D1260" s="151" t="str">
        <f t="shared" si="19"/>
        <v>_Neo_InfB_Cont_Oplossing_07##1</v>
      </c>
    </row>
    <row r="1261" spans="1:6" x14ac:dyDescent="0.2">
      <c r="A1261" s="151" t="s">
        <v>3892</v>
      </c>
      <c r="B1261" s="150">
        <f>IF(ISBLANK(NeoDataInfB!$B$42),"",NeoDataInfB!$B$42)</f>
        <v>1</v>
      </c>
      <c r="C1261" s="7">
        <v>1</v>
      </c>
      <c r="D1261" s="151" t="str">
        <f t="shared" si="19"/>
        <v>_Neo_InfB_Cont_Oplossing_08##1</v>
      </c>
    </row>
    <row r="1262" spans="1:6" x14ac:dyDescent="0.2">
      <c r="A1262" s="151" t="s">
        <v>3893</v>
      </c>
      <c r="B1262" s="150">
        <f>IF(ISBLANK(NeoDataInfB!$B$43),"",NeoDataInfB!$B$43)</f>
        <v>1</v>
      </c>
      <c r="C1262" s="7">
        <v>1</v>
      </c>
      <c r="D1262" s="151" t="str">
        <f t="shared" si="19"/>
        <v>_Neo_InfB_Cont_Oplossing_09##1</v>
      </c>
    </row>
    <row r="1263" spans="1:6" x14ac:dyDescent="0.2">
      <c r="A1263" s="151" t="s">
        <v>3894</v>
      </c>
      <c r="B1263" s="150">
        <f>IF(ISBLANK(NeoDataInfB!$B$44),"",NeoDataInfB!$B$44)</f>
        <v>1</v>
      </c>
      <c r="C1263" s="7">
        <v>1</v>
      </c>
      <c r="D1263" s="151" t="str">
        <f t="shared" si="19"/>
        <v>_Neo_InfB_Cont_Oplossing_10##1</v>
      </c>
    </row>
    <row r="1264" spans="1:6" x14ac:dyDescent="0.2">
      <c r="A1264" s="151" t="s">
        <v>3895</v>
      </c>
      <c r="B1264" s="150">
        <f>IF(ISBLANK(NeoDataInfB!$B$45),"",NeoDataInfB!$B$45)</f>
        <v>1</v>
      </c>
      <c r="C1264" s="7">
        <v>1</v>
      </c>
      <c r="D1264" s="151" t="str">
        <f t="shared" si="19"/>
        <v>_Neo_InfB_Cont_Oplossing_11##1</v>
      </c>
    </row>
    <row r="1265" spans="1:4" x14ac:dyDescent="0.2">
      <c r="A1265" s="151" t="s">
        <v>3896</v>
      </c>
      <c r="B1265" s="150">
        <f>IF(ISBLANK(NeoDataInfB!$B$46),"",NeoDataInfB!$B$46)</f>
        <v>1</v>
      </c>
      <c r="C1265" s="7">
        <v>1</v>
      </c>
      <c r="D1265" s="151" t="str">
        <f t="shared" si="19"/>
        <v>_Neo_InfB_Cont_Oplossing_12##1</v>
      </c>
    </row>
    <row r="1266" spans="1:4" x14ac:dyDescent="0.2">
      <c r="A1266" s="151" t="s">
        <v>4320</v>
      </c>
      <c r="B1266" s="150">
        <f>IF(ISBLANK(NeoDataInfB!$B$47),"",NeoDataInfB!$B$47)</f>
        <v>1</v>
      </c>
      <c r="C1266" s="7">
        <v>1</v>
      </c>
      <c r="D1266" s="151" t="str">
        <f t="shared" si="19"/>
        <v>_Neo_InfB_Cont_Oplossing_13##1</v>
      </c>
    </row>
    <row r="1267" spans="1:4" x14ac:dyDescent="0.2">
      <c r="A1267" s="151" t="s">
        <v>3897</v>
      </c>
      <c r="B1267" s="150">
        <f>IF(ISBLANK(NeoDataInfB!$B$48),"",NeoDataInfB!$B$48)</f>
        <v>0</v>
      </c>
      <c r="C1267" s="153">
        <v>0</v>
      </c>
      <c r="D1267" s="151" t="str">
        <f t="shared" si="19"/>
        <v>_Neo_InfB_Cont_Stand_01##0</v>
      </c>
    </row>
    <row r="1268" spans="1:4" x14ac:dyDescent="0.2">
      <c r="A1268" s="151" t="s">
        <v>3898</v>
      </c>
      <c r="B1268" s="150">
        <f>IF(ISBLANK(NeoDataInfB!$B$49),"",NeoDataInfB!$B$49)</f>
        <v>0</v>
      </c>
      <c r="C1268" s="153">
        <v>0</v>
      </c>
      <c r="D1268" s="151" t="str">
        <f t="shared" si="19"/>
        <v>_Neo_InfB_Cont_Stand_02##0</v>
      </c>
    </row>
    <row r="1269" spans="1:4" x14ac:dyDescent="0.2">
      <c r="A1269" s="151" t="s">
        <v>3899</v>
      </c>
      <c r="B1269" s="150">
        <f>IF(ISBLANK(NeoDataInfB!$B$50),"",NeoDataInfB!$B$50)</f>
        <v>0</v>
      </c>
      <c r="C1269" s="153">
        <v>0</v>
      </c>
      <c r="D1269" s="151" t="str">
        <f t="shared" si="19"/>
        <v>_Neo_InfB_Cont_Stand_03##0</v>
      </c>
    </row>
    <row r="1270" spans="1:4" x14ac:dyDescent="0.2">
      <c r="A1270" s="151" t="s">
        <v>3900</v>
      </c>
      <c r="B1270" s="150">
        <f>IF(ISBLANK(NeoDataInfB!$B$51),"",NeoDataInfB!$B$51)</f>
        <v>0</v>
      </c>
      <c r="C1270" s="153">
        <v>0</v>
      </c>
      <c r="D1270" s="151" t="str">
        <f t="shared" si="19"/>
        <v>_Neo_InfB_Cont_Stand_04##0</v>
      </c>
    </row>
    <row r="1271" spans="1:4" x14ac:dyDescent="0.2">
      <c r="A1271" s="151" t="s">
        <v>3901</v>
      </c>
      <c r="B1271" s="150">
        <f>IF(ISBLANK(NeoDataInfB!$B$52),"",NeoDataInfB!$B$52)</f>
        <v>0</v>
      </c>
      <c r="C1271" s="153">
        <v>0</v>
      </c>
      <c r="D1271" s="151" t="str">
        <f t="shared" si="19"/>
        <v>_Neo_InfB_Cont_Stand_05##0</v>
      </c>
    </row>
    <row r="1272" spans="1:4" x14ac:dyDescent="0.2">
      <c r="A1272" s="151" t="s">
        <v>3902</v>
      </c>
      <c r="B1272" s="150">
        <f>IF(ISBLANK(NeoDataInfB!$B$53),"",NeoDataInfB!$B$53)</f>
        <v>0</v>
      </c>
      <c r="C1272" s="153">
        <v>0</v>
      </c>
      <c r="D1272" s="151" t="str">
        <f t="shared" si="19"/>
        <v>_Neo_InfB_Cont_Stand_06##0</v>
      </c>
    </row>
    <row r="1273" spans="1:4" x14ac:dyDescent="0.2">
      <c r="A1273" s="151" t="s">
        <v>3903</v>
      </c>
      <c r="B1273" s="150">
        <f>IF(ISBLANK(NeoDataInfB!$B$54),"",NeoDataInfB!$B$54)</f>
        <v>0</v>
      </c>
      <c r="C1273" s="153">
        <v>0</v>
      </c>
      <c r="D1273" s="151" t="str">
        <f t="shared" si="19"/>
        <v>_Neo_InfB_Cont_Stand_07##0</v>
      </c>
    </row>
    <row r="1274" spans="1:4" x14ac:dyDescent="0.2">
      <c r="A1274" s="151" t="s">
        <v>3904</v>
      </c>
      <c r="B1274" s="150">
        <f>IF(ISBLANK(NeoDataInfB!$B$55),"",NeoDataInfB!$B$55)</f>
        <v>0</v>
      </c>
      <c r="C1274" s="153">
        <v>0</v>
      </c>
      <c r="D1274" s="151" t="str">
        <f t="shared" si="19"/>
        <v>_Neo_InfB_Cont_Stand_08##0</v>
      </c>
    </row>
    <row r="1275" spans="1:4" x14ac:dyDescent="0.2">
      <c r="A1275" s="151" t="s">
        <v>3905</v>
      </c>
      <c r="B1275" s="150">
        <f>IF(ISBLANK(NeoDataInfB!$B$56),"",NeoDataInfB!$B$56)</f>
        <v>0</v>
      </c>
      <c r="C1275" s="153">
        <v>0</v>
      </c>
      <c r="D1275" s="151" t="str">
        <f t="shared" si="19"/>
        <v>_Neo_InfB_Cont_Stand_09##0</v>
      </c>
    </row>
    <row r="1276" spans="1:4" x14ac:dyDescent="0.2">
      <c r="A1276" s="151" t="s">
        <v>3906</v>
      </c>
      <c r="B1276" s="150">
        <f>IF(ISBLANK(NeoDataInfB!$B$57),"",NeoDataInfB!$B$57)</f>
        <v>0</v>
      </c>
      <c r="C1276" s="153">
        <v>0</v>
      </c>
      <c r="D1276" s="151" t="str">
        <f t="shared" si="19"/>
        <v>_Neo_InfB_Cont_Stand_10##0</v>
      </c>
    </row>
    <row r="1277" spans="1:4" x14ac:dyDescent="0.2">
      <c r="A1277" s="151" t="s">
        <v>3907</v>
      </c>
      <c r="B1277" s="150">
        <f>IF(ISBLANK(NeoDataInfB!$B$58),"",NeoDataInfB!$B$58)</f>
        <v>0</v>
      </c>
      <c r="C1277" s="153">
        <v>0</v>
      </c>
      <c r="D1277" s="151" t="str">
        <f t="shared" si="19"/>
        <v>_Neo_InfB_Cont_Stand_11##0</v>
      </c>
    </row>
    <row r="1278" spans="1:4" x14ac:dyDescent="0.2">
      <c r="A1278" s="151" t="s">
        <v>3908</v>
      </c>
      <c r="B1278" s="150">
        <f>IF(ISBLANK(NeoDataInfB!$B$59),"",NeoDataInfB!$B$59)</f>
        <v>0</v>
      </c>
      <c r="C1278" s="153">
        <v>0</v>
      </c>
      <c r="D1278" s="151" t="str">
        <f t="shared" si="19"/>
        <v>_Neo_InfB_Cont_Stand_12##0</v>
      </c>
    </row>
    <row r="1279" spans="1:4" x14ac:dyDescent="0.2">
      <c r="A1279" s="151" t="s">
        <v>4321</v>
      </c>
      <c r="B1279" s="150">
        <f>IF(ISBLANK(NeoDataInfB!$B$60),"",NeoDataInfB!$B$60)</f>
        <v>0</v>
      </c>
      <c r="C1279" s="153">
        <v>0</v>
      </c>
      <c r="D1279" s="151" t="str">
        <f t="shared" si="19"/>
        <v>_Neo_InfB_Cont_Stand_13##0</v>
      </c>
    </row>
    <row r="1280" spans="1:4" x14ac:dyDescent="0.2">
      <c r="A1280" s="151" t="s">
        <v>3909</v>
      </c>
      <c r="B1280" s="150" t="b">
        <f>IF(ISBLANK(NeoDataInfB!$B$61),"",NeoDataInfB!$B$61)</f>
        <v>0</v>
      </c>
      <c r="C1280" s="7" t="b">
        <v>0</v>
      </c>
      <c r="D1280" s="151" t="str">
        <f t="shared" si="19"/>
        <v>_Neo_InfB_Cont_VochtExtra_01##ONWAAR</v>
      </c>
    </row>
    <row r="1281" spans="1:5" x14ac:dyDescent="0.2">
      <c r="A1281" s="151" t="s">
        <v>3910</v>
      </c>
      <c r="B1281" s="150" t="b">
        <f>IF(ISBLANK(NeoDataInfB!$B$62),"",NeoDataInfB!$B$62)</f>
        <v>0</v>
      </c>
      <c r="C1281" s="7" t="b">
        <v>0</v>
      </c>
      <c r="D1281" s="151" t="str">
        <f t="shared" si="19"/>
        <v>_Neo_InfB_Cont_VochtExtra_02##ONWAAR</v>
      </c>
    </row>
    <row r="1282" spans="1:5" x14ac:dyDescent="0.2">
      <c r="A1282" s="151" t="s">
        <v>3911</v>
      </c>
      <c r="B1282" s="150" t="b">
        <f>IF(ISBLANK(NeoDataInfB!$B$63),"",NeoDataInfB!$B$63)</f>
        <v>0</v>
      </c>
      <c r="C1282" s="7" t="b">
        <v>0</v>
      </c>
      <c r="D1282" s="151" t="str">
        <f t="shared" si="19"/>
        <v>_Neo_InfB_Cont_VochtExtra_03##ONWAAR</v>
      </c>
    </row>
    <row r="1283" spans="1:5" x14ac:dyDescent="0.2">
      <c r="A1283" s="151" t="s">
        <v>3912</v>
      </c>
      <c r="B1283" s="150" t="b">
        <f>IF(ISBLANK(NeoDataInfB!$B$64),"",NeoDataInfB!$B$64)</f>
        <v>0</v>
      </c>
      <c r="C1283" s="7" t="b">
        <v>0</v>
      </c>
      <c r="D1283" s="151" t="str">
        <f t="shared" ref="D1283:D1346" si="20">A1283&amp;"##"&amp;B1283</f>
        <v>_Neo_InfB_Cont_VochtExtra_04##ONWAAR</v>
      </c>
    </row>
    <row r="1284" spans="1:5" x14ac:dyDescent="0.2">
      <c r="A1284" s="151" t="s">
        <v>3913</v>
      </c>
      <c r="B1284" s="150" t="b">
        <f>IF(ISBLANK(NeoDataInfB!$B$65),"",NeoDataInfB!$B$65)</f>
        <v>0</v>
      </c>
      <c r="C1284" s="7" t="b">
        <v>0</v>
      </c>
      <c r="D1284" s="151" t="str">
        <f t="shared" si="20"/>
        <v>_Neo_InfB_Cont_VochtExtra_05##ONWAAR</v>
      </c>
      <c r="E1284" s="151"/>
    </row>
    <row r="1285" spans="1:5" x14ac:dyDescent="0.2">
      <c r="A1285" s="151" t="s">
        <v>3914</v>
      </c>
      <c r="B1285" s="150" t="b">
        <f>IF(ISBLANK(NeoDataInfB!$B$66),"",NeoDataInfB!$B$66)</f>
        <v>0</v>
      </c>
      <c r="C1285" s="7" t="b">
        <v>0</v>
      </c>
      <c r="D1285" s="151" t="str">
        <f t="shared" si="20"/>
        <v>_Neo_InfB_Cont_VochtExtra_06##ONWAAR</v>
      </c>
    </row>
    <row r="1286" spans="1:5" x14ac:dyDescent="0.2">
      <c r="A1286" s="151" t="s">
        <v>3915</v>
      </c>
      <c r="B1286" s="150" t="b">
        <f>IF(ISBLANK(NeoDataInfB!$B$67),"",NeoDataInfB!$B$67)</f>
        <v>0</v>
      </c>
      <c r="C1286" s="7" t="b">
        <v>0</v>
      </c>
      <c r="D1286" s="151" t="str">
        <f t="shared" si="20"/>
        <v>_Neo_InfB_Cont_VochtExtra_07##ONWAAR</v>
      </c>
    </row>
    <row r="1287" spans="1:5" x14ac:dyDescent="0.2">
      <c r="A1287" s="151" t="s">
        <v>3916</v>
      </c>
      <c r="B1287" s="150" t="b">
        <f>IF(ISBLANK(NeoDataInfB!$B$68),"",NeoDataInfB!$B$68)</f>
        <v>0</v>
      </c>
      <c r="C1287" s="7" t="b">
        <v>0</v>
      </c>
      <c r="D1287" s="151" t="str">
        <f t="shared" si="20"/>
        <v>_Neo_InfB_Cont_VochtExtra_08##ONWAAR</v>
      </c>
    </row>
    <row r="1288" spans="1:5" x14ac:dyDescent="0.2">
      <c r="A1288" s="151" t="s">
        <v>3917</v>
      </c>
      <c r="B1288" s="150" t="b">
        <f>IF(ISBLANK(NeoDataInfB!$B$69),"",NeoDataInfB!$B$69)</f>
        <v>0</v>
      </c>
      <c r="C1288" s="7" t="b">
        <v>0</v>
      </c>
      <c r="D1288" s="151" t="str">
        <f t="shared" si="20"/>
        <v>_Neo_InfB_Cont_VochtExtra_09##ONWAAR</v>
      </c>
    </row>
    <row r="1289" spans="1:5" x14ac:dyDescent="0.2">
      <c r="A1289" s="151" t="s">
        <v>3918</v>
      </c>
      <c r="B1289" s="150" t="b">
        <f>IF(ISBLANK(NeoDataInfB!$B$70),"",NeoDataInfB!$B$70)</f>
        <v>0</v>
      </c>
      <c r="C1289" s="7" t="b">
        <v>0</v>
      </c>
      <c r="D1289" s="151" t="str">
        <f t="shared" si="20"/>
        <v>_Neo_InfB_Cont_VochtExtra_10##ONWAAR</v>
      </c>
    </row>
    <row r="1290" spans="1:5" x14ac:dyDescent="0.2">
      <c r="A1290" s="151" t="s">
        <v>3919</v>
      </c>
      <c r="B1290" s="150" t="b">
        <f>IF(ISBLANK(NeoDataInfB!$B$71),"",NeoDataInfB!$B$71)</f>
        <v>0</v>
      </c>
      <c r="C1290" s="151" t="b">
        <v>0</v>
      </c>
      <c r="D1290" s="151" t="str">
        <f t="shared" si="20"/>
        <v>_Neo_InfB_Cont_VochtExtra_11##ONWAAR</v>
      </c>
    </row>
    <row r="1291" spans="1:5" x14ac:dyDescent="0.2">
      <c r="A1291" s="151" t="s">
        <v>3920</v>
      </c>
      <c r="B1291" s="716" t="b">
        <f>IF(ISBLANK(NeoDataInfB!$B$72),"",NeoDataInfB!$B$72)</f>
        <v>0</v>
      </c>
      <c r="C1291" s="151" t="b">
        <v>0</v>
      </c>
      <c r="D1291" s="151" t="str">
        <f t="shared" si="20"/>
        <v>_Neo_InfB_Cont_VochtExtra_12##ONWAAR</v>
      </c>
    </row>
    <row r="1292" spans="1:5" x14ac:dyDescent="0.2">
      <c r="A1292" s="151" t="s">
        <v>3921</v>
      </c>
      <c r="B1292" s="716" t="b">
        <f>IF(ISBLANK(NeoDataInfB!$B$73),"",NeoDataInfB!$B$73)</f>
        <v>0</v>
      </c>
      <c r="C1292" s="151" t="b">
        <v>0</v>
      </c>
      <c r="D1292" s="151" t="str">
        <f t="shared" si="20"/>
        <v>_Neo_InfB_Cont_VochtExtra_13##ONWAAR</v>
      </c>
    </row>
    <row r="1293" spans="1:5" x14ac:dyDescent="0.2">
      <c r="A1293" s="151" t="s">
        <v>3922</v>
      </c>
      <c r="B1293" s="716" t="b">
        <f>IF(ISBLANK(NeoDataInfB!$B$74),"",NeoDataInfB!$B$74)</f>
        <v>0</v>
      </c>
      <c r="C1293" s="151" t="b">
        <v>0</v>
      </c>
      <c r="D1293" s="151" t="str">
        <f t="shared" si="20"/>
        <v>_Neo_InfB_Cont_VochtExtra_14##ONWAAR</v>
      </c>
    </row>
    <row r="1294" spans="1:5" x14ac:dyDescent="0.2">
      <c r="A1294" s="152" t="s">
        <v>4464</v>
      </c>
      <c r="B1294" s="716">
        <f>IF(ISBLANK(NeoDataInfB!$B$75),"",NeoDataInfB!$B$75)</f>
        <v>2</v>
      </c>
      <c r="C1294" s="151">
        <v>2</v>
      </c>
      <c r="D1294" s="151" t="str">
        <f t="shared" si="20"/>
        <v>_Neo_InfB_Ent_Extra##2</v>
      </c>
    </row>
    <row r="1295" spans="1:5" x14ac:dyDescent="0.2">
      <c r="A1295" s="151" t="s">
        <v>3923</v>
      </c>
      <c r="B1295" s="716">
        <f>IF(ISBLANK(NeoDataInfB!$B$76),"",NeoDataInfB!$B$76)</f>
        <v>0</v>
      </c>
      <c r="C1295" s="7">
        <v>0</v>
      </c>
      <c r="D1295" s="151" t="str">
        <f t="shared" si="20"/>
        <v>_Neo_InfB_Ent_Frequentie_1##0</v>
      </c>
    </row>
    <row r="1296" spans="1:5" x14ac:dyDescent="0.2">
      <c r="A1296" s="151" t="s">
        <v>3924</v>
      </c>
      <c r="B1296" s="716">
        <f>IF(ISBLANK(NeoDataInfB!$B$77),"",NeoDataInfB!$B$77)</f>
        <v>0</v>
      </c>
      <c r="C1296" s="7">
        <v>0</v>
      </c>
      <c r="D1296" s="151" t="str">
        <f t="shared" si="20"/>
        <v>_Neo_InfB_Ent_Frequentie_2##0</v>
      </c>
    </row>
    <row r="1297" spans="1:4" x14ac:dyDescent="0.2">
      <c r="A1297" s="151" t="s">
        <v>3925</v>
      </c>
      <c r="B1297" s="716">
        <f>IF(ISBLANK(NeoDataInfB!$B$78),"",NeoDataInfB!$B$78)</f>
        <v>0</v>
      </c>
      <c r="C1297" s="153">
        <v>0</v>
      </c>
      <c r="D1297" s="151" t="str">
        <f t="shared" si="20"/>
        <v>_Neo_InfB_Ent_Hoeveelheid_1##0</v>
      </c>
    </row>
    <row r="1298" spans="1:4" x14ac:dyDescent="0.2">
      <c r="A1298" s="151" t="s">
        <v>3926</v>
      </c>
      <c r="B1298" s="716">
        <f>IF(ISBLANK(NeoDataInfB!$B$79),"",NeoDataInfB!$B$79)</f>
        <v>0</v>
      </c>
      <c r="C1298" s="153">
        <v>0</v>
      </c>
      <c r="D1298" s="151" t="str">
        <f t="shared" si="20"/>
        <v>_Neo_InfB_Ent_Hoeveelheid_2##0</v>
      </c>
    </row>
    <row r="1299" spans="1:4" x14ac:dyDescent="0.2">
      <c r="A1299" s="151" t="s">
        <v>3927</v>
      </c>
      <c r="B1299" s="716">
        <f>IF(ISBLANK(NeoDataInfB!$B$80),"",NeoDataInfB!$B$80)</f>
        <v>1</v>
      </c>
      <c r="C1299" s="7">
        <v>1</v>
      </c>
      <c r="D1299" s="151" t="str">
        <f t="shared" si="20"/>
        <v>_Neo_InfB_Ent_PercentageKeuze_0##1</v>
      </c>
    </row>
    <row r="1300" spans="1:4" x14ac:dyDescent="0.2">
      <c r="A1300" s="151" t="s">
        <v>3928</v>
      </c>
      <c r="B1300" s="716">
        <f>IF(ISBLANK(NeoDataInfB!$B$81),"",NeoDataInfB!$B$81)</f>
        <v>1</v>
      </c>
      <c r="C1300" s="7">
        <v>1</v>
      </c>
      <c r="D1300" s="151" t="str">
        <f t="shared" si="20"/>
        <v>_Neo_InfB_Ent_PercentageKeuze_1##1</v>
      </c>
    </row>
    <row r="1301" spans="1:4" x14ac:dyDescent="0.2">
      <c r="A1301" s="151" t="s">
        <v>3929</v>
      </c>
      <c r="B1301" s="716">
        <f>IF(ISBLANK(NeoDataInfB!$B$82),"",NeoDataInfB!$B$82)</f>
        <v>1</v>
      </c>
      <c r="C1301" s="7">
        <v>1</v>
      </c>
      <c r="D1301" s="151" t="str">
        <f t="shared" si="20"/>
        <v>_Neo_InfB_Ent_PercentageKeuze_2##1</v>
      </c>
    </row>
    <row r="1302" spans="1:4" x14ac:dyDescent="0.2">
      <c r="A1302" s="151" t="s">
        <v>3930</v>
      </c>
      <c r="B1302" s="716">
        <f>IF(ISBLANK(NeoDataInfB!$B$83),"",NeoDataInfB!$B$83)</f>
        <v>1</v>
      </c>
      <c r="C1302" s="7">
        <v>1</v>
      </c>
      <c r="D1302" s="151" t="str">
        <f t="shared" si="20"/>
        <v>_Neo_InfB_Ent_PercentageKeuze_3##1</v>
      </c>
    </row>
    <row r="1303" spans="1:4" x14ac:dyDescent="0.2">
      <c r="A1303" s="151" t="s">
        <v>3931</v>
      </c>
      <c r="B1303" s="716">
        <f>IF(ISBLANK(NeoDataInfB!$B$84),"",NeoDataInfB!$B$84)</f>
        <v>1</v>
      </c>
      <c r="C1303" s="7">
        <v>1</v>
      </c>
      <c r="D1303" s="151" t="str">
        <f t="shared" si="20"/>
        <v>_Neo_InfB_Ent_PercentageKeuze_4##1</v>
      </c>
    </row>
    <row r="1304" spans="1:4" x14ac:dyDescent="0.2">
      <c r="A1304" s="151" t="s">
        <v>3932</v>
      </c>
      <c r="B1304" s="716">
        <f>IF(ISBLANK(NeoDataInfB!$B$85),"",NeoDataInfB!$B$85)</f>
        <v>1</v>
      </c>
      <c r="C1304" s="7">
        <v>1</v>
      </c>
      <c r="D1304" s="151" t="str">
        <f t="shared" si="20"/>
        <v>_Neo_InfB_Ent_PercentageKeuze_5##1</v>
      </c>
    </row>
    <row r="1305" spans="1:4" x14ac:dyDescent="0.2">
      <c r="A1305" s="151" t="s">
        <v>3933</v>
      </c>
      <c r="B1305">
        <f>IF(ISBLANK(NeoDataInfB!$B$86),"",NeoDataInfB!$B$86)</f>
        <v>1</v>
      </c>
      <c r="C1305" s="7">
        <v>1</v>
      </c>
      <c r="D1305" s="151" t="str">
        <f t="shared" si="20"/>
        <v>_Neo_InfB_Ent_PercentageKeuze_6##1</v>
      </c>
    </row>
    <row r="1306" spans="1:4" x14ac:dyDescent="0.2">
      <c r="A1306" s="151" t="s">
        <v>3934</v>
      </c>
      <c r="B1306">
        <f>IF(ISBLANK(NeoDataInfB!$B$87),"",NeoDataInfB!$B$87)</f>
        <v>1</v>
      </c>
      <c r="C1306" s="7">
        <v>1</v>
      </c>
      <c r="D1306" s="151" t="str">
        <f t="shared" si="20"/>
        <v>_Neo_InfB_Ent_PercentageKeuze_7##1</v>
      </c>
    </row>
    <row r="1307" spans="1:4" x14ac:dyDescent="0.2">
      <c r="A1307" s="151" t="s">
        <v>3935</v>
      </c>
      <c r="B1307">
        <f>IF(ISBLANK(NeoDataInfB!$B$88),"",NeoDataInfB!$B$88)</f>
        <v>1</v>
      </c>
      <c r="C1307" s="7">
        <v>1</v>
      </c>
      <c r="D1307" s="151" t="str">
        <f t="shared" si="20"/>
        <v>_Neo_InfB_Ent_PercentageKeuze_8##1</v>
      </c>
    </row>
    <row r="1308" spans="1:4" x14ac:dyDescent="0.2">
      <c r="A1308" s="151" t="s">
        <v>3936</v>
      </c>
      <c r="B1308">
        <f>IF(ISBLANK(NeoDataInfB!$B$89),"",NeoDataInfB!$B$89)</f>
        <v>1</v>
      </c>
      <c r="C1308" s="7">
        <v>1</v>
      </c>
      <c r="D1308" s="151" t="str">
        <f t="shared" si="20"/>
        <v>_Neo_InfB_Ent_Toevoeging_1##1</v>
      </c>
    </row>
    <row r="1309" spans="1:4" x14ac:dyDescent="0.2">
      <c r="A1309" s="151" t="s">
        <v>3937</v>
      </c>
      <c r="B1309">
        <f>IF(ISBLANK(NeoDataInfB!$B$90),"",NeoDataInfB!$B$90)</f>
        <v>1</v>
      </c>
      <c r="C1309" s="7">
        <v>1</v>
      </c>
      <c r="D1309" s="151" t="str">
        <f t="shared" si="20"/>
        <v>_Neo_InfB_Ent_Toevoeging_2##1</v>
      </c>
    </row>
    <row r="1310" spans="1:4" x14ac:dyDescent="0.2">
      <c r="A1310" s="151" t="s">
        <v>3938</v>
      </c>
      <c r="B1310">
        <f>IF(ISBLANK(NeoDataInfB!$B$91),"",NeoDataInfB!$B$91)</f>
        <v>1</v>
      </c>
      <c r="C1310" s="7">
        <v>1</v>
      </c>
      <c r="D1310" s="151" t="str">
        <f t="shared" si="20"/>
        <v>_Neo_InfB_Ent_Toevoeging_3##1</v>
      </c>
    </row>
    <row r="1311" spans="1:4" x14ac:dyDescent="0.2">
      <c r="A1311" s="151" t="s">
        <v>3939</v>
      </c>
      <c r="B1311">
        <f>IF(ISBLANK(NeoDataInfB!$B$92),"",NeoDataInfB!$B$92)</f>
        <v>1</v>
      </c>
      <c r="C1311" s="7">
        <v>1</v>
      </c>
      <c r="D1311" s="151" t="str">
        <f t="shared" si="20"/>
        <v>_Neo_InfB_Ent_Toevoeging_4##1</v>
      </c>
    </row>
    <row r="1312" spans="1:4" x14ac:dyDescent="0.2">
      <c r="A1312" s="151" t="s">
        <v>3940</v>
      </c>
      <c r="B1312">
        <f>IF(ISBLANK(NeoDataInfB!$B$93),"",NeoDataInfB!$B$93)</f>
        <v>1</v>
      </c>
      <c r="C1312" s="7">
        <v>1</v>
      </c>
      <c r="D1312" s="151" t="str">
        <f t="shared" si="20"/>
        <v>_Neo_InfB_Ent_Toevoeging_5##1</v>
      </c>
    </row>
    <row r="1313" spans="1:4" x14ac:dyDescent="0.2">
      <c r="A1313" s="151" t="s">
        <v>3941</v>
      </c>
      <c r="B1313">
        <f>IF(ISBLANK(NeoDataInfB!$B$94),"",NeoDataInfB!$B$94)</f>
        <v>1</v>
      </c>
      <c r="C1313" s="7">
        <v>1</v>
      </c>
      <c r="D1313" s="151" t="str">
        <f t="shared" si="20"/>
        <v>_Neo_InfB_Ent_Toevoeging_6##1</v>
      </c>
    </row>
    <row r="1314" spans="1:4" x14ac:dyDescent="0.2">
      <c r="A1314" s="151" t="s">
        <v>3942</v>
      </c>
      <c r="B1314">
        <f>IF(ISBLANK(NeoDataInfB!$B$95),"",NeoDataInfB!$B$95)</f>
        <v>1</v>
      </c>
      <c r="C1314" s="7">
        <v>1</v>
      </c>
      <c r="D1314" s="151" t="str">
        <f t="shared" si="20"/>
        <v>_Neo_InfB_Ent_Toevoeging_7##1</v>
      </c>
    </row>
    <row r="1315" spans="1:4" x14ac:dyDescent="0.2">
      <c r="A1315" s="151" t="s">
        <v>3943</v>
      </c>
      <c r="B1315">
        <f>IF(ISBLANK(NeoDataInfB!$B$96),"",NeoDataInfB!$B$96)</f>
        <v>1</v>
      </c>
      <c r="C1315" s="7">
        <v>1</v>
      </c>
      <c r="D1315" s="151" t="str">
        <f t="shared" si="20"/>
        <v>_Neo_InfB_Ent_Toevoeging_8##1</v>
      </c>
    </row>
    <row r="1316" spans="1:4" x14ac:dyDescent="0.2">
      <c r="A1316" s="151" t="s">
        <v>3944</v>
      </c>
      <c r="B1316" s="151">
        <f>IF(ISBLANK(NeoDataInfB!$B$97),"",NeoDataInfB!$B$97)</f>
        <v>1</v>
      </c>
      <c r="C1316" s="151">
        <v>1</v>
      </c>
      <c r="D1316" s="151" t="str">
        <f t="shared" si="20"/>
        <v>_Neo_InfB_Ent_Voeding##1</v>
      </c>
    </row>
    <row r="1317" spans="1:4" x14ac:dyDescent="0.2">
      <c r="A1317" s="151" t="s">
        <v>3945</v>
      </c>
      <c r="B1317">
        <f>IF(ISBLANK(NeoDataInfB!$B$98),"",NeoDataInfB!$B$98)</f>
        <v>5000</v>
      </c>
      <c r="C1317" s="151">
        <v>5000</v>
      </c>
      <c r="D1317" s="151" t="str">
        <f t="shared" si="20"/>
        <v>_Neo_InfB_TPN_CaCl2##5000</v>
      </c>
    </row>
    <row r="1318" spans="1:4" x14ac:dyDescent="0.2">
      <c r="A1318" s="151" t="s">
        <v>3946</v>
      </c>
      <c r="B1318">
        <f>IF(ISBLANK(NeoDataInfB!$B$99),"",NeoDataInfB!$B$99)</f>
        <v>1</v>
      </c>
      <c r="C1318" s="151">
        <v>1</v>
      </c>
      <c r="D1318" s="151" t="str">
        <f t="shared" si="20"/>
        <v>_Neo_InfB_TPN_DagKeuze##1</v>
      </c>
    </row>
    <row r="1319" spans="1:4" x14ac:dyDescent="0.2">
      <c r="A1319" s="151" t="s">
        <v>3947</v>
      </c>
      <c r="B1319" s="151">
        <f>IF(ISBLANK(NeoDataInfB!$B$100),"",NeoDataInfB!$B$100)</f>
        <v>2</v>
      </c>
      <c r="C1319" s="151">
        <v>2</v>
      </c>
      <c r="D1319" s="151" t="str">
        <f t="shared" si="20"/>
        <v>_Neo_InfB_TPN_Fototherapie##2</v>
      </c>
    </row>
    <row r="1320" spans="1:4" x14ac:dyDescent="0.2">
      <c r="A1320" s="151" t="s">
        <v>3948</v>
      </c>
      <c r="B1320" s="151">
        <f>IF(ISBLANK(NeoDataInfB!$B$101),"",NeoDataInfB!$B$101)</f>
        <v>2</v>
      </c>
      <c r="C1320" s="151">
        <v>2</v>
      </c>
      <c r="D1320" s="151" t="str">
        <f t="shared" si="20"/>
        <v>_Neo_InfB_TPN_GlucSterkte##2</v>
      </c>
    </row>
    <row r="1321" spans="1:4" x14ac:dyDescent="0.2">
      <c r="A1321" s="151" t="s">
        <v>3949</v>
      </c>
      <c r="B1321">
        <f>IF(ISBLANK(NeoDataInfB!$B$102),"",NeoDataInfB!$B$102)</f>
        <v>0</v>
      </c>
      <c r="C1321" s="151">
        <v>0</v>
      </c>
      <c r="D1321" s="151" t="str">
        <f t="shared" si="20"/>
        <v>_Neo_InfB_TPN_IntakePerKg##0</v>
      </c>
    </row>
    <row r="1322" spans="1:4" x14ac:dyDescent="0.2">
      <c r="A1322" s="151" t="s">
        <v>3950</v>
      </c>
      <c r="B1322">
        <f>IF(ISBLANK(NeoDataInfB!$B$103),"",NeoDataInfB!$B$103)</f>
        <v>5000</v>
      </c>
      <c r="C1322" s="151">
        <v>5000</v>
      </c>
      <c r="D1322" s="151" t="str">
        <f t="shared" si="20"/>
        <v>_Neo_InfB_TPN_IntraLipid##5000</v>
      </c>
    </row>
    <row r="1323" spans="1:4" x14ac:dyDescent="0.2">
      <c r="A1323" s="151" t="s">
        <v>3951</v>
      </c>
      <c r="B1323">
        <f>IF(ISBLANK(NeoDataInfB!$B$104),"",NeoDataInfB!$B$104)</f>
        <v>1</v>
      </c>
      <c r="C1323" s="151">
        <v>1</v>
      </c>
      <c r="D1323" s="151" t="str">
        <f t="shared" si="20"/>
        <v>_Neo_InfB_TPN_IntralipidSmof##1</v>
      </c>
    </row>
    <row r="1324" spans="1:4" x14ac:dyDescent="0.2">
      <c r="A1324" s="151" t="s">
        <v>3952</v>
      </c>
      <c r="B1324">
        <f>IF(ISBLANK(NeoDataInfB!$B$105),"",NeoDataInfB!$B$105)</f>
        <v>5000</v>
      </c>
      <c r="C1324" s="151">
        <v>5000</v>
      </c>
      <c r="D1324" s="151" t="str">
        <f t="shared" si="20"/>
        <v>_Neo_InfB_TPN_KCl##5000</v>
      </c>
    </row>
    <row r="1325" spans="1:4" x14ac:dyDescent="0.2">
      <c r="A1325" s="151" t="s">
        <v>3953</v>
      </c>
      <c r="B1325" s="151">
        <f>IF(ISBLANK(NeoDataInfB!$B$106),"",NeoDataInfB!$B$106)</f>
        <v>5000</v>
      </c>
      <c r="C1325" s="151">
        <v>5000</v>
      </c>
      <c r="D1325" s="151" t="str">
        <f t="shared" si="20"/>
        <v>_Neo_InfB_TPN_MgCl2##5000</v>
      </c>
    </row>
    <row r="1326" spans="1:4" x14ac:dyDescent="0.2">
      <c r="A1326" s="152" t="s">
        <v>4690</v>
      </c>
      <c r="B1326" s="151">
        <f>IF(ISBLANK(NeoDataInfB!$B$107),"",NeoDataInfB!$B$107)</f>
        <v>5000</v>
      </c>
      <c r="C1326" s="151">
        <v>5000</v>
      </c>
      <c r="D1326" s="151" t="str">
        <f t="shared" si="20"/>
        <v>_Neo_InfB_TPN_NaCl##5000</v>
      </c>
    </row>
    <row r="1327" spans="1:4" x14ac:dyDescent="0.2">
      <c r="A1327" s="151" t="s">
        <v>3955</v>
      </c>
      <c r="B1327">
        <f>IF(ISBLANK(NeoDataInfB!$B$108),"",NeoDataInfB!$B$108)</f>
        <v>5000</v>
      </c>
      <c r="C1327" s="151">
        <v>5000</v>
      </c>
      <c r="D1327" s="151" t="str">
        <f t="shared" si="20"/>
        <v>_Neo_InfB_TPN_NICUMix##5000</v>
      </c>
    </row>
    <row r="1328" spans="1:4" x14ac:dyDescent="0.2">
      <c r="A1328" s="151" t="s">
        <v>3956</v>
      </c>
      <c r="B1328" t="b">
        <f>IF(ISBLANK(NeoDataInfB!$B$109),"",NeoDataInfB!$B$109)</f>
        <v>0</v>
      </c>
      <c r="C1328" s="151" t="b">
        <v>0</v>
      </c>
      <c r="D1328" s="151" t="str">
        <f t="shared" si="20"/>
        <v>_Neo_InfB_TPN_Parenteraal##ONWAAR</v>
      </c>
    </row>
    <row r="1329" spans="1:4" x14ac:dyDescent="0.2">
      <c r="A1329" s="151" t="s">
        <v>3957</v>
      </c>
      <c r="B1329">
        <f>IF(ISBLANK(NeoDataInfB!$B$110),"",NeoDataInfB!$B$110)</f>
        <v>5000</v>
      </c>
      <c r="C1329" s="151">
        <v>5000</v>
      </c>
      <c r="D1329" s="151" t="str">
        <f t="shared" si="20"/>
        <v>_Neo_InfB_TPN_Primene##5000</v>
      </c>
    </row>
    <row r="1330" spans="1:4" x14ac:dyDescent="0.2">
      <c r="A1330" s="152" t="s">
        <v>4691</v>
      </c>
      <c r="B1330">
        <f>IF(ISBLANK(NeoDataInfB!$B$111),"",NeoDataInfB!$B$111)</f>
        <v>5000</v>
      </c>
      <c r="C1330" s="151">
        <v>5000</v>
      </c>
      <c r="D1330" s="151" t="str">
        <f t="shared" si="20"/>
        <v>_Neo_InfB_TPN_Soluvit##5000</v>
      </c>
    </row>
    <row r="1331" spans="1:4" x14ac:dyDescent="0.2">
      <c r="A1331" s="151" t="s">
        <v>3959</v>
      </c>
      <c r="B1331">
        <f>IF(ISBLANK(NeoDataInfB!$B$112),"",NeoDataInfB!$B$112)</f>
        <v>5000</v>
      </c>
      <c r="C1331" s="151">
        <v>5000</v>
      </c>
      <c r="D1331" s="151" t="str">
        <f t="shared" si="20"/>
        <v>_Neo_InfB_TPN_SSTB##5000</v>
      </c>
    </row>
    <row r="1332" spans="1:4" x14ac:dyDescent="0.2">
      <c r="A1332" s="151" t="s">
        <v>2178</v>
      </c>
      <c r="B1332" t="b">
        <f>IF(ISBLANK(NeoBerLab!$M$4),"",NeoBerLab!$M$4)</f>
        <v>0</v>
      </c>
      <c r="C1332" s="151" t="b">
        <v>0</v>
      </c>
      <c r="D1332" s="151" t="str">
        <f t="shared" si="20"/>
        <v>_Neo_Lab_04_01##ONWAAR</v>
      </c>
    </row>
    <row r="1333" spans="1:4" x14ac:dyDescent="0.2">
      <c r="A1333" s="151" t="s">
        <v>2179</v>
      </c>
      <c r="B1333" t="b">
        <f>IF(ISBLANK(NeoBerLab!$M$5),"",NeoBerLab!$M$5)</f>
        <v>0</v>
      </c>
      <c r="C1333" s="151" t="b">
        <v>0</v>
      </c>
      <c r="D1333" s="151" t="str">
        <f t="shared" si="20"/>
        <v>_Neo_Lab_04_02##ONWAAR</v>
      </c>
    </row>
    <row r="1334" spans="1:4" x14ac:dyDescent="0.2">
      <c r="A1334" s="151" t="s">
        <v>2180</v>
      </c>
      <c r="B1334" t="b">
        <f>IF(ISBLANK(NeoBerLab!$M$6),"",NeoBerLab!$M$6)</f>
        <v>0</v>
      </c>
      <c r="C1334" s="151" t="b">
        <v>0</v>
      </c>
      <c r="D1334" s="151" t="str">
        <f t="shared" si="20"/>
        <v>_Neo_Lab_04_03##ONWAAR</v>
      </c>
    </row>
    <row r="1335" spans="1:4" x14ac:dyDescent="0.2">
      <c r="A1335" s="151" t="s">
        <v>2181</v>
      </c>
      <c r="B1335" t="b">
        <f>IF(ISBLANK(NeoBerLab!$M$7),"",NeoBerLab!$M$7)</f>
        <v>0</v>
      </c>
      <c r="C1335" s="151" t="b">
        <v>0</v>
      </c>
      <c r="D1335" s="151" t="str">
        <f t="shared" si="20"/>
        <v>_Neo_Lab_04_04##ONWAAR</v>
      </c>
    </row>
    <row r="1336" spans="1:4" x14ac:dyDescent="0.2">
      <c r="A1336" s="151" t="s">
        <v>2182</v>
      </c>
      <c r="B1336" t="b">
        <f>IF(ISBLANK(NeoBerLab!$M$8),"",NeoBerLab!$M$8)</f>
        <v>0</v>
      </c>
      <c r="C1336" s="151" t="b">
        <v>0</v>
      </c>
      <c r="D1336" s="151" t="str">
        <f t="shared" si="20"/>
        <v>_Neo_Lab_04_05##ONWAAR</v>
      </c>
    </row>
    <row r="1337" spans="1:4" x14ac:dyDescent="0.2">
      <c r="A1337" s="151" t="s">
        <v>2183</v>
      </c>
      <c r="B1337" t="b">
        <f>IF(ISBLANK(NeoBerLab!$M$9),"",NeoBerLab!$M$9)</f>
        <v>0</v>
      </c>
      <c r="C1337" s="151" t="b">
        <v>0</v>
      </c>
      <c r="D1337" s="151" t="str">
        <f t="shared" si="20"/>
        <v>_Neo_Lab_04_06##ONWAAR</v>
      </c>
    </row>
    <row r="1338" spans="1:4" x14ac:dyDescent="0.2">
      <c r="A1338" s="151" t="s">
        <v>2184</v>
      </c>
      <c r="B1338" t="b">
        <f>IF(ISBLANK(NeoBerLab!$M$10),"",NeoBerLab!$M$10)</f>
        <v>0</v>
      </c>
      <c r="C1338" s="151" t="b">
        <v>0</v>
      </c>
      <c r="D1338" s="151" t="str">
        <f t="shared" si="20"/>
        <v>_Neo_Lab_04_07##ONWAAR</v>
      </c>
    </row>
    <row r="1339" spans="1:4" x14ac:dyDescent="0.2">
      <c r="A1339" s="151" t="s">
        <v>2185</v>
      </c>
      <c r="B1339" t="b">
        <f>IF(ISBLANK(NeoBerLab!$M$11),"",NeoBerLab!$M$11)</f>
        <v>0</v>
      </c>
      <c r="C1339" s="151" t="b">
        <v>0</v>
      </c>
      <c r="D1339" s="151" t="str">
        <f t="shared" si="20"/>
        <v>_Neo_Lab_04_08##ONWAAR</v>
      </c>
    </row>
    <row r="1340" spans="1:4" x14ac:dyDescent="0.2">
      <c r="A1340" s="151" t="s">
        <v>2186</v>
      </c>
      <c r="B1340" t="b">
        <f>IF(ISBLANK(NeoBerLab!$M$12),"",NeoBerLab!$M$12)</f>
        <v>0</v>
      </c>
      <c r="C1340" s="151" t="b">
        <v>0</v>
      </c>
      <c r="D1340" s="151" t="str">
        <f t="shared" si="20"/>
        <v>_Neo_Lab_04_09##ONWAAR</v>
      </c>
    </row>
    <row r="1341" spans="1:4" x14ac:dyDescent="0.2">
      <c r="A1341" s="151" t="s">
        <v>2187</v>
      </c>
      <c r="B1341" t="b">
        <f>IF(ISBLANK(NeoBerLab!$M$13),"",NeoBerLab!$M$13)</f>
        <v>0</v>
      </c>
      <c r="C1341" s="151" t="b">
        <v>0</v>
      </c>
      <c r="D1341" s="151" t="str">
        <f t="shared" si="20"/>
        <v>_Neo_Lab_04_10##ONWAAR</v>
      </c>
    </row>
    <row r="1342" spans="1:4" x14ac:dyDescent="0.2">
      <c r="A1342" s="151" t="s">
        <v>2188</v>
      </c>
      <c r="B1342" t="b">
        <f>IF(ISBLANK(NeoBerLab!$M$14),"",NeoBerLab!$M$14)</f>
        <v>0</v>
      </c>
      <c r="C1342" s="151" t="b">
        <v>0</v>
      </c>
      <c r="D1342" s="151" t="str">
        <f t="shared" si="20"/>
        <v>_Neo_Lab_04_11##ONWAAR</v>
      </c>
    </row>
    <row r="1343" spans="1:4" x14ac:dyDescent="0.2">
      <c r="A1343" s="151" t="s">
        <v>2189</v>
      </c>
      <c r="B1343" t="b">
        <f>IF(ISBLANK(NeoBerLab!$M$15),"",NeoBerLab!$M$15)</f>
        <v>0</v>
      </c>
      <c r="C1343" s="151" t="b">
        <v>0</v>
      </c>
      <c r="D1343" s="151" t="str">
        <f t="shared" si="20"/>
        <v>_Neo_Lab_04_12##ONWAAR</v>
      </c>
    </row>
    <row r="1344" spans="1:4" x14ac:dyDescent="0.2">
      <c r="A1344" s="151" t="s">
        <v>2190</v>
      </c>
      <c r="B1344" t="b">
        <f>IF(ISBLANK(NeoBerLab!$M$16),"",NeoBerLab!$M$16)</f>
        <v>0</v>
      </c>
      <c r="C1344" s="151" t="b">
        <v>0</v>
      </c>
      <c r="D1344" s="151" t="str">
        <f t="shared" si="20"/>
        <v>_Neo_Lab_04_13##ONWAAR</v>
      </c>
    </row>
    <row r="1345" spans="1:6" x14ac:dyDescent="0.2">
      <c r="A1345" s="151" t="s">
        <v>2191</v>
      </c>
      <c r="B1345" t="b">
        <f>IF(ISBLANK(NeoBerLab!$M$17),"",NeoBerLab!$M$17)</f>
        <v>0</v>
      </c>
      <c r="C1345" s="151" t="b">
        <v>0</v>
      </c>
      <c r="D1345" s="151" t="str">
        <f t="shared" si="20"/>
        <v>_Neo_Lab_04_14##ONWAAR</v>
      </c>
    </row>
    <row r="1346" spans="1:6" x14ac:dyDescent="0.2">
      <c r="A1346" s="151" t="s">
        <v>2192</v>
      </c>
      <c r="B1346" t="b">
        <f>IF(ISBLANK(NeoBerLab!$M$18),"",NeoBerLab!$M$18)</f>
        <v>0</v>
      </c>
      <c r="C1346" s="151" t="b">
        <v>0</v>
      </c>
      <c r="D1346" s="151" t="str">
        <f t="shared" si="20"/>
        <v>_Neo_Lab_04_15##ONWAAR</v>
      </c>
    </row>
    <row r="1347" spans="1:6" s="151" customFormat="1" x14ac:dyDescent="0.2">
      <c r="A1347" s="151" t="s">
        <v>2193</v>
      </c>
      <c r="B1347" t="b">
        <f>IF(ISBLANK(NeoBerLab!$M$19),"",NeoBerLab!$M$19)</f>
        <v>0</v>
      </c>
      <c r="C1347" s="151" t="b">
        <v>0</v>
      </c>
      <c r="D1347" s="151" t="str">
        <f t="shared" ref="D1347:D1410" si="21">A1347&amp;"##"&amp;B1347</f>
        <v>_Neo_Lab_04_16##ONWAAR</v>
      </c>
      <c r="E1347"/>
      <c r="F1347"/>
    </row>
    <row r="1348" spans="1:6" s="151" customFormat="1" x14ac:dyDescent="0.2">
      <c r="A1348" s="151" t="s">
        <v>2194</v>
      </c>
      <c r="B1348" t="b">
        <f>IF(ISBLANK(NeoBerLab!$M$20),"",NeoBerLab!$M$20)</f>
        <v>0</v>
      </c>
      <c r="C1348" s="151" t="b">
        <v>0</v>
      </c>
      <c r="D1348" s="151" t="str">
        <f t="shared" si="21"/>
        <v>_Neo_Lab_04_17##ONWAAR</v>
      </c>
      <c r="E1348"/>
      <c r="F1348"/>
    </row>
    <row r="1349" spans="1:6" s="151" customFormat="1" x14ac:dyDescent="0.2">
      <c r="A1349" s="151" t="s">
        <v>2195</v>
      </c>
      <c r="B1349" t="b">
        <f>IF(ISBLANK(NeoBerLab!$M$21),"",NeoBerLab!$M$21)</f>
        <v>0</v>
      </c>
      <c r="C1349" s="151" t="b">
        <v>0</v>
      </c>
      <c r="D1349" s="151" t="str">
        <f t="shared" si="21"/>
        <v>_Neo_Lab_04_18##ONWAAR</v>
      </c>
      <c r="E1349"/>
      <c r="F1349"/>
    </row>
    <row r="1350" spans="1:6" x14ac:dyDescent="0.2">
      <c r="A1350" s="151" t="s">
        <v>2196</v>
      </c>
      <c r="B1350" t="b">
        <f>IF(ISBLANK(NeoBerLab!$M$22),"",NeoBerLab!$M$22)</f>
        <v>0</v>
      </c>
      <c r="C1350" s="151" t="b">
        <v>0</v>
      </c>
      <c r="D1350" s="151" t="str">
        <f t="shared" si="21"/>
        <v>_Neo_Lab_04_19##ONWAAR</v>
      </c>
    </row>
    <row r="1351" spans="1:6" x14ac:dyDescent="0.2">
      <c r="A1351" s="151" t="s">
        <v>2197</v>
      </c>
      <c r="B1351" t="b">
        <f>IF(ISBLANK(NeoBerLab!$M$23),"",NeoBerLab!$M$23)</f>
        <v>0</v>
      </c>
      <c r="C1351" s="151" t="b">
        <v>0</v>
      </c>
      <c r="D1351" s="151" t="str">
        <f t="shared" si="21"/>
        <v>_Neo_Lab_04_20##ONWAAR</v>
      </c>
    </row>
    <row r="1352" spans="1:6" x14ac:dyDescent="0.2">
      <c r="A1352" s="151" t="s">
        <v>2198</v>
      </c>
      <c r="B1352" t="b">
        <f>IF(ISBLANK(NeoBerLab!$M$24),"",NeoBerLab!$M$24)</f>
        <v>0</v>
      </c>
      <c r="C1352" s="151" t="b">
        <v>0</v>
      </c>
      <c r="D1352" s="151" t="str">
        <f t="shared" si="21"/>
        <v>_Neo_Lab_04_21##ONWAAR</v>
      </c>
    </row>
    <row r="1353" spans="1:6" x14ac:dyDescent="0.2">
      <c r="A1353" s="151" t="s">
        <v>2199</v>
      </c>
      <c r="B1353" t="b">
        <f>IF(ISBLANK(NeoBerLab!$M$25),"",NeoBerLab!$M$25)</f>
        <v>0</v>
      </c>
      <c r="C1353" s="151" t="b">
        <v>0</v>
      </c>
      <c r="D1353" s="151" t="str">
        <f t="shared" si="21"/>
        <v>_Neo_Lab_04_22##ONWAAR</v>
      </c>
    </row>
    <row r="1354" spans="1:6" x14ac:dyDescent="0.2">
      <c r="A1354" s="151" t="s">
        <v>2200</v>
      </c>
      <c r="B1354" t="b">
        <f>IF(ISBLANK(NeoBerLab!$M$26),"",NeoBerLab!$M$26)</f>
        <v>0</v>
      </c>
      <c r="C1354" s="151" t="b">
        <v>0</v>
      </c>
      <c r="D1354" s="151" t="str">
        <f t="shared" si="21"/>
        <v>_Neo_Lab_04_23##ONWAAR</v>
      </c>
    </row>
    <row r="1355" spans="1:6" x14ac:dyDescent="0.2">
      <c r="A1355" s="151" t="s">
        <v>2201</v>
      </c>
      <c r="B1355" t="b">
        <f>IF(ISBLANK(NeoBerLab!$M$27),"",NeoBerLab!$M$27)</f>
        <v>0</v>
      </c>
      <c r="C1355" s="151" t="b">
        <v>0</v>
      </c>
      <c r="D1355" s="151" t="str">
        <f t="shared" si="21"/>
        <v>_Neo_Lab_04_24##ONWAAR</v>
      </c>
    </row>
    <row r="1356" spans="1:6" x14ac:dyDescent="0.2">
      <c r="A1356" s="151" t="s">
        <v>2202</v>
      </c>
      <c r="B1356" t="b">
        <f>IF(ISBLANK(NeoBerLab!$M$28),"",NeoBerLab!$M$28)</f>
        <v>0</v>
      </c>
      <c r="C1356" s="151" t="b">
        <v>0</v>
      </c>
      <c r="D1356" s="151" t="str">
        <f t="shared" si="21"/>
        <v>_Neo_Lab_04_25##ONWAAR</v>
      </c>
    </row>
    <row r="1357" spans="1:6" x14ac:dyDescent="0.2">
      <c r="A1357" s="151" t="s">
        <v>2203</v>
      </c>
      <c r="B1357" t="b">
        <f>IF(ISBLANK(NeoBerLab!$M$29),"",NeoBerLab!$M$29)</f>
        <v>0</v>
      </c>
      <c r="C1357" s="151" t="b">
        <v>0</v>
      </c>
      <c r="D1357" s="151" t="str">
        <f t="shared" si="21"/>
        <v>_Neo_Lab_04_26##ONWAAR</v>
      </c>
    </row>
    <row r="1358" spans="1:6" x14ac:dyDescent="0.2">
      <c r="A1358" s="151" t="s">
        <v>2204</v>
      </c>
      <c r="B1358" t="b">
        <f>IF(ISBLANK(NeoBerLab!$M$30),"",NeoBerLab!$M$30)</f>
        <v>0</v>
      </c>
      <c r="C1358" s="151" t="b">
        <v>0</v>
      </c>
      <c r="D1358" s="151" t="str">
        <f t="shared" si="21"/>
        <v>_Neo_Lab_04_27##ONWAAR</v>
      </c>
    </row>
    <row r="1359" spans="1:6" x14ac:dyDescent="0.2">
      <c r="A1359" s="151" t="s">
        <v>2205</v>
      </c>
      <c r="B1359" t="b">
        <f>IF(ISBLANK(NeoBerLab!$M$31),"",NeoBerLab!$M$31)</f>
        <v>0</v>
      </c>
      <c r="C1359" s="151" t="b">
        <v>0</v>
      </c>
      <c r="D1359" s="151" t="str">
        <f t="shared" si="21"/>
        <v>_Neo_Lab_04_28##ONWAAR</v>
      </c>
    </row>
    <row r="1360" spans="1:6" x14ac:dyDescent="0.2">
      <c r="A1360" s="151" t="s">
        <v>2206</v>
      </c>
      <c r="B1360" t="b">
        <f>IF(ISBLANK(NeoBerLab!$M$32),"",NeoBerLab!$M$32)</f>
        <v>0</v>
      </c>
      <c r="C1360" s="151" t="b">
        <v>0</v>
      </c>
      <c r="D1360" s="151" t="str">
        <f t="shared" si="21"/>
        <v>_Neo_Lab_04_29##ONWAAR</v>
      </c>
    </row>
    <row r="1361" spans="1:6" x14ac:dyDescent="0.2">
      <c r="A1361" s="151" t="s">
        <v>2207</v>
      </c>
      <c r="B1361" t="b">
        <f>IF(ISBLANK(NeoBerLab!$M$33),"",NeoBerLab!$M$33)</f>
        <v>0</v>
      </c>
      <c r="C1361" s="151" t="b">
        <v>0</v>
      </c>
      <c r="D1361" s="151" t="str">
        <f t="shared" si="21"/>
        <v>_Neo_Lab_04_30##ONWAAR</v>
      </c>
    </row>
    <row r="1362" spans="1:6" x14ac:dyDescent="0.2">
      <c r="A1362" s="151" t="s">
        <v>2208</v>
      </c>
      <c r="B1362" t="b">
        <f>IF(ISBLANK(NeoBerLab!$M$34),"",NeoBerLab!$M$34)</f>
        <v>0</v>
      </c>
      <c r="C1362" s="151" t="b">
        <v>0</v>
      </c>
      <c r="D1362" s="151" t="str">
        <f t="shared" si="21"/>
        <v>_Neo_Lab_04_31##ONWAAR</v>
      </c>
    </row>
    <row r="1363" spans="1:6" x14ac:dyDescent="0.2">
      <c r="A1363" s="151" t="s">
        <v>2209</v>
      </c>
      <c r="B1363" t="b">
        <f>IF(ISBLANK(NeoBerLab!$E$4),"",NeoBerLab!$E$4)</f>
        <v>0</v>
      </c>
      <c r="C1363" s="151" t="b">
        <v>0</v>
      </c>
      <c r="D1363" s="151" t="str">
        <f t="shared" si="21"/>
        <v>_Neo_Lab_12_01##ONWAAR</v>
      </c>
    </row>
    <row r="1364" spans="1:6" x14ac:dyDescent="0.2">
      <c r="A1364" s="151" t="s">
        <v>2210</v>
      </c>
      <c r="B1364" t="b">
        <f>IF(ISBLANK(NeoBerLab!$E$5),"",NeoBerLab!$E$5)</f>
        <v>0</v>
      </c>
      <c r="C1364" s="151" t="b">
        <v>0</v>
      </c>
      <c r="D1364" s="151" t="str">
        <f t="shared" si="21"/>
        <v>_Neo_Lab_12_02##ONWAAR</v>
      </c>
    </row>
    <row r="1365" spans="1:6" x14ac:dyDescent="0.2">
      <c r="A1365" s="151" t="s">
        <v>2211</v>
      </c>
      <c r="B1365" t="b">
        <f>IF(ISBLANK(NeoBerLab!$E$6),"",NeoBerLab!$E$6)</f>
        <v>0</v>
      </c>
      <c r="C1365" s="151" t="b">
        <v>0</v>
      </c>
      <c r="D1365" s="151" t="str">
        <f t="shared" si="21"/>
        <v>_Neo_Lab_12_03##ONWAAR</v>
      </c>
    </row>
    <row r="1366" spans="1:6" x14ac:dyDescent="0.2">
      <c r="A1366" s="151" t="s">
        <v>2212</v>
      </c>
      <c r="B1366" t="b">
        <f>IF(ISBLANK(NeoBerLab!$E$7),"",NeoBerLab!$E$7)</f>
        <v>0</v>
      </c>
      <c r="C1366" s="151" t="b">
        <v>0</v>
      </c>
      <c r="D1366" s="151" t="str">
        <f t="shared" si="21"/>
        <v>_Neo_Lab_12_04##ONWAAR</v>
      </c>
    </row>
    <row r="1367" spans="1:6" x14ac:dyDescent="0.2">
      <c r="A1367" s="151" t="s">
        <v>2213</v>
      </c>
      <c r="B1367" t="b">
        <f>IF(ISBLANK(NeoBerLab!$E$8),"",NeoBerLab!$E$8)</f>
        <v>0</v>
      </c>
      <c r="C1367" s="151" t="b">
        <v>0</v>
      </c>
      <c r="D1367" s="151" t="str">
        <f t="shared" si="21"/>
        <v>_Neo_Lab_12_05##ONWAAR</v>
      </c>
    </row>
    <row r="1368" spans="1:6" x14ac:dyDescent="0.2">
      <c r="A1368" s="151" t="s">
        <v>2214</v>
      </c>
      <c r="B1368" t="b">
        <f>IF(ISBLANK(NeoBerLab!$E$9),"",NeoBerLab!$E$9)</f>
        <v>0</v>
      </c>
      <c r="C1368" s="151" t="b">
        <v>0</v>
      </c>
      <c r="D1368" s="151" t="str">
        <f t="shared" si="21"/>
        <v>_Neo_Lab_12_06##ONWAAR</v>
      </c>
    </row>
    <row r="1369" spans="1:6" x14ac:dyDescent="0.2">
      <c r="A1369" s="151" t="s">
        <v>2215</v>
      </c>
      <c r="B1369" t="b">
        <f>IF(ISBLANK(NeoBerLab!$E$10),"",NeoBerLab!$E$10)</f>
        <v>0</v>
      </c>
      <c r="C1369" s="151" t="b">
        <v>0</v>
      </c>
      <c r="D1369" s="151" t="str">
        <f t="shared" si="21"/>
        <v>_Neo_Lab_12_07##ONWAAR</v>
      </c>
    </row>
    <row r="1370" spans="1:6" x14ac:dyDescent="0.2">
      <c r="A1370" s="151" t="s">
        <v>2216</v>
      </c>
      <c r="B1370" t="b">
        <f>IF(ISBLANK(NeoBerLab!$E$11),"",NeoBerLab!$E$11)</f>
        <v>0</v>
      </c>
      <c r="C1370" s="151" t="b">
        <v>0</v>
      </c>
      <c r="D1370" s="151" t="str">
        <f t="shared" si="21"/>
        <v>_Neo_Lab_12_08##ONWAAR</v>
      </c>
    </row>
    <row r="1371" spans="1:6" x14ac:dyDescent="0.2">
      <c r="A1371" s="151" t="s">
        <v>2217</v>
      </c>
      <c r="B1371" t="b">
        <f>IF(ISBLANK(NeoBerLab!$E$12),"",NeoBerLab!$E$12)</f>
        <v>0</v>
      </c>
      <c r="C1371" s="151" t="b">
        <v>0</v>
      </c>
      <c r="D1371" s="151" t="str">
        <f t="shared" si="21"/>
        <v>_Neo_Lab_12_09##ONWAAR</v>
      </c>
    </row>
    <row r="1372" spans="1:6" x14ac:dyDescent="0.2">
      <c r="A1372" s="151" t="s">
        <v>2218</v>
      </c>
      <c r="B1372" t="b">
        <f>IF(ISBLANK(NeoBerLab!$E$13),"",NeoBerLab!$E$13)</f>
        <v>0</v>
      </c>
      <c r="C1372" s="151" t="b">
        <v>0</v>
      </c>
      <c r="D1372" s="151" t="str">
        <f t="shared" si="21"/>
        <v>_Neo_Lab_12_10##ONWAAR</v>
      </c>
    </row>
    <row r="1373" spans="1:6" s="151" customFormat="1" x14ac:dyDescent="0.2">
      <c r="A1373" s="151" t="s">
        <v>2219</v>
      </c>
      <c r="B1373" t="b">
        <f>IF(ISBLANK(NeoBerLab!$E$14),"",NeoBerLab!$E$14)</f>
        <v>0</v>
      </c>
      <c r="C1373" s="151" t="b">
        <v>0</v>
      </c>
      <c r="D1373" s="151" t="str">
        <f t="shared" si="21"/>
        <v>_Neo_Lab_12_11##ONWAAR</v>
      </c>
      <c r="E1373"/>
      <c r="F1373"/>
    </row>
    <row r="1374" spans="1:6" x14ac:dyDescent="0.2">
      <c r="A1374" s="151" t="s">
        <v>2220</v>
      </c>
      <c r="B1374" t="b">
        <f>IF(ISBLANK(NeoBerLab!$E$15),"",NeoBerLab!$E$15)</f>
        <v>0</v>
      </c>
      <c r="C1374" s="151" t="b">
        <v>0</v>
      </c>
      <c r="D1374" s="151" t="str">
        <f t="shared" si="21"/>
        <v>_Neo_Lab_12_12##ONWAAR</v>
      </c>
    </row>
    <row r="1375" spans="1:6" x14ac:dyDescent="0.2">
      <c r="A1375" s="151" t="s">
        <v>2221</v>
      </c>
      <c r="B1375" t="b">
        <f>IF(ISBLANK(NeoBerLab!$E$16),"",NeoBerLab!$E$16)</f>
        <v>0</v>
      </c>
      <c r="C1375" s="151" t="b">
        <v>0</v>
      </c>
      <c r="D1375" s="151" t="str">
        <f t="shared" si="21"/>
        <v>_Neo_Lab_12_13##ONWAAR</v>
      </c>
    </row>
    <row r="1376" spans="1:6" x14ac:dyDescent="0.2">
      <c r="A1376" s="151" t="s">
        <v>2222</v>
      </c>
      <c r="B1376" t="b">
        <f>IF(ISBLANK(NeoBerLab!$E$17),"",NeoBerLab!$E$17)</f>
        <v>0</v>
      </c>
      <c r="C1376" s="151" t="b">
        <v>0</v>
      </c>
      <c r="D1376" s="151" t="str">
        <f t="shared" si="21"/>
        <v>_Neo_Lab_12_14##ONWAAR</v>
      </c>
    </row>
    <row r="1377" spans="1:4" x14ac:dyDescent="0.2">
      <c r="A1377" s="151" t="s">
        <v>2223</v>
      </c>
      <c r="B1377" t="b">
        <f>IF(ISBLANK(NeoBerLab!$E$18),"",NeoBerLab!$E$18)</f>
        <v>0</v>
      </c>
      <c r="C1377" s="151" t="b">
        <v>0</v>
      </c>
      <c r="D1377" s="151" t="str">
        <f t="shared" si="21"/>
        <v>_Neo_Lab_12_15##ONWAAR</v>
      </c>
    </row>
    <row r="1378" spans="1:4" x14ac:dyDescent="0.2">
      <c r="A1378" s="151" t="s">
        <v>2224</v>
      </c>
      <c r="B1378" t="b">
        <f>IF(ISBLANK(NeoBerLab!$E$19),"",NeoBerLab!$E$19)</f>
        <v>0</v>
      </c>
      <c r="C1378" s="151" t="b">
        <v>0</v>
      </c>
      <c r="D1378" s="151" t="str">
        <f t="shared" si="21"/>
        <v>_Neo_Lab_12_16##ONWAAR</v>
      </c>
    </row>
    <row r="1379" spans="1:4" x14ac:dyDescent="0.2">
      <c r="A1379" s="151" t="s">
        <v>2225</v>
      </c>
      <c r="B1379" s="151" t="b">
        <f>IF(ISBLANK(NeoBerLab!$E$20),"",NeoBerLab!$E$20)</f>
        <v>0</v>
      </c>
      <c r="C1379" s="151" t="b">
        <v>0</v>
      </c>
      <c r="D1379" s="151" t="str">
        <f t="shared" si="21"/>
        <v>_Neo_Lab_12_17##ONWAAR</v>
      </c>
    </row>
    <row r="1380" spans="1:4" x14ac:dyDescent="0.2">
      <c r="A1380" s="151" t="s">
        <v>2226</v>
      </c>
      <c r="B1380" t="b">
        <f>IF(ISBLANK(NeoBerLab!$E$21),"",NeoBerLab!$E$21)</f>
        <v>0</v>
      </c>
      <c r="C1380" s="151" t="b">
        <v>0</v>
      </c>
      <c r="D1380" s="151" t="str">
        <f t="shared" si="21"/>
        <v>_Neo_Lab_12_18##ONWAAR</v>
      </c>
    </row>
    <row r="1381" spans="1:4" x14ac:dyDescent="0.2">
      <c r="A1381" s="151" t="s">
        <v>2227</v>
      </c>
      <c r="B1381" t="b">
        <f>IF(ISBLANK(NeoBerLab!$E$22),"",NeoBerLab!$E$22)</f>
        <v>0</v>
      </c>
      <c r="C1381" s="151" t="b">
        <v>0</v>
      </c>
      <c r="D1381" s="151" t="str">
        <f t="shared" si="21"/>
        <v>_Neo_Lab_12_19##ONWAAR</v>
      </c>
    </row>
    <row r="1382" spans="1:4" x14ac:dyDescent="0.2">
      <c r="A1382" s="151" t="s">
        <v>2228</v>
      </c>
      <c r="B1382" t="b">
        <f>IF(ISBLANK(NeoBerLab!$E$23),"",NeoBerLab!$E$23)</f>
        <v>0</v>
      </c>
      <c r="C1382" s="151" t="b">
        <v>0</v>
      </c>
      <c r="D1382" s="151" t="str">
        <f t="shared" si="21"/>
        <v>_Neo_Lab_12_20##ONWAAR</v>
      </c>
    </row>
    <row r="1383" spans="1:4" x14ac:dyDescent="0.2">
      <c r="A1383" s="151" t="s">
        <v>2229</v>
      </c>
      <c r="B1383" t="b">
        <f>IF(ISBLANK(NeoBerLab!$E$24),"",NeoBerLab!$E$24)</f>
        <v>0</v>
      </c>
      <c r="C1383" s="151" t="b">
        <v>0</v>
      </c>
      <c r="D1383" s="151" t="str">
        <f t="shared" si="21"/>
        <v>_Neo_Lab_12_21##ONWAAR</v>
      </c>
    </row>
    <row r="1384" spans="1:4" x14ac:dyDescent="0.2">
      <c r="A1384" s="151" t="s">
        <v>2230</v>
      </c>
      <c r="B1384" t="b">
        <f>IF(ISBLANK(NeoBerLab!$E$25),"",NeoBerLab!$E$25)</f>
        <v>0</v>
      </c>
      <c r="C1384" s="151" t="b">
        <v>0</v>
      </c>
      <c r="D1384" s="151" t="str">
        <f t="shared" si="21"/>
        <v>_Neo_Lab_12_22##ONWAAR</v>
      </c>
    </row>
    <row r="1385" spans="1:4" x14ac:dyDescent="0.2">
      <c r="A1385" s="151" t="s">
        <v>2231</v>
      </c>
      <c r="B1385" t="b">
        <f>IF(ISBLANK(NeoBerLab!$E$26),"",NeoBerLab!$E$26)</f>
        <v>0</v>
      </c>
      <c r="C1385" s="151" t="b">
        <v>0</v>
      </c>
      <c r="D1385" s="151" t="str">
        <f t="shared" si="21"/>
        <v>_Neo_Lab_12_23##ONWAAR</v>
      </c>
    </row>
    <row r="1386" spans="1:4" x14ac:dyDescent="0.2">
      <c r="A1386" s="151" t="s">
        <v>2232</v>
      </c>
      <c r="B1386" t="b">
        <f>IF(ISBLANK(NeoBerLab!$E$27),"",NeoBerLab!$E$27)</f>
        <v>0</v>
      </c>
      <c r="C1386" s="151" t="b">
        <v>0</v>
      </c>
      <c r="D1386" s="151" t="str">
        <f t="shared" si="21"/>
        <v>_Neo_Lab_12_24##ONWAAR</v>
      </c>
    </row>
    <row r="1387" spans="1:4" x14ac:dyDescent="0.2">
      <c r="A1387" s="151" t="s">
        <v>2233</v>
      </c>
      <c r="B1387" t="b">
        <f>IF(ISBLANK(NeoBerLab!$E$28),"",NeoBerLab!$E$28)</f>
        <v>0</v>
      </c>
      <c r="C1387" s="151" t="b">
        <v>0</v>
      </c>
      <c r="D1387" s="151" t="str">
        <f t="shared" si="21"/>
        <v>_Neo_Lab_12_25##ONWAAR</v>
      </c>
    </row>
    <row r="1388" spans="1:4" x14ac:dyDescent="0.2">
      <c r="A1388" s="151" t="s">
        <v>2234</v>
      </c>
      <c r="B1388" t="b">
        <f>IF(ISBLANK(NeoBerLab!$E$29),"",NeoBerLab!$E$29)</f>
        <v>0</v>
      </c>
      <c r="C1388" s="151" t="b">
        <v>0</v>
      </c>
      <c r="D1388" s="151" t="str">
        <f t="shared" si="21"/>
        <v>_Neo_Lab_12_26##ONWAAR</v>
      </c>
    </row>
    <row r="1389" spans="1:4" x14ac:dyDescent="0.2">
      <c r="A1389" s="151" t="s">
        <v>2235</v>
      </c>
      <c r="B1389" t="b">
        <f>IF(ISBLANK(NeoBerLab!$E$30),"",NeoBerLab!$E$30)</f>
        <v>0</v>
      </c>
      <c r="C1389" s="151" t="b">
        <v>0</v>
      </c>
      <c r="D1389" s="151" t="str">
        <f t="shared" si="21"/>
        <v>_Neo_Lab_12_27##ONWAAR</v>
      </c>
    </row>
    <row r="1390" spans="1:4" x14ac:dyDescent="0.2">
      <c r="A1390" s="151" t="s">
        <v>2236</v>
      </c>
      <c r="B1390" t="b">
        <f>IF(ISBLANK(NeoBerLab!$E$31),"",NeoBerLab!$E$31)</f>
        <v>0</v>
      </c>
      <c r="C1390" s="151" t="b">
        <v>0</v>
      </c>
      <c r="D1390" s="151" t="str">
        <f t="shared" si="21"/>
        <v>_Neo_Lab_12_28##ONWAAR</v>
      </c>
    </row>
    <row r="1391" spans="1:4" x14ac:dyDescent="0.2">
      <c r="A1391" s="151" t="s">
        <v>2237</v>
      </c>
      <c r="B1391" s="151" t="b">
        <f>IF(ISBLANK(NeoBerLab!$E$32),"",NeoBerLab!$E$32)</f>
        <v>0</v>
      </c>
      <c r="C1391" s="151" t="b">
        <v>0</v>
      </c>
      <c r="D1391" s="151" t="str">
        <f t="shared" si="21"/>
        <v>_Neo_Lab_12_29##ONWAAR</v>
      </c>
    </row>
    <row r="1392" spans="1:4" x14ac:dyDescent="0.2">
      <c r="A1392" s="151" t="s">
        <v>2238</v>
      </c>
      <c r="B1392" t="b">
        <f>IF(ISBLANK(NeoBerLab!$E$33),"",NeoBerLab!$E$33)</f>
        <v>0</v>
      </c>
      <c r="C1392" s="151" t="b">
        <v>0</v>
      </c>
      <c r="D1392" s="151" t="str">
        <f t="shared" si="21"/>
        <v>_Neo_Lab_12_30##ONWAAR</v>
      </c>
    </row>
    <row r="1393" spans="1:4" x14ac:dyDescent="0.2">
      <c r="A1393" s="151" t="s">
        <v>2239</v>
      </c>
      <c r="B1393" t="b">
        <f>IF(ISBLANK(NeoBerLab!$E$34),"",NeoBerLab!$E$34)</f>
        <v>0</v>
      </c>
      <c r="C1393" s="151" t="b">
        <v>0</v>
      </c>
      <c r="D1393" s="151" t="str">
        <f t="shared" si="21"/>
        <v>_Neo_Lab_12_31##ONWAAR</v>
      </c>
    </row>
    <row r="1394" spans="1:4" x14ac:dyDescent="0.2">
      <c r="A1394" s="151" t="s">
        <v>2240</v>
      </c>
      <c r="B1394" t="b">
        <f>IF(ISBLANK(NeoBerLab!$G$4),"",NeoBerLab!$G$4)</f>
        <v>0</v>
      </c>
      <c r="C1394" s="151" t="b">
        <v>0</v>
      </c>
      <c r="D1394" s="151" t="str">
        <f t="shared" si="21"/>
        <v>_Neo_Lab_16_01##ONWAAR</v>
      </c>
    </row>
    <row r="1395" spans="1:4" x14ac:dyDescent="0.2">
      <c r="A1395" s="151" t="s">
        <v>2241</v>
      </c>
      <c r="B1395" t="b">
        <f>IF(ISBLANK(NeoBerLab!$G$5),"",NeoBerLab!$G$5)</f>
        <v>0</v>
      </c>
      <c r="C1395" s="151" t="b">
        <v>0</v>
      </c>
      <c r="D1395" s="151" t="str">
        <f t="shared" si="21"/>
        <v>_Neo_Lab_16_02##ONWAAR</v>
      </c>
    </row>
    <row r="1396" spans="1:4" x14ac:dyDescent="0.2">
      <c r="A1396" s="151" t="s">
        <v>2242</v>
      </c>
      <c r="B1396" t="b">
        <f>IF(ISBLANK(NeoBerLab!$G$6),"",NeoBerLab!$G$6)</f>
        <v>0</v>
      </c>
      <c r="C1396" s="151" t="b">
        <v>0</v>
      </c>
      <c r="D1396" s="151" t="str">
        <f t="shared" si="21"/>
        <v>_Neo_Lab_16_03##ONWAAR</v>
      </c>
    </row>
    <row r="1397" spans="1:4" x14ac:dyDescent="0.2">
      <c r="A1397" s="151" t="s">
        <v>2243</v>
      </c>
      <c r="B1397" t="b">
        <f>IF(ISBLANK(NeoBerLab!$G$7),"",NeoBerLab!$G$7)</f>
        <v>0</v>
      </c>
      <c r="C1397" s="151" t="b">
        <v>0</v>
      </c>
      <c r="D1397" s="151" t="str">
        <f t="shared" si="21"/>
        <v>_Neo_Lab_16_04##ONWAAR</v>
      </c>
    </row>
    <row r="1398" spans="1:4" x14ac:dyDescent="0.2">
      <c r="A1398" s="151" t="s">
        <v>2244</v>
      </c>
      <c r="B1398" t="b">
        <f>IF(ISBLANK(NeoBerLab!$G$8),"",NeoBerLab!$G$8)</f>
        <v>0</v>
      </c>
      <c r="C1398" s="151" t="b">
        <v>0</v>
      </c>
      <c r="D1398" s="151" t="str">
        <f t="shared" si="21"/>
        <v>_Neo_Lab_16_05##ONWAAR</v>
      </c>
    </row>
    <row r="1399" spans="1:4" x14ac:dyDescent="0.2">
      <c r="A1399" s="151" t="s">
        <v>2245</v>
      </c>
      <c r="B1399" t="b">
        <f>IF(ISBLANK(NeoBerLab!$G$9),"",NeoBerLab!$G$9)</f>
        <v>0</v>
      </c>
      <c r="C1399" s="151" t="b">
        <v>0</v>
      </c>
      <c r="D1399" s="151" t="str">
        <f t="shared" si="21"/>
        <v>_Neo_Lab_16_06##ONWAAR</v>
      </c>
    </row>
    <row r="1400" spans="1:4" x14ac:dyDescent="0.2">
      <c r="A1400" s="151" t="s">
        <v>2246</v>
      </c>
      <c r="B1400" t="b">
        <f>IF(ISBLANK(NeoBerLab!$G$10),"",NeoBerLab!$G$10)</f>
        <v>0</v>
      </c>
      <c r="C1400" s="151" t="b">
        <v>0</v>
      </c>
      <c r="D1400" s="151" t="str">
        <f t="shared" si="21"/>
        <v>_Neo_Lab_16_07##ONWAAR</v>
      </c>
    </row>
    <row r="1401" spans="1:4" x14ac:dyDescent="0.2">
      <c r="A1401" s="151" t="s">
        <v>2247</v>
      </c>
      <c r="B1401" t="b">
        <f>IF(ISBLANK(NeoBerLab!$G$11),"",NeoBerLab!$G$11)</f>
        <v>0</v>
      </c>
      <c r="C1401" s="151" t="b">
        <v>0</v>
      </c>
      <c r="D1401" s="151" t="str">
        <f t="shared" si="21"/>
        <v>_Neo_Lab_16_08##ONWAAR</v>
      </c>
    </row>
    <row r="1402" spans="1:4" x14ac:dyDescent="0.2">
      <c r="A1402" s="151" t="s">
        <v>2248</v>
      </c>
      <c r="B1402" t="b">
        <f>IF(ISBLANK(NeoBerLab!$G$12),"",NeoBerLab!$G$12)</f>
        <v>0</v>
      </c>
      <c r="C1402" s="151" t="b">
        <v>0</v>
      </c>
      <c r="D1402" s="151" t="str">
        <f t="shared" si="21"/>
        <v>_Neo_Lab_16_09##ONWAAR</v>
      </c>
    </row>
    <row r="1403" spans="1:4" x14ac:dyDescent="0.2">
      <c r="A1403" s="151" t="s">
        <v>2249</v>
      </c>
      <c r="B1403" t="b">
        <f>IF(ISBLANK(NeoBerLab!$G$13),"",NeoBerLab!$G$13)</f>
        <v>0</v>
      </c>
      <c r="C1403" s="151" t="b">
        <v>0</v>
      </c>
      <c r="D1403" s="151" t="str">
        <f t="shared" si="21"/>
        <v>_Neo_Lab_16_10##ONWAAR</v>
      </c>
    </row>
    <row r="1404" spans="1:4" x14ac:dyDescent="0.2">
      <c r="A1404" s="151" t="s">
        <v>2250</v>
      </c>
      <c r="B1404" t="b">
        <f>IF(ISBLANK(NeoBerLab!$G$14),"",NeoBerLab!$G$14)</f>
        <v>0</v>
      </c>
      <c r="C1404" s="151" t="b">
        <v>0</v>
      </c>
      <c r="D1404" s="151" t="str">
        <f t="shared" si="21"/>
        <v>_Neo_Lab_16_11##ONWAAR</v>
      </c>
    </row>
    <row r="1405" spans="1:4" x14ac:dyDescent="0.2">
      <c r="A1405" s="151" t="s">
        <v>2251</v>
      </c>
      <c r="B1405" t="b">
        <f>IF(ISBLANK(NeoBerLab!$G$15),"",NeoBerLab!$G$15)</f>
        <v>0</v>
      </c>
      <c r="C1405" s="151" t="b">
        <v>0</v>
      </c>
      <c r="D1405" s="151" t="str">
        <f t="shared" si="21"/>
        <v>_Neo_Lab_16_12##ONWAAR</v>
      </c>
    </row>
    <row r="1406" spans="1:4" x14ac:dyDescent="0.2">
      <c r="A1406" s="151" t="s">
        <v>2252</v>
      </c>
      <c r="B1406" t="b">
        <f>IF(ISBLANK(NeoBerLab!$G$16),"",NeoBerLab!$G$16)</f>
        <v>0</v>
      </c>
      <c r="C1406" s="151" t="b">
        <v>0</v>
      </c>
      <c r="D1406" s="151" t="str">
        <f t="shared" si="21"/>
        <v>_Neo_Lab_16_13##ONWAAR</v>
      </c>
    </row>
    <row r="1407" spans="1:4" x14ac:dyDescent="0.2">
      <c r="A1407" s="151" t="s">
        <v>2253</v>
      </c>
      <c r="B1407" t="b">
        <f>IF(ISBLANK(NeoBerLab!$G$17),"",NeoBerLab!$G$17)</f>
        <v>0</v>
      </c>
      <c r="C1407" s="151" t="b">
        <v>0</v>
      </c>
      <c r="D1407" s="151" t="str">
        <f t="shared" si="21"/>
        <v>_Neo_Lab_16_14##ONWAAR</v>
      </c>
    </row>
    <row r="1408" spans="1:4" x14ac:dyDescent="0.2">
      <c r="A1408" s="151" t="s">
        <v>2254</v>
      </c>
      <c r="B1408" t="b">
        <f>IF(ISBLANK(NeoBerLab!$G$18),"",NeoBerLab!$G$18)</f>
        <v>0</v>
      </c>
      <c r="C1408" s="151" t="b">
        <v>0</v>
      </c>
      <c r="D1408" s="151" t="str">
        <f t="shared" si="21"/>
        <v>_Neo_Lab_16_15##ONWAAR</v>
      </c>
    </row>
    <row r="1409" spans="1:6" x14ac:dyDescent="0.2">
      <c r="A1409" s="151" t="s">
        <v>2255</v>
      </c>
      <c r="B1409" t="b">
        <f>IF(ISBLANK(NeoBerLab!$G$19),"",NeoBerLab!$G$19)</f>
        <v>0</v>
      </c>
      <c r="C1409" s="151" t="b">
        <v>0</v>
      </c>
      <c r="D1409" s="151" t="str">
        <f t="shared" si="21"/>
        <v>_Neo_Lab_16_16##ONWAAR</v>
      </c>
    </row>
    <row r="1410" spans="1:6" x14ac:dyDescent="0.2">
      <c r="A1410" s="151" t="s">
        <v>2256</v>
      </c>
      <c r="B1410" t="b">
        <f>IF(ISBLANK(NeoBerLab!$G$20),"",NeoBerLab!$G$20)</f>
        <v>0</v>
      </c>
      <c r="C1410" s="151" t="b">
        <v>0</v>
      </c>
      <c r="D1410" s="151" t="str">
        <f t="shared" si="21"/>
        <v>_Neo_Lab_16_17##ONWAAR</v>
      </c>
    </row>
    <row r="1411" spans="1:6" x14ac:dyDescent="0.2">
      <c r="A1411" s="151" t="s">
        <v>2257</v>
      </c>
      <c r="B1411" t="b">
        <f>IF(ISBLANK(NeoBerLab!$G$21),"",NeoBerLab!$G$21)</f>
        <v>0</v>
      </c>
      <c r="C1411" s="151" t="b">
        <v>0</v>
      </c>
      <c r="D1411" s="151" t="str">
        <f t="shared" ref="D1411:D1474" si="22">A1411&amp;"##"&amp;B1411</f>
        <v>_Neo_Lab_16_18##ONWAAR</v>
      </c>
    </row>
    <row r="1412" spans="1:6" x14ac:dyDescent="0.2">
      <c r="A1412" s="151" t="s">
        <v>2258</v>
      </c>
      <c r="B1412" t="b">
        <f>IF(ISBLANK(NeoBerLab!$G$22),"",NeoBerLab!$G$22)</f>
        <v>0</v>
      </c>
      <c r="C1412" s="151" t="b">
        <v>0</v>
      </c>
      <c r="D1412" s="151" t="str">
        <f t="shared" si="22"/>
        <v>_Neo_Lab_16_19##ONWAAR</v>
      </c>
    </row>
    <row r="1413" spans="1:6" x14ac:dyDescent="0.2">
      <c r="A1413" s="151" t="s">
        <v>2259</v>
      </c>
      <c r="B1413" t="b">
        <f>IF(ISBLANK(NeoBerLab!$G$23),"",NeoBerLab!$G$23)</f>
        <v>0</v>
      </c>
      <c r="C1413" s="151" t="b">
        <v>0</v>
      </c>
      <c r="D1413" s="151" t="str">
        <f t="shared" si="22"/>
        <v>_Neo_Lab_16_20##ONWAAR</v>
      </c>
    </row>
    <row r="1414" spans="1:6" x14ac:dyDescent="0.2">
      <c r="A1414" s="151" t="s">
        <v>2260</v>
      </c>
      <c r="B1414" t="b">
        <f>IF(ISBLANK(NeoBerLab!$G$24),"",NeoBerLab!$G$24)</f>
        <v>0</v>
      </c>
      <c r="C1414" s="151" t="b">
        <v>0</v>
      </c>
      <c r="D1414" s="151" t="str">
        <f t="shared" si="22"/>
        <v>_Neo_Lab_16_21##ONWAAR</v>
      </c>
    </row>
    <row r="1415" spans="1:6" x14ac:dyDescent="0.2">
      <c r="A1415" s="151" t="s">
        <v>2261</v>
      </c>
      <c r="B1415" t="b">
        <f>IF(ISBLANK(NeoBerLab!$G$25),"",NeoBerLab!$G$25)</f>
        <v>0</v>
      </c>
      <c r="C1415" s="151" t="b">
        <v>0</v>
      </c>
      <c r="D1415" s="151" t="str">
        <f t="shared" si="22"/>
        <v>_Neo_Lab_16_22##ONWAAR</v>
      </c>
    </row>
    <row r="1416" spans="1:6" x14ac:dyDescent="0.2">
      <c r="A1416" s="151" t="s">
        <v>2262</v>
      </c>
      <c r="B1416" t="b">
        <f>IF(ISBLANK(NeoBerLab!$G$26),"",NeoBerLab!$G$26)</f>
        <v>0</v>
      </c>
      <c r="C1416" s="151" t="b">
        <v>0</v>
      </c>
      <c r="D1416" s="151" t="str">
        <f t="shared" si="22"/>
        <v>_Neo_Lab_16_23##ONWAAR</v>
      </c>
    </row>
    <row r="1417" spans="1:6" x14ac:dyDescent="0.2">
      <c r="A1417" s="151" t="s">
        <v>2263</v>
      </c>
      <c r="B1417" t="b">
        <f>IF(ISBLANK(NeoBerLab!$G$27),"",NeoBerLab!$G$27)</f>
        <v>0</v>
      </c>
      <c r="C1417" s="151" t="b">
        <v>0</v>
      </c>
      <c r="D1417" s="151" t="str">
        <f t="shared" si="22"/>
        <v>_Neo_Lab_16_24##ONWAAR</v>
      </c>
    </row>
    <row r="1418" spans="1:6" s="151" customFormat="1" x14ac:dyDescent="0.2">
      <c r="A1418" s="151" t="s">
        <v>2264</v>
      </c>
      <c r="B1418" t="b">
        <f>IF(ISBLANK(NeoBerLab!$G$28),"",NeoBerLab!$G$28)</f>
        <v>0</v>
      </c>
      <c r="C1418" s="151" t="b">
        <v>0</v>
      </c>
      <c r="D1418" s="151" t="str">
        <f t="shared" si="22"/>
        <v>_Neo_Lab_16_25##ONWAAR</v>
      </c>
      <c r="E1418"/>
      <c r="F1418"/>
    </row>
    <row r="1419" spans="1:6" x14ac:dyDescent="0.2">
      <c r="A1419" s="151" t="s">
        <v>2265</v>
      </c>
      <c r="B1419" t="b">
        <f>IF(ISBLANK(NeoBerLab!$G$29),"",NeoBerLab!$G$29)</f>
        <v>0</v>
      </c>
      <c r="C1419" s="151" t="b">
        <v>0</v>
      </c>
      <c r="D1419" s="151" t="str">
        <f t="shared" si="22"/>
        <v>_Neo_Lab_16_26##ONWAAR</v>
      </c>
    </row>
    <row r="1420" spans="1:6" x14ac:dyDescent="0.2">
      <c r="A1420" s="151" t="s">
        <v>2266</v>
      </c>
      <c r="B1420" t="b">
        <f>IF(ISBLANK(NeoBerLab!$G$30),"",NeoBerLab!$G$30)</f>
        <v>0</v>
      </c>
      <c r="C1420" s="151" t="b">
        <v>0</v>
      </c>
      <c r="D1420" s="151" t="str">
        <f t="shared" si="22"/>
        <v>_Neo_Lab_16_27##ONWAAR</v>
      </c>
    </row>
    <row r="1421" spans="1:6" x14ac:dyDescent="0.2">
      <c r="A1421" s="151" t="s">
        <v>2267</v>
      </c>
      <c r="B1421" t="b">
        <f>IF(ISBLANK(NeoBerLab!$G$31),"",NeoBerLab!$G$31)</f>
        <v>0</v>
      </c>
      <c r="C1421" s="151" t="b">
        <v>0</v>
      </c>
      <c r="D1421" s="151" t="str">
        <f t="shared" si="22"/>
        <v>_Neo_Lab_16_28##ONWAAR</v>
      </c>
    </row>
    <row r="1422" spans="1:6" x14ac:dyDescent="0.2">
      <c r="A1422" s="151" t="s">
        <v>2268</v>
      </c>
      <c r="B1422" t="b">
        <f>IF(ISBLANK(NeoBerLab!$G$32),"",NeoBerLab!$G$32)</f>
        <v>0</v>
      </c>
      <c r="C1422" s="151" t="b">
        <v>0</v>
      </c>
      <c r="D1422" s="151" t="str">
        <f t="shared" si="22"/>
        <v>_Neo_Lab_16_29##ONWAAR</v>
      </c>
    </row>
    <row r="1423" spans="1:6" x14ac:dyDescent="0.2">
      <c r="A1423" s="151" t="s">
        <v>2269</v>
      </c>
      <c r="B1423" t="b">
        <f>IF(ISBLANK(NeoBerLab!$G$33),"",NeoBerLab!$G$33)</f>
        <v>0</v>
      </c>
      <c r="C1423" s="151" t="b">
        <v>0</v>
      </c>
      <c r="D1423" s="151" t="str">
        <f t="shared" si="22"/>
        <v>_Neo_Lab_16_30##ONWAAR</v>
      </c>
    </row>
    <row r="1424" spans="1:6" x14ac:dyDescent="0.2">
      <c r="A1424" s="151" t="s">
        <v>2270</v>
      </c>
      <c r="B1424" t="b">
        <f>IF(ISBLANK(NeoBerLab!$G$34),"",NeoBerLab!$G$34)</f>
        <v>0</v>
      </c>
      <c r="C1424" s="151" t="b">
        <v>0</v>
      </c>
      <c r="D1424" s="151" t="str">
        <f t="shared" si="22"/>
        <v>_Neo_Lab_16_31##ONWAAR</v>
      </c>
    </row>
    <row r="1425" spans="1:4" x14ac:dyDescent="0.2">
      <c r="A1425" s="151" t="s">
        <v>2271</v>
      </c>
      <c r="B1425" t="b">
        <f>IF(ISBLANK(NeoBerLab!$I$4),"",NeoBerLab!$I$4)</f>
        <v>0</v>
      </c>
      <c r="C1425" s="151" t="b">
        <v>0</v>
      </c>
      <c r="D1425" s="151" t="str">
        <f t="shared" si="22"/>
        <v>_Neo_Lab_20_01##ONWAAR</v>
      </c>
    </row>
    <row r="1426" spans="1:4" x14ac:dyDescent="0.2">
      <c r="A1426" s="151" t="s">
        <v>2272</v>
      </c>
      <c r="B1426" t="b">
        <f>IF(ISBLANK(NeoBerLab!$I$5),"",NeoBerLab!$I$5)</f>
        <v>0</v>
      </c>
      <c r="C1426" s="151" t="b">
        <v>0</v>
      </c>
      <c r="D1426" s="151" t="str">
        <f t="shared" si="22"/>
        <v>_Neo_Lab_20_02##ONWAAR</v>
      </c>
    </row>
    <row r="1427" spans="1:4" x14ac:dyDescent="0.2">
      <c r="A1427" s="151" t="s">
        <v>2273</v>
      </c>
      <c r="B1427" t="b">
        <f>IF(ISBLANK(NeoBerLab!$I$6),"",NeoBerLab!$I$6)</f>
        <v>0</v>
      </c>
      <c r="C1427" s="151" t="b">
        <v>0</v>
      </c>
      <c r="D1427" s="151" t="str">
        <f t="shared" si="22"/>
        <v>_Neo_Lab_20_03##ONWAAR</v>
      </c>
    </row>
    <row r="1428" spans="1:4" x14ac:dyDescent="0.2">
      <c r="A1428" s="151" t="s">
        <v>2274</v>
      </c>
      <c r="B1428" t="b">
        <f>IF(ISBLANK(NeoBerLab!$I$7),"",NeoBerLab!$I$7)</f>
        <v>0</v>
      </c>
      <c r="C1428" s="151" t="b">
        <v>0</v>
      </c>
      <c r="D1428" s="151" t="str">
        <f t="shared" si="22"/>
        <v>_Neo_Lab_20_04##ONWAAR</v>
      </c>
    </row>
    <row r="1429" spans="1:4" x14ac:dyDescent="0.2">
      <c r="A1429" s="151" t="s">
        <v>2275</v>
      </c>
      <c r="B1429" t="b">
        <f>IF(ISBLANK(NeoBerLab!$I$8),"",NeoBerLab!$I$8)</f>
        <v>0</v>
      </c>
      <c r="C1429" s="151" t="b">
        <v>0</v>
      </c>
      <c r="D1429" s="151" t="str">
        <f t="shared" si="22"/>
        <v>_Neo_Lab_20_05##ONWAAR</v>
      </c>
    </row>
    <row r="1430" spans="1:4" x14ac:dyDescent="0.2">
      <c r="A1430" s="151" t="s">
        <v>2276</v>
      </c>
      <c r="B1430" t="b">
        <f>IF(ISBLANK(NeoBerLab!$I$9),"",NeoBerLab!$I$9)</f>
        <v>0</v>
      </c>
      <c r="C1430" s="151" t="b">
        <v>0</v>
      </c>
      <c r="D1430" s="151" t="str">
        <f t="shared" si="22"/>
        <v>_Neo_Lab_20_06##ONWAAR</v>
      </c>
    </row>
    <row r="1431" spans="1:4" x14ac:dyDescent="0.2">
      <c r="A1431" s="151" t="s">
        <v>2277</v>
      </c>
      <c r="B1431" t="b">
        <f>IF(ISBLANK(NeoBerLab!$I$10),"",NeoBerLab!$I$10)</f>
        <v>0</v>
      </c>
      <c r="C1431" s="151" t="b">
        <v>0</v>
      </c>
      <c r="D1431" s="151" t="str">
        <f t="shared" si="22"/>
        <v>_Neo_Lab_20_07##ONWAAR</v>
      </c>
    </row>
    <row r="1432" spans="1:4" x14ac:dyDescent="0.2">
      <c r="A1432" s="151" t="s">
        <v>2278</v>
      </c>
      <c r="B1432" t="b">
        <f>IF(ISBLANK(NeoBerLab!$I$11),"",NeoBerLab!$I$11)</f>
        <v>0</v>
      </c>
      <c r="C1432" s="151" t="b">
        <v>0</v>
      </c>
      <c r="D1432" s="151" t="str">
        <f t="shared" si="22"/>
        <v>_Neo_Lab_20_08##ONWAAR</v>
      </c>
    </row>
    <row r="1433" spans="1:4" x14ac:dyDescent="0.2">
      <c r="A1433" s="151" t="s">
        <v>2279</v>
      </c>
      <c r="B1433" t="b">
        <f>IF(ISBLANK(NeoBerLab!$I$12),"",NeoBerLab!$I$12)</f>
        <v>0</v>
      </c>
      <c r="C1433" s="151" t="b">
        <v>0</v>
      </c>
      <c r="D1433" s="151" t="str">
        <f t="shared" si="22"/>
        <v>_Neo_Lab_20_09##ONWAAR</v>
      </c>
    </row>
    <row r="1434" spans="1:4" x14ac:dyDescent="0.2">
      <c r="A1434" s="151" t="s">
        <v>2280</v>
      </c>
      <c r="B1434" t="b">
        <f>IF(ISBLANK(NeoBerLab!$I$13),"",NeoBerLab!$I$13)</f>
        <v>0</v>
      </c>
      <c r="C1434" s="151" t="b">
        <v>0</v>
      </c>
      <c r="D1434" s="151" t="str">
        <f t="shared" si="22"/>
        <v>_Neo_Lab_20_10##ONWAAR</v>
      </c>
    </row>
    <row r="1435" spans="1:4" x14ac:dyDescent="0.2">
      <c r="A1435" s="151" t="s">
        <v>2281</v>
      </c>
      <c r="B1435" t="b">
        <f>IF(ISBLANK(NeoBerLab!$I$14),"",NeoBerLab!$I$14)</f>
        <v>0</v>
      </c>
      <c r="C1435" s="151" t="b">
        <v>0</v>
      </c>
      <c r="D1435" s="151" t="str">
        <f t="shared" si="22"/>
        <v>_Neo_Lab_20_11##ONWAAR</v>
      </c>
    </row>
    <row r="1436" spans="1:4" x14ac:dyDescent="0.2">
      <c r="A1436" s="151" t="s">
        <v>2282</v>
      </c>
      <c r="B1436" t="b">
        <f>IF(ISBLANK(NeoBerLab!$I$15),"",NeoBerLab!$I$15)</f>
        <v>0</v>
      </c>
      <c r="C1436" s="151" t="b">
        <v>0</v>
      </c>
      <c r="D1436" s="151" t="str">
        <f t="shared" si="22"/>
        <v>_Neo_Lab_20_12##ONWAAR</v>
      </c>
    </row>
    <row r="1437" spans="1:4" x14ac:dyDescent="0.2">
      <c r="A1437" s="151" t="s">
        <v>2283</v>
      </c>
      <c r="B1437" t="b">
        <f>IF(ISBLANK(NeoBerLab!$I$16),"",NeoBerLab!$I$16)</f>
        <v>0</v>
      </c>
      <c r="C1437" s="151" t="b">
        <v>0</v>
      </c>
      <c r="D1437" s="151" t="str">
        <f t="shared" si="22"/>
        <v>_Neo_Lab_20_13##ONWAAR</v>
      </c>
    </row>
    <row r="1438" spans="1:4" x14ac:dyDescent="0.2">
      <c r="A1438" s="151" t="s">
        <v>2284</v>
      </c>
      <c r="B1438" t="b">
        <f>IF(ISBLANK(NeoBerLab!$I$17),"",NeoBerLab!$I$17)</f>
        <v>0</v>
      </c>
      <c r="C1438" s="151" t="b">
        <v>0</v>
      </c>
      <c r="D1438" s="151" t="str">
        <f t="shared" si="22"/>
        <v>_Neo_Lab_20_14##ONWAAR</v>
      </c>
    </row>
    <row r="1439" spans="1:4" x14ac:dyDescent="0.2">
      <c r="A1439" s="151" t="s">
        <v>2285</v>
      </c>
      <c r="B1439" t="b">
        <f>IF(ISBLANK(NeoBerLab!$I$18),"",NeoBerLab!$I$18)</f>
        <v>0</v>
      </c>
      <c r="C1439" s="151" t="b">
        <v>0</v>
      </c>
      <c r="D1439" s="151" t="str">
        <f t="shared" si="22"/>
        <v>_Neo_Lab_20_15##ONWAAR</v>
      </c>
    </row>
    <row r="1440" spans="1:4" x14ac:dyDescent="0.2">
      <c r="A1440" s="151" t="s">
        <v>2286</v>
      </c>
      <c r="B1440" s="151" t="b">
        <f>IF(ISBLANK(NeoBerLab!$I$19),"",NeoBerLab!$I$19)</f>
        <v>0</v>
      </c>
      <c r="C1440" s="151" t="b">
        <v>0</v>
      </c>
      <c r="D1440" s="151" t="str">
        <f t="shared" si="22"/>
        <v>_Neo_Lab_20_16##ONWAAR</v>
      </c>
    </row>
    <row r="1441" spans="1:4" x14ac:dyDescent="0.2">
      <c r="A1441" s="151" t="s">
        <v>2287</v>
      </c>
      <c r="B1441" t="b">
        <f>IF(ISBLANK(NeoBerLab!$I$20),"",NeoBerLab!$I$20)</f>
        <v>0</v>
      </c>
      <c r="C1441" s="151" t="b">
        <v>0</v>
      </c>
      <c r="D1441" s="151" t="str">
        <f t="shared" si="22"/>
        <v>_Neo_Lab_20_17##ONWAAR</v>
      </c>
    </row>
    <row r="1442" spans="1:4" x14ac:dyDescent="0.2">
      <c r="A1442" s="151" t="s">
        <v>2288</v>
      </c>
      <c r="B1442" t="b">
        <f>IF(ISBLANK(NeoBerLab!$I$21),"",NeoBerLab!$I$21)</f>
        <v>0</v>
      </c>
      <c r="C1442" s="151" t="b">
        <v>0</v>
      </c>
      <c r="D1442" s="151" t="str">
        <f t="shared" si="22"/>
        <v>_Neo_Lab_20_18##ONWAAR</v>
      </c>
    </row>
    <row r="1443" spans="1:4" x14ac:dyDescent="0.2">
      <c r="A1443" s="151" t="s">
        <v>2289</v>
      </c>
      <c r="B1443" t="b">
        <f>IF(ISBLANK(NeoBerLab!$I$22),"",NeoBerLab!$I$22)</f>
        <v>0</v>
      </c>
      <c r="C1443" s="151" t="b">
        <v>0</v>
      </c>
      <c r="D1443" s="151" t="str">
        <f t="shared" si="22"/>
        <v>_Neo_Lab_20_19##ONWAAR</v>
      </c>
    </row>
    <row r="1444" spans="1:4" x14ac:dyDescent="0.2">
      <c r="A1444" s="151" t="s">
        <v>2290</v>
      </c>
      <c r="B1444" t="b">
        <f>IF(ISBLANK(NeoBerLab!$I$23),"",NeoBerLab!$I$23)</f>
        <v>0</v>
      </c>
      <c r="C1444" s="151" t="b">
        <v>0</v>
      </c>
      <c r="D1444" s="151" t="str">
        <f t="shared" si="22"/>
        <v>_Neo_Lab_20_20##ONWAAR</v>
      </c>
    </row>
    <row r="1445" spans="1:4" x14ac:dyDescent="0.2">
      <c r="A1445" s="151" t="s">
        <v>2291</v>
      </c>
      <c r="B1445" t="b">
        <f>IF(ISBLANK(NeoBerLab!$I$24),"",NeoBerLab!$I$24)</f>
        <v>0</v>
      </c>
      <c r="C1445" s="151" t="b">
        <v>0</v>
      </c>
      <c r="D1445" s="151" t="str">
        <f t="shared" si="22"/>
        <v>_Neo_Lab_20_21##ONWAAR</v>
      </c>
    </row>
    <row r="1446" spans="1:4" x14ac:dyDescent="0.2">
      <c r="A1446" s="151" t="s">
        <v>2292</v>
      </c>
      <c r="B1446" t="b">
        <f>IF(ISBLANK(NeoBerLab!$I$25),"",NeoBerLab!$I$25)</f>
        <v>0</v>
      </c>
      <c r="C1446" s="151" t="b">
        <v>0</v>
      </c>
      <c r="D1446" s="151" t="str">
        <f t="shared" si="22"/>
        <v>_Neo_Lab_20_22##ONWAAR</v>
      </c>
    </row>
    <row r="1447" spans="1:4" x14ac:dyDescent="0.2">
      <c r="A1447" s="151" t="s">
        <v>2293</v>
      </c>
      <c r="B1447" t="b">
        <f>IF(ISBLANK(NeoBerLab!$I$26),"",NeoBerLab!$I$26)</f>
        <v>0</v>
      </c>
      <c r="C1447" s="151" t="b">
        <v>0</v>
      </c>
      <c r="D1447" s="151" t="str">
        <f t="shared" si="22"/>
        <v>_Neo_Lab_20_23##ONWAAR</v>
      </c>
    </row>
    <row r="1448" spans="1:4" x14ac:dyDescent="0.2">
      <c r="A1448" s="151" t="s">
        <v>2294</v>
      </c>
      <c r="B1448" t="b">
        <f>IF(ISBLANK(NeoBerLab!$I$27),"",NeoBerLab!$I$27)</f>
        <v>0</v>
      </c>
      <c r="C1448" s="151" t="b">
        <v>0</v>
      </c>
      <c r="D1448" s="151" t="str">
        <f t="shared" si="22"/>
        <v>_Neo_Lab_20_24##ONWAAR</v>
      </c>
    </row>
    <row r="1449" spans="1:4" x14ac:dyDescent="0.2">
      <c r="A1449" s="151" t="s">
        <v>2295</v>
      </c>
      <c r="B1449" t="b">
        <f>IF(ISBLANK(NeoBerLab!$I$28),"",NeoBerLab!$I$28)</f>
        <v>0</v>
      </c>
      <c r="C1449" s="151" t="b">
        <v>0</v>
      </c>
      <c r="D1449" s="151" t="str">
        <f t="shared" si="22"/>
        <v>_Neo_Lab_20_25##ONWAAR</v>
      </c>
    </row>
    <row r="1450" spans="1:4" x14ac:dyDescent="0.2">
      <c r="A1450" s="151" t="s">
        <v>2296</v>
      </c>
      <c r="B1450" t="b">
        <f>IF(ISBLANK(NeoBerLab!$I$29),"",NeoBerLab!$I$29)</f>
        <v>0</v>
      </c>
      <c r="C1450" s="151" t="b">
        <v>0</v>
      </c>
      <c r="D1450" s="151" t="str">
        <f t="shared" si="22"/>
        <v>_Neo_Lab_20_26##ONWAAR</v>
      </c>
    </row>
    <row r="1451" spans="1:4" x14ac:dyDescent="0.2">
      <c r="A1451" s="151" t="s">
        <v>2297</v>
      </c>
      <c r="B1451" t="b">
        <f>IF(ISBLANK(NeoBerLab!$I$30),"",NeoBerLab!$I$30)</f>
        <v>0</v>
      </c>
      <c r="C1451" s="151" t="b">
        <v>0</v>
      </c>
      <c r="D1451" s="151" t="str">
        <f t="shared" si="22"/>
        <v>_Neo_Lab_20_27##ONWAAR</v>
      </c>
    </row>
    <row r="1452" spans="1:4" x14ac:dyDescent="0.2">
      <c r="A1452" s="151" t="s">
        <v>2298</v>
      </c>
      <c r="B1452" t="b">
        <f>IF(ISBLANK(NeoBerLab!$I$31),"",NeoBerLab!$I$31)</f>
        <v>0</v>
      </c>
      <c r="C1452" s="151" t="b">
        <v>0</v>
      </c>
      <c r="D1452" s="151" t="str">
        <f t="shared" si="22"/>
        <v>_Neo_Lab_20_28##ONWAAR</v>
      </c>
    </row>
    <row r="1453" spans="1:4" x14ac:dyDescent="0.2">
      <c r="A1453" s="151" t="s">
        <v>2299</v>
      </c>
      <c r="B1453" t="b">
        <f>IF(ISBLANK(NeoBerLab!$I$32),"",NeoBerLab!$I$32)</f>
        <v>0</v>
      </c>
      <c r="C1453" s="151" t="b">
        <v>0</v>
      </c>
      <c r="D1453" s="151" t="str">
        <f t="shared" si="22"/>
        <v>_Neo_Lab_20_29##ONWAAR</v>
      </c>
    </row>
    <row r="1454" spans="1:4" x14ac:dyDescent="0.2">
      <c r="A1454" s="151" t="s">
        <v>2300</v>
      </c>
      <c r="B1454" t="b">
        <f>IF(ISBLANK(NeoBerLab!$I$33),"",NeoBerLab!$I$33)</f>
        <v>0</v>
      </c>
      <c r="C1454" s="151" t="b">
        <v>0</v>
      </c>
      <c r="D1454" s="151" t="str">
        <f t="shared" si="22"/>
        <v>_Neo_Lab_20_30##ONWAAR</v>
      </c>
    </row>
    <row r="1455" spans="1:4" x14ac:dyDescent="0.2">
      <c r="A1455" s="151" t="s">
        <v>2301</v>
      </c>
      <c r="B1455" t="b">
        <f>IF(ISBLANK(NeoBerLab!$I$34),"",NeoBerLab!$I$34)</f>
        <v>0</v>
      </c>
      <c r="C1455" s="151" t="b">
        <v>0</v>
      </c>
      <c r="D1455" s="151" t="str">
        <f t="shared" si="22"/>
        <v>_Neo_Lab_20_31##ONWAAR</v>
      </c>
    </row>
    <row r="1456" spans="1:4" x14ac:dyDescent="0.2">
      <c r="A1456" s="151" t="s">
        <v>2302</v>
      </c>
      <c r="B1456" t="b">
        <f>IF(ISBLANK(NeoBerLab!$K$4),"",NeoBerLab!$K$4)</f>
        <v>0</v>
      </c>
      <c r="C1456" s="151" t="b">
        <v>0</v>
      </c>
      <c r="D1456" s="151" t="str">
        <f t="shared" si="22"/>
        <v>_Neo_Lab_24_01##ONWAAR</v>
      </c>
    </row>
    <row r="1457" spans="1:6" x14ac:dyDescent="0.2">
      <c r="A1457" s="151" t="s">
        <v>2303</v>
      </c>
      <c r="B1457" t="b">
        <f>IF(ISBLANK(NeoBerLab!$K$5),"",NeoBerLab!$K$5)</f>
        <v>0</v>
      </c>
      <c r="C1457" s="151" t="b">
        <v>0</v>
      </c>
      <c r="D1457" s="151" t="str">
        <f t="shared" si="22"/>
        <v>_Neo_Lab_24_02##ONWAAR</v>
      </c>
    </row>
    <row r="1458" spans="1:6" x14ac:dyDescent="0.2">
      <c r="A1458" s="151" t="s">
        <v>2304</v>
      </c>
      <c r="B1458" t="b">
        <f>IF(ISBLANK(NeoBerLab!$K$6),"",NeoBerLab!$K$6)</f>
        <v>0</v>
      </c>
      <c r="C1458" s="151" t="b">
        <v>0</v>
      </c>
      <c r="D1458" s="151" t="str">
        <f t="shared" si="22"/>
        <v>_Neo_Lab_24_03##ONWAAR</v>
      </c>
    </row>
    <row r="1459" spans="1:6" x14ac:dyDescent="0.2">
      <c r="A1459" s="151" t="s">
        <v>2305</v>
      </c>
      <c r="B1459" t="b">
        <f>IF(ISBLANK(NeoBerLab!$K$7),"",NeoBerLab!$K$7)</f>
        <v>0</v>
      </c>
      <c r="C1459" s="151" t="b">
        <v>0</v>
      </c>
      <c r="D1459" s="151" t="str">
        <f t="shared" si="22"/>
        <v>_Neo_Lab_24_04##ONWAAR</v>
      </c>
    </row>
    <row r="1460" spans="1:6" x14ac:dyDescent="0.2">
      <c r="A1460" s="151" t="s">
        <v>2306</v>
      </c>
      <c r="B1460" t="b">
        <f>IF(ISBLANK(NeoBerLab!$K$8),"",NeoBerLab!$K$8)</f>
        <v>0</v>
      </c>
      <c r="C1460" s="151" t="b">
        <v>0</v>
      </c>
      <c r="D1460" s="151" t="str">
        <f t="shared" si="22"/>
        <v>_Neo_Lab_24_05##ONWAAR</v>
      </c>
    </row>
    <row r="1461" spans="1:6" x14ac:dyDescent="0.2">
      <c r="A1461" s="151" t="s">
        <v>2307</v>
      </c>
      <c r="B1461" t="b">
        <f>IF(ISBLANK(NeoBerLab!$K$9),"",NeoBerLab!$K$9)</f>
        <v>0</v>
      </c>
      <c r="C1461" s="151" t="b">
        <v>0</v>
      </c>
      <c r="D1461" s="151" t="str">
        <f t="shared" si="22"/>
        <v>_Neo_Lab_24_06##ONWAAR</v>
      </c>
    </row>
    <row r="1462" spans="1:6" x14ac:dyDescent="0.2">
      <c r="A1462" s="151" t="s">
        <v>2308</v>
      </c>
      <c r="B1462" t="b">
        <f>IF(ISBLANK(NeoBerLab!$K$10),"",NeoBerLab!$K$10)</f>
        <v>0</v>
      </c>
      <c r="C1462" s="151" t="b">
        <v>0</v>
      </c>
      <c r="D1462" s="151" t="str">
        <f t="shared" si="22"/>
        <v>_Neo_Lab_24_07##ONWAAR</v>
      </c>
    </row>
    <row r="1463" spans="1:6" x14ac:dyDescent="0.2">
      <c r="A1463" s="151" t="s">
        <v>2309</v>
      </c>
      <c r="B1463" t="b">
        <f>IF(ISBLANK(NeoBerLab!$K$11),"",NeoBerLab!$K$11)</f>
        <v>0</v>
      </c>
      <c r="C1463" s="151" t="b">
        <v>0</v>
      </c>
      <c r="D1463" s="151" t="str">
        <f t="shared" si="22"/>
        <v>_Neo_Lab_24_08##ONWAAR</v>
      </c>
    </row>
    <row r="1464" spans="1:6" x14ac:dyDescent="0.2">
      <c r="A1464" s="151" t="s">
        <v>2310</v>
      </c>
      <c r="B1464" t="b">
        <f>IF(ISBLANK(NeoBerLab!$K$12),"",NeoBerLab!$K$12)</f>
        <v>0</v>
      </c>
      <c r="C1464" s="151" t="b">
        <v>0</v>
      </c>
      <c r="D1464" s="151" t="str">
        <f t="shared" si="22"/>
        <v>_Neo_Lab_24_09##ONWAAR</v>
      </c>
    </row>
    <row r="1465" spans="1:6" x14ac:dyDescent="0.2">
      <c r="A1465" s="151" t="s">
        <v>2311</v>
      </c>
      <c r="B1465" t="b">
        <f>IF(ISBLANK(NeoBerLab!$K$13),"",NeoBerLab!$K$13)</f>
        <v>0</v>
      </c>
      <c r="C1465" s="151" t="b">
        <v>0</v>
      </c>
      <c r="D1465" s="151" t="str">
        <f t="shared" si="22"/>
        <v>_Neo_Lab_24_10##ONWAAR</v>
      </c>
    </row>
    <row r="1466" spans="1:6" x14ac:dyDescent="0.2">
      <c r="A1466" s="151" t="s">
        <v>2312</v>
      </c>
      <c r="B1466" t="b">
        <f>IF(ISBLANK(NeoBerLab!$K$14),"",NeoBerLab!$K$14)</f>
        <v>0</v>
      </c>
      <c r="C1466" s="151" t="b">
        <v>0</v>
      </c>
      <c r="D1466" s="151" t="str">
        <f t="shared" si="22"/>
        <v>_Neo_Lab_24_11##ONWAAR</v>
      </c>
    </row>
    <row r="1467" spans="1:6" x14ac:dyDescent="0.2">
      <c r="A1467" s="151" t="s">
        <v>2313</v>
      </c>
      <c r="B1467" t="b">
        <f>IF(ISBLANK(NeoBerLab!$K$15),"",NeoBerLab!$K$15)</f>
        <v>0</v>
      </c>
      <c r="C1467" s="151" t="b">
        <v>0</v>
      </c>
      <c r="D1467" s="151" t="str">
        <f t="shared" si="22"/>
        <v>_Neo_Lab_24_12##ONWAAR</v>
      </c>
      <c r="F1467" s="151"/>
    </row>
    <row r="1468" spans="1:6" x14ac:dyDescent="0.2">
      <c r="A1468" s="151" t="s">
        <v>2314</v>
      </c>
      <c r="B1468" t="b">
        <f>IF(ISBLANK(NeoBerLab!$K$16),"",NeoBerLab!$K$16)</f>
        <v>0</v>
      </c>
      <c r="C1468" s="151" t="b">
        <v>0</v>
      </c>
      <c r="D1468" s="151" t="str">
        <f t="shared" si="22"/>
        <v>_Neo_Lab_24_13##ONWAAR</v>
      </c>
      <c r="F1468" s="151"/>
    </row>
    <row r="1469" spans="1:6" x14ac:dyDescent="0.2">
      <c r="A1469" s="151" t="s">
        <v>2315</v>
      </c>
      <c r="B1469" t="b">
        <f>IF(ISBLANK(NeoBerLab!$K$17),"",NeoBerLab!$K$17)</f>
        <v>0</v>
      </c>
      <c r="C1469" s="151" t="b">
        <v>0</v>
      </c>
      <c r="D1469" s="151" t="str">
        <f t="shared" si="22"/>
        <v>_Neo_Lab_24_14##ONWAAR</v>
      </c>
      <c r="F1469" s="151"/>
    </row>
    <row r="1470" spans="1:6" x14ac:dyDescent="0.2">
      <c r="A1470" s="151" t="s">
        <v>2316</v>
      </c>
      <c r="B1470" t="b">
        <f>IF(ISBLANK(NeoBerLab!$K$18),"",NeoBerLab!$K$18)</f>
        <v>0</v>
      </c>
      <c r="C1470" s="151" t="b">
        <v>0</v>
      </c>
      <c r="D1470" s="151" t="str">
        <f t="shared" si="22"/>
        <v>_Neo_Lab_24_15##ONWAAR</v>
      </c>
    </row>
    <row r="1471" spans="1:6" x14ac:dyDescent="0.2">
      <c r="A1471" s="151" t="s">
        <v>2317</v>
      </c>
      <c r="B1471" t="b">
        <f>IF(ISBLANK(NeoBerLab!$K$19),"",NeoBerLab!$K$19)</f>
        <v>0</v>
      </c>
      <c r="C1471" s="151" t="b">
        <v>0</v>
      </c>
      <c r="D1471" s="151" t="str">
        <f t="shared" si="22"/>
        <v>_Neo_Lab_24_16##ONWAAR</v>
      </c>
    </row>
    <row r="1472" spans="1:6" x14ac:dyDescent="0.2">
      <c r="A1472" s="151" t="s">
        <v>2318</v>
      </c>
      <c r="B1472" t="b">
        <f>IF(ISBLANK(NeoBerLab!$K$20),"",NeoBerLab!$K$20)</f>
        <v>0</v>
      </c>
      <c r="C1472" s="151" t="b">
        <v>0</v>
      </c>
      <c r="D1472" s="151" t="str">
        <f t="shared" si="22"/>
        <v>_Neo_Lab_24_17##ONWAAR</v>
      </c>
    </row>
    <row r="1473" spans="1:4" x14ac:dyDescent="0.2">
      <c r="A1473" s="151" t="s">
        <v>2319</v>
      </c>
      <c r="B1473" t="b">
        <f>IF(ISBLANK(NeoBerLab!$K$21),"",NeoBerLab!$K$21)</f>
        <v>0</v>
      </c>
      <c r="C1473" s="151" t="b">
        <v>0</v>
      </c>
      <c r="D1473" s="151" t="str">
        <f t="shared" si="22"/>
        <v>_Neo_Lab_24_18##ONWAAR</v>
      </c>
    </row>
    <row r="1474" spans="1:4" x14ac:dyDescent="0.2">
      <c r="A1474" s="151" t="s">
        <v>2320</v>
      </c>
      <c r="B1474" t="b">
        <f>IF(ISBLANK(NeoBerLab!$K$22),"",NeoBerLab!$K$22)</f>
        <v>0</v>
      </c>
      <c r="C1474" s="151" t="b">
        <v>0</v>
      </c>
      <c r="D1474" s="151" t="str">
        <f t="shared" si="22"/>
        <v>_Neo_Lab_24_19##ONWAAR</v>
      </c>
    </row>
    <row r="1475" spans="1:4" x14ac:dyDescent="0.2">
      <c r="A1475" s="151" t="s">
        <v>2321</v>
      </c>
      <c r="B1475" t="b">
        <f>IF(ISBLANK(NeoBerLab!$K$23),"",NeoBerLab!$K$23)</f>
        <v>0</v>
      </c>
      <c r="C1475" s="151" t="b">
        <v>0</v>
      </c>
      <c r="D1475" s="151" t="str">
        <f t="shared" ref="D1475:D1538" si="23">A1475&amp;"##"&amp;B1475</f>
        <v>_Neo_Lab_24_20##ONWAAR</v>
      </c>
    </row>
    <row r="1476" spans="1:4" x14ac:dyDescent="0.2">
      <c r="A1476" s="151" t="s">
        <v>2322</v>
      </c>
      <c r="B1476" t="b">
        <f>IF(ISBLANK(NeoBerLab!$K$24),"",NeoBerLab!$K$24)</f>
        <v>0</v>
      </c>
      <c r="C1476" s="151" t="b">
        <v>0</v>
      </c>
      <c r="D1476" s="151" t="str">
        <f t="shared" si="23"/>
        <v>_Neo_Lab_24_21##ONWAAR</v>
      </c>
    </row>
    <row r="1477" spans="1:4" x14ac:dyDescent="0.2">
      <c r="A1477" s="151" t="s">
        <v>2323</v>
      </c>
      <c r="B1477" t="b">
        <f>IF(ISBLANK(NeoBerLab!$K$25),"",NeoBerLab!$K$25)</f>
        <v>0</v>
      </c>
      <c r="C1477" s="151" t="b">
        <v>0</v>
      </c>
      <c r="D1477" s="151" t="str">
        <f t="shared" si="23"/>
        <v>_Neo_Lab_24_22##ONWAAR</v>
      </c>
    </row>
    <row r="1478" spans="1:4" x14ac:dyDescent="0.2">
      <c r="A1478" s="151" t="s">
        <v>2324</v>
      </c>
      <c r="B1478" t="b">
        <f>IF(ISBLANK(NeoBerLab!$K$26),"",NeoBerLab!$K$26)</f>
        <v>0</v>
      </c>
      <c r="C1478" s="151" t="b">
        <v>0</v>
      </c>
      <c r="D1478" s="151" t="str">
        <f t="shared" si="23"/>
        <v>_Neo_Lab_24_23##ONWAAR</v>
      </c>
    </row>
    <row r="1479" spans="1:4" x14ac:dyDescent="0.2">
      <c r="A1479" s="151" t="s">
        <v>2325</v>
      </c>
      <c r="B1479" t="b">
        <f>IF(ISBLANK(NeoBerLab!$K$27),"",NeoBerLab!$K$27)</f>
        <v>0</v>
      </c>
      <c r="C1479" s="151" t="b">
        <v>0</v>
      </c>
      <c r="D1479" s="151" t="str">
        <f t="shared" si="23"/>
        <v>_Neo_Lab_24_24##ONWAAR</v>
      </c>
    </row>
    <row r="1480" spans="1:4" x14ac:dyDescent="0.2">
      <c r="A1480" s="151" t="s">
        <v>2326</v>
      </c>
      <c r="B1480" t="b">
        <f>IF(ISBLANK(NeoBerLab!$K$28),"",NeoBerLab!$K$28)</f>
        <v>0</v>
      </c>
      <c r="C1480" s="151" t="b">
        <v>0</v>
      </c>
      <c r="D1480" s="151" t="str">
        <f t="shared" si="23"/>
        <v>_Neo_Lab_24_25##ONWAAR</v>
      </c>
    </row>
    <row r="1481" spans="1:4" x14ac:dyDescent="0.2">
      <c r="A1481" s="151" t="s">
        <v>2327</v>
      </c>
      <c r="B1481" t="b">
        <f>IF(ISBLANK(NeoBerLab!$K$29),"",NeoBerLab!$K$29)</f>
        <v>0</v>
      </c>
      <c r="C1481" s="151" t="b">
        <v>0</v>
      </c>
      <c r="D1481" s="151" t="str">
        <f t="shared" si="23"/>
        <v>_Neo_Lab_24_26##ONWAAR</v>
      </c>
    </row>
    <row r="1482" spans="1:4" x14ac:dyDescent="0.2">
      <c r="A1482" s="151" t="s">
        <v>2328</v>
      </c>
      <c r="B1482" t="b">
        <f>IF(ISBLANK(NeoBerLab!$K$30),"",NeoBerLab!$K$30)</f>
        <v>0</v>
      </c>
      <c r="C1482" s="151" t="b">
        <v>0</v>
      </c>
      <c r="D1482" s="151" t="str">
        <f t="shared" si="23"/>
        <v>_Neo_Lab_24_27##ONWAAR</v>
      </c>
    </row>
    <row r="1483" spans="1:4" x14ac:dyDescent="0.2">
      <c r="A1483" s="151" t="s">
        <v>2329</v>
      </c>
      <c r="B1483" t="b">
        <f>IF(ISBLANK(NeoBerLab!$K$31),"",NeoBerLab!$K$31)</f>
        <v>0</v>
      </c>
      <c r="C1483" s="151" t="b">
        <v>0</v>
      </c>
      <c r="D1483" s="151" t="str">
        <f t="shared" si="23"/>
        <v>_Neo_Lab_24_28##ONWAAR</v>
      </c>
    </row>
    <row r="1484" spans="1:4" x14ac:dyDescent="0.2">
      <c r="A1484" s="151" t="s">
        <v>2330</v>
      </c>
      <c r="B1484" t="b">
        <f>IF(ISBLANK(NeoBerLab!$K$32),"",NeoBerLab!$K$32)</f>
        <v>0</v>
      </c>
      <c r="C1484" s="151" t="b">
        <v>0</v>
      </c>
      <c r="D1484" s="151" t="str">
        <f t="shared" si="23"/>
        <v>_Neo_Lab_24_29##ONWAAR</v>
      </c>
    </row>
    <row r="1485" spans="1:4" x14ac:dyDescent="0.2">
      <c r="A1485" s="151" t="s">
        <v>2331</v>
      </c>
      <c r="B1485" t="b">
        <f>IF(ISBLANK(NeoBerLab!$K$33),"",NeoBerLab!$K$33)</f>
        <v>0</v>
      </c>
      <c r="C1485" s="151" t="b">
        <v>0</v>
      </c>
      <c r="D1485" s="151" t="str">
        <f t="shared" si="23"/>
        <v>_Neo_Lab_24_30##ONWAAR</v>
      </c>
    </row>
    <row r="1486" spans="1:4" x14ac:dyDescent="0.2">
      <c r="A1486" s="151" t="s">
        <v>2332</v>
      </c>
      <c r="B1486" t="b">
        <f>IF(ISBLANK(NeoBerLab!$K$34),"",NeoBerLab!$K$34)</f>
        <v>0</v>
      </c>
      <c r="C1486" s="151" t="b">
        <v>0</v>
      </c>
      <c r="D1486" s="151" t="str">
        <f t="shared" si="23"/>
        <v>_Neo_Lab_24_31##ONWAAR</v>
      </c>
    </row>
    <row r="1487" spans="1:4" x14ac:dyDescent="0.2">
      <c r="A1487" s="151" t="s">
        <v>2333</v>
      </c>
      <c r="B1487" t="b">
        <f>IF(ISBLANK(NeoBerLab!$O$4),"",NeoBerLab!$O$4)</f>
        <v>0</v>
      </c>
      <c r="C1487" s="151" t="b">
        <v>0</v>
      </c>
      <c r="D1487" s="151" t="str">
        <f t="shared" si="23"/>
        <v>_Neo_Lab_Dag1_01##ONWAAR</v>
      </c>
    </row>
    <row r="1488" spans="1:4" x14ac:dyDescent="0.2">
      <c r="A1488" s="151" t="s">
        <v>2334</v>
      </c>
      <c r="B1488" t="b">
        <f>IF(ISBLANK(NeoBerLab!$O$5),"",NeoBerLab!$O$5)</f>
        <v>0</v>
      </c>
      <c r="C1488" s="151" t="b">
        <v>0</v>
      </c>
      <c r="D1488" s="151" t="str">
        <f t="shared" si="23"/>
        <v>_Neo_Lab_Dag1_02##ONWAAR</v>
      </c>
    </row>
    <row r="1489" spans="1:6" x14ac:dyDescent="0.2">
      <c r="A1489" s="151" t="s">
        <v>2335</v>
      </c>
      <c r="B1489" t="b">
        <f>IF(ISBLANK(NeoBerLab!$O$6),"",NeoBerLab!$O$6)</f>
        <v>0</v>
      </c>
      <c r="C1489" s="151" t="b">
        <v>0</v>
      </c>
      <c r="D1489" s="151" t="str">
        <f t="shared" si="23"/>
        <v>_Neo_Lab_Dag1_03##ONWAAR</v>
      </c>
    </row>
    <row r="1490" spans="1:6" x14ac:dyDescent="0.2">
      <c r="A1490" s="151" t="s">
        <v>2336</v>
      </c>
      <c r="B1490" t="b">
        <f>IF(ISBLANK(NeoBerLab!$O$7),"",NeoBerLab!$O$7)</f>
        <v>0</v>
      </c>
      <c r="C1490" s="151" t="b">
        <v>0</v>
      </c>
      <c r="D1490" s="151" t="str">
        <f t="shared" si="23"/>
        <v>_Neo_Lab_Dag1_04##ONWAAR</v>
      </c>
    </row>
    <row r="1491" spans="1:6" x14ac:dyDescent="0.2">
      <c r="A1491" s="151" t="s">
        <v>2337</v>
      </c>
      <c r="B1491" t="b">
        <f>IF(ISBLANK(NeoBerLab!$O$8),"",NeoBerLab!$O$8)</f>
        <v>0</v>
      </c>
      <c r="C1491" s="151" t="b">
        <v>0</v>
      </c>
      <c r="D1491" s="151" t="str">
        <f t="shared" si="23"/>
        <v>_Neo_Lab_Dag1_05##ONWAAR</v>
      </c>
    </row>
    <row r="1492" spans="1:6" x14ac:dyDescent="0.2">
      <c r="A1492" s="151" t="s">
        <v>2338</v>
      </c>
      <c r="B1492" t="b">
        <f>IF(ISBLANK(NeoBerLab!$O$9),"",NeoBerLab!$O$9)</f>
        <v>0</v>
      </c>
      <c r="C1492" s="151" t="b">
        <v>0</v>
      </c>
      <c r="D1492" s="151" t="str">
        <f t="shared" si="23"/>
        <v>_Neo_Lab_Dag1_06##ONWAAR</v>
      </c>
    </row>
    <row r="1493" spans="1:6" x14ac:dyDescent="0.2">
      <c r="A1493" s="151" t="s">
        <v>2339</v>
      </c>
      <c r="B1493" t="b">
        <f>IF(ISBLANK(NeoBerLab!$O$10),"",NeoBerLab!$O$10)</f>
        <v>0</v>
      </c>
      <c r="C1493" s="151" t="b">
        <v>0</v>
      </c>
      <c r="D1493" s="151" t="str">
        <f t="shared" si="23"/>
        <v>_Neo_Lab_Dag1_07##ONWAAR</v>
      </c>
      <c r="F1493" s="151"/>
    </row>
    <row r="1494" spans="1:6" x14ac:dyDescent="0.2">
      <c r="A1494" s="151" t="s">
        <v>2340</v>
      </c>
      <c r="B1494" t="b">
        <f>IF(ISBLANK(NeoBerLab!$O$11),"",NeoBerLab!$O$11)</f>
        <v>0</v>
      </c>
      <c r="C1494" s="151" t="b">
        <v>0</v>
      </c>
      <c r="D1494" s="151" t="str">
        <f t="shared" si="23"/>
        <v>_Neo_Lab_Dag1_08##ONWAAR</v>
      </c>
    </row>
    <row r="1495" spans="1:6" x14ac:dyDescent="0.2">
      <c r="A1495" s="151" t="s">
        <v>2341</v>
      </c>
      <c r="B1495" t="b">
        <f>IF(ISBLANK(NeoBerLab!$O$12),"",NeoBerLab!$O$12)</f>
        <v>0</v>
      </c>
      <c r="C1495" s="151" t="b">
        <v>0</v>
      </c>
      <c r="D1495" s="151" t="str">
        <f t="shared" si="23"/>
        <v>_Neo_Lab_Dag1_09##ONWAAR</v>
      </c>
    </row>
    <row r="1496" spans="1:6" x14ac:dyDescent="0.2">
      <c r="A1496" s="151" t="s">
        <v>2342</v>
      </c>
      <c r="B1496" t="b">
        <f>IF(ISBLANK(NeoBerLab!$O$13),"",NeoBerLab!$O$13)</f>
        <v>0</v>
      </c>
      <c r="C1496" s="151" t="b">
        <v>0</v>
      </c>
      <c r="D1496" s="151" t="str">
        <f t="shared" si="23"/>
        <v>_Neo_Lab_Dag1_10##ONWAAR</v>
      </c>
    </row>
    <row r="1497" spans="1:6" x14ac:dyDescent="0.2">
      <c r="A1497" s="151" t="s">
        <v>2343</v>
      </c>
      <c r="B1497" t="b">
        <f>IF(ISBLANK(NeoBerLab!$O$14),"",NeoBerLab!$O$14)</f>
        <v>0</v>
      </c>
      <c r="C1497" s="151" t="b">
        <v>0</v>
      </c>
      <c r="D1497" s="151" t="str">
        <f t="shared" si="23"/>
        <v>_Neo_Lab_Dag1_11##ONWAAR</v>
      </c>
      <c r="E1497" s="151"/>
    </row>
    <row r="1498" spans="1:6" x14ac:dyDescent="0.2">
      <c r="A1498" s="151" t="s">
        <v>2344</v>
      </c>
      <c r="B1498" t="b">
        <f>IF(ISBLANK(NeoBerLab!$O$15),"",NeoBerLab!$O$15)</f>
        <v>0</v>
      </c>
      <c r="C1498" s="151" t="b">
        <v>0</v>
      </c>
      <c r="D1498" s="151" t="str">
        <f t="shared" si="23"/>
        <v>_Neo_Lab_Dag1_12##ONWAAR</v>
      </c>
      <c r="E1498" s="151"/>
    </row>
    <row r="1499" spans="1:6" x14ac:dyDescent="0.2">
      <c r="A1499" s="151" t="s">
        <v>2345</v>
      </c>
      <c r="B1499" t="b">
        <f>IF(ISBLANK(NeoBerLab!$O$16),"",NeoBerLab!$O$16)</f>
        <v>0</v>
      </c>
      <c r="C1499" s="151" t="b">
        <v>0</v>
      </c>
      <c r="D1499" s="151" t="str">
        <f t="shared" si="23"/>
        <v>_Neo_Lab_Dag1_13##ONWAAR</v>
      </c>
      <c r="E1499" s="151"/>
    </row>
    <row r="1500" spans="1:6" x14ac:dyDescent="0.2">
      <c r="A1500" s="151" t="s">
        <v>2346</v>
      </c>
      <c r="B1500" t="b">
        <f>IF(ISBLANK(NeoBerLab!$O$17),"",NeoBerLab!$O$17)</f>
        <v>0</v>
      </c>
      <c r="C1500" s="151" t="b">
        <v>0</v>
      </c>
      <c r="D1500" s="151" t="str">
        <f t="shared" si="23"/>
        <v>_Neo_Lab_Dag1_14##ONWAAR</v>
      </c>
    </row>
    <row r="1501" spans="1:6" x14ac:dyDescent="0.2">
      <c r="A1501" s="151" t="s">
        <v>2347</v>
      </c>
      <c r="B1501" t="b">
        <f>IF(ISBLANK(NeoBerLab!$O$18),"",NeoBerLab!$O$18)</f>
        <v>0</v>
      </c>
      <c r="C1501" s="151" t="b">
        <v>0</v>
      </c>
      <c r="D1501" s="151" t="str">
        <f t="shared" si="23"/>
        <v>_Neo_Lab_Dag1_15##ONWAAR</v>
      </c>
    </row>
    <row r="1502" spans="1:6" x14ac:dyDescent="0.2">
      <c r="A1502" s="151" t="s">
        <v>2348</v>
      </c>
      <c r="B1502" t="b">
        <f>IF(ISBLANK(NeoBerLab!$O$19),"",NeoBerLab!$O$19)</f>
        <v>0</v>
      </c>
      <c r="C1502" s="151" t="b">
        <v>0</v>
      </c>
      <c r="D1502" s="151" t="str">
        <f t="shared" si="23"/>
        <v>_Neo_Lab_Dag1_16##ONWAAR</v>
      </c>
    </row>
    <row r="1503" spans="1:6" x14ac:dyDescent="0.2">
      <c r="A1503" s="151" t="s">
        <v>2349</v>
      </c>
      <c r="B1503" t="b">
        <f>IF(ISBLANK(NeoBerLab!$O$20),"",NeoBerLab!$O$20)</f>
        <v>0</v>
      </c>
      <c r="C1503" s="151" t="b">
        <v>0</v>
      </c>
      <c r="D1503" s="151" t="str">
        <f t="shared" si="23"/>
        <v>_Neo_Lab_Dag1_17##ONWAAR</v>
      </c>
    </row>
    <row r="1504" spans="1:6" x14ac:dyDescent="0.2">
      <c r="A1504" s="151" t="s">
        <v>2350</v>
      </c>
      <c r="B1504" t="b">
        <f>IF(ISBLANK(NeoBerLab!$O$21),"",NeoBerLab!$O$21)</f>
        <v>0</v>
      </c>
      <c r="C1504" s="151" t="b">
        <v>0</v>
      </c>
      <c r="D1504" s="151" t="str">
        <f t="shared" si="23"/>
        <v>_Neo_Lab_Dag1_18##ONWAAR</v>
      </c>
    </row>
    <row r="1505" spans="1:4" x14ac:dyDescent="0.2">
      <c r="A1505" s="151" t="s">
        <v>2351</v>
      </c>
      <c r="B1505" t="b">
        <f>IF(ISBLANK(NeoBerLab!$O$22),"",NeoBerLab!$O$22)</f>
        <v>0</v>
      </c>
      <c r="C1505" s="151" t="b">
        <v>0</v>
      </c>
      <c r="D1505" s="151" t="str">
        <f t="shared" si="23"/>
        <v>_Neo_Lab_Dag1_19##ONWAAR</v>
      </c>
    </row>
    <row r="1506" spans="1:4" x14ac:dyDescent="0.2">
      <c r="A1506" s="151" t="s">
        <v>2352</v>
      </c>
      <c r="B1506" t="b">
        <f>IF(ISBLANK(NeoBerLab!$O$23),"",NeoBerLab!$O$23)</f>
        <v>0</v>
      </c>
      <c r="C1506" s="151" t="b">
        <v>0</v>
      </c>
      <c r="D1506" s="151" t="str">
        <f t="shared" si="23"/>
        <v>_Neo_Lab_Dag1_20##ONWAAR</v>
      </c>
    </row>
    <row r="1507" spans="1:4" x14ac:dyDescent="0.2">
      <c r="A1507" s="151" t="s">
        <v>2353</v>
      </c>
      <c r="B1507" t="b">
        <f>IF(ISBLANK(NeoBerLab!$O$24),"",NeoBerLab!$O$24)</f>
        <v>0</v>
      </c>
      <c r="C1507" s="151" t="b">
        <v>0</v>
      </c>
      <c r="D1507" s="151" t="str">
        <f t="shared" si="23"/>
        <v>_Neo_Lab_Dag1_21##ONWAAR</v>
      </c>
    </row>
    <row r="1508" spans="1:4" x14ac:dyDescent="0.2">
      <c r="A1508" s="151" t="s">
        <v>2354</v>
      </c>
      <c r="B1508" t="b">
        <f>IF(ISBLANK(NeoBerLab!$O$25),"",NeoBerLab!$O$25)</f>
        <v>0</v>
      </c>
      <c r="C1508" s="151" t="b">
        <v>0</v>
      </c>
      <c r="D1508" s="151" t="str">
        <f t="shared" si="23"/>
        <v>_Neo_Lab_Dag1_22##ONWAAR</v>
      </c>
    </row>
    <row r="1509" spans="1:4" x14ac:dyDescent="0.2">
      <c r="A1509" s="151" t="s">
        <v>2355</v>
      </c>
      <c r="B1509" t="b">
        <f>IF(ISBLANK(NeoBerLab!$O$26),"",NeoBerLab!$O$26)</f>
        <v>0</v>
      </c>
      <c r="C1509" s="151" t="b">
        <v>0</v>
      </c>
      <c r="D1509" s="151" t="str">
        <f t="shared" si="23"/>
        <v>_Neo_Lab_Dag1_23##ONWAAR</v>
      </c>
    </row>
    <row r="1510" spans="1:4" x14ac:dyDescent="0.2">
      <c r="A1510" s="151" t="s">
        <v>2356</v>
      </c>
      <c r="B1510" t="b">
        <f>IF(ISBLANK(NeoBerLab!$O$27),"",NeoBerLab!$O$27)</f>
        <v>0</v>
      </c>
      <c r="C1510" s="151" t="b">
        <v>0</v>
      </c>
      <c r="D1510" s="151" t="str">
        <f t="shared" si="23"/>
        <v>_Neo_Lab_Dag1_24##ONWAAR</v>
      </c>
    </row>
    <row r="1511" spans="1:4" x14ac:dyDescent="0.2">
      <c r="A1511" s="151" t="s">
        <v>2357</v>
      </c>
      <c r="B1511" t="b">
        <f>IF(ISBLANK(NeoBerLab!$O$28),"",NeoBerLab!$O$28)</f>
        <v>0</v>
      </c>
      <c r="C1511" s="151" t="b">
        <v>0</v>
      </c>
      <c r="D1511" s="151" t="str">
        <f t="shared" si="23"/>
        <v>_Neo_Lab_Dag1_25##ONWAAR</v>
      </c>
    </row>
    <row r="1512" spans="1:4" x14ac:dyDescent="0.2">
      <c r="A1512" s="151" t="s">
        <v>2358</v>
      </c>
      <c r="B1512" t="b">
        <f>IF(ISBLANK(NeoBerLab!$O$29),"",NeoBerLab!$O$29)</f>
        <v>0</v>
      </c>
      <c r="C1512" s="151" t="b">
        <v>0</v>
      </c>
      <c r="D1512" s="151" t="str">
        <f t="shared" si="23"/>
        <v>_Neo_Lab_Dag1_26##ONWAAR</v>
      </c>
    </row>
    <row r="1513" spans="1:4" x14ac:dyDescent="0.2">
      <c r="A1513" s="151" t="s">
        <v>2359</v>
      </c>
      <c r="B1513" t="b">
        <f>IF(ISBLANK(NeoBerLab!$O$30),"",NeoBerLab!$O$30)</f>
        <v>0</v>
      </c>
      <c r="C1513" s="151" t="b">
        <v>0</v>
      </c>
      <c r="D1513" s="151" t="str">
        <f t="shared" si="23"/>
        <v>_Neo_Lab_Dag1_27##ONWAAR</v>
      </c>
    </row>
    <row r="1514" spans="1:4" x14ac:dyDescent="0.2">
      <c r="A1514" s="151" t="s">
        <v>2360</v>
      </c>
      <c r="B1514" t="b">
        <f>IF(ISBLANK(NeoBerLab!$O$31),"",NeoBerLab!$O$31)</f>
        <v>0</v>
      </c>
      <c r="C1514" s="151" t="b">
        <v>0</v>
      </c>
      <c r="D1514" s="151" t="str">
        <f t="shared" si="23"/>
        <v>_Neo_Lab_Dag1_28##ONWAAR</v>
      </c>
    </row>
    <row r="1515" spans="1:4" x14ac:dyDescent="0.2">
      <c r="A1515" s="151" t="s">
        <v>2361</v>
      </c>
      <c r="B1515" t="b">
        <f>IF(ISBLANK(NeoBerLab!$O$32),"",NeoBerLab!$O$32)</f>
        <v>0</v>
      </c>
      <c r="C1515" s="151" t="b">
        <v>0</v>
      </c>
      <c r="D1515" s="151" t="str">
        <f t="shared" si="23"/>
        <v>_Neo_Lab_Dag1_29##ONWAAR</v>
      </c>
    </row>
    <row r="1516" spans="1:4" x14ac:dyDescent="0.2">
      <c r="A1516" s="151" t="s">
        <v>2362</v>
      </c>
      <c r="B1516" t="b">
        <f>IF(ISBLANK(NeoBerLab!$O$33),"",NeoBerLab!$O$33)</f>
        <v>0</v>
      </c>
      <c r="C1516" s="151" t="b">
        <v>0</v>
      </c>
      <c r="D1516" s="151" t="str">
        <f t="shared" si="23"/>
        <v>_Neo_Lab_Dag1_30##ONWAAR</v>
      </c>
    </row>
    <row r="1517" spans="1:4" x14ac:dyDescent="0.2">
      <c r="A1517" s="151" t="s">
        <v>2363</v>
      </c>
      <c r="B1517" t="b">
        <f>IF(ISBLANK(NeoBerLab!$O$34),"",NeoBerLab!$O$34)</f>
        <v>0</v>
      </c>
      <c r="C1517" s="151" t="b">
        <v>0</v>
      </c>
      <c r="D1517" s="151" t="str">
        <f t="shared" si="23"/>
        <v>_Neo_Lab_Dag1_31##ONWAAR</v>
      </c>
    </row>
    <row r="1518" spans="1:4" x14ac:dyDescent="0.2">
      <c r="A1518" s="151" t="s">
        <v>2364</v>
      </c>
      <c r="B1518" t="b">
        <f>IF(ISBLANK(NeoBerLab!$Q$4),"",NeoBerLab!$Q$4)</f>
        <v>0</v>
      </c>
      <c r="C1518" s="151" t="b">
        <v>0</v>
      </c>
      <c r="D1518" s="151" t="str">
        <f t="shared" si="23"/>
        <v>_Neo_Lab_Dag2_01##ONWAAR</v>
      </c>
    </row>
    <row r="1519" spans="1:4" x14ac:dyDescent="0.2">
      <c r="A1519" s="151" t="s">
        <v>2365</v>
      </c>
      <c r="B1519" t="b">
        <f>IF(ISBLANK(NeoBerLab!$Q$5),"",NeoBerLab!$Q$5)</f>
        <v>0</v>
      </c>
      <c r="C1519" s="151" t="b">
        <v>0</v>
      </c>
      <c r="D1519" s="151" t="str">
        <f t="shared" si="23"/>
        <v>_Neo_Lab_Dag2_02##ONWAAR</v>
      </c>
    </row>
    <row r="1520" spans="1:4" x14ac:dyDescent="0.2">
      <c r="A1520" s="151" t="s">
        <v>2366</v>
      </c>
      <c r="B1520" t="b">
        <f>IF(ISBLANK(NeoBerLab!$Q$6),"",NeoBerLab!$Q$6)</f>
        <v>0</v>
      </c>
      <c r="C1520" s="151" t="b">
        <v>0</v>
      </c>
      <c r="D1520" s="151" t="str">
        <f t="shared" si="23"/>
        <v>_Neo_Lab_Dag2_03##ONWAAR</v>
      </c>
    </row>
    <row r="1521" spans="1:5" x14ac:dyDescent="0.2">
      <c r="A1521" s="151" t="s">
        <v>2367</v>
      </c>
      <c r="B1521" t="b">
        <f>IF(ISBLANK(NeoBerLab!$Q$7),"",NeoBerLab!$Q$7)</f>
        <v>0</v>
      </c>
      <c r="C1521" s="151" t="b">
        <v>0</v>
      </c>
      <c r="D1521" s="151" t="str">
        <f t="shared" si="23"/>
        <v>_Neo_Lab_Dag2_04##ONWAAR</v>
      </c>
    </row>
    <row r="1522" spans="1:5" x14ac:dyDescent="0.2">
      <c r="A1522" s="151" t="s">
        <v>2368</v>
      </c>
      <c r="B1522" t="b">
        <f>IF(ISBLANK(NeoBerLab!$Q$8),"",NeoBerLab!$Q$8)</f>
        <v>0</v>
      </c>
      <c r="C1522" s="151" t="b">
        <v>0</v>
      </c>
      <c r="D1522" s="151" t="str">
        <f t="shared" si="23"/>
        <v>_Neo_Lab_Dag2_05##ONWAAR</v>
      </c>
    </row>
    <row r="1523" spans="1:5" x14ac:dyDescent="0.2">
      <c r="A1523" s="151" t="s">
        <v>2369</v>
      </c>
      <c r="B1523" s="151" t="b">
        <f>IF(ISBLANK(NeoBerLab!$Q$9),"",NeoBerLab!$Q$9)</f>
        <v>0</v>
      </c>
      <c r="C1523" s="151" t="b">
        <v>0</v>
      </c>
      <c r="D1523" s="151" t="str">
        <f t="shared" si="23"/>
        <v>_Neo_Lab_Dag2_06##ONWAAR</v>
      </c>
      <c r="E1523" s="151"/>
    </row>
    <row r="1524" spans="1:5" x14ac:dyDescent="0.2">
      <c r="A1524" s="151" t="s">
        <v>2370</v>
      </c>
      <c r="B1524" s="151" t="b">
        <f>IF(ISBLANK(NeoBerLab!$Q$10),"",NeoBerLab!$Q$10)</f>
        <v>0</v>
      </c>
      <c r="C1524" s="151" t="b">
        <v>0</v>
      </c>
      <c r="D1524" s="151" t="str">
        <f t="shared" si="23"/>
        <v>_Neo_Lab_Dag2_07##ONWAAR</v>
      </c>
    </row>
    <row r="1525" spans="1:5" x14ac:dyDescent="0.2">
      <c r="A1525" s="151" t="s">
        <v>2371</v>
      </c>
      <c r="B1525" s="151" t="b">
        <f>IF(ISBLANK(NeoBerLab!$Q$11),"",NeoBerLab!$Q$11)</f>
        <v>0</v>
      </c>
      <c r="C1525" s="151" t="b">
        <v>0</v>
      </c>
      <c r="D1525" s="151" t="str">
        <f t="shared" si="23"/>
        <v>_Neo_Lab_Dag2_08##ONWAAR</v>
      </c>
    </row>
    <row r="1526" spans="1:5" x14ac:dyDescent="0.2">
      <c r="A1526" s="151" t="s">
        <v>2372</v>
      </c>
      <c r="B1526" s="151" t="b">
        <f>IF(ISBLANK(NeoBerLab!$Q$12),"",NeoBerLab!$Q$12)</f>
        <v>0</v>
      </c>
      <c r="C1526" s="151" t="b">
        <v>0</v>
      </c>
      <c r="D1526" s="151" t="str">
        <f t="shared" si="23"/>
        <v>_Neo_Lab_Dag2_09##ONWAAR</v>
      </c>
    </row>
    <row r="1527" spans="1:5" x14ac:dyDescent="0.2">
      <c r="A1527" s="151" t="s">
        <v>2373</v>
      </c>
      <c r="B1527" t="b">
        <f>IF(ISBLANK(NeoBerLab!$Q$13),"",NeoBerLab!$Q$13)</f>
        <v>0</v>
      </c>
      <c r="C1527" s="151" t="b">
        <v>0</v>
      </c>
      <c r="D1527" s="151" t="str">
        <f t="shared" si="23"/>
        <v>_Neo_Lab_Dag2_10##ONWAAR</v>
      </c>
    </row>
    <row r="1528" spans="1:5" x14ac:dyDescent="0.2">
      <c r="A1528" s="151" t="s">
        <v>2374</v>
      </c>
      <c r="B1528" t="b">
        <f>IF(ISBLANK(NeoBerLab!$Q$14),"",NeoBerLab!$Q$14)</f>
        <v>0</v>
      </c>
      <c r="C1528" s="151" t="b">
        <v>0</v>
      </c>
      <c r="D1528" s="151" t="str">
        <f t="shared" si="23"/>
        <v>_Neo_Lab_Dag2_11##ONWAAR</v>
      </c>
    </row>
    <row r="1529" spans="1:5" x14ac:dyDescent="0.2">
      <c r="A1529" s="151" t="s">
        <v>2375</v>
      </c>
      <c r="B1529" s="151" t="b">
        <f>IF(ISBLANK(NeoBerLab!$Q$15),"",NeoBerLab!$Q$15)</f>
        <v>0</v>
      </c>
      <c r="C1529" s="151" t="b">
        <v>0</v>
      </c>
      <c r="D1529" s="151" t="str">
        <f t="shared" si="23"/>
        <v>_Neo_Lab_Dag2_12##ONWAAR</v>
      </c>
    </row>
    <row r="1530" spans="1:5" x14ac:dyDescent="0.2">
      <c r="A1530" s="151" t="s">
        <v>2376</v>
      </c>
      <c r="B1530" t="b">
        <f>IF(ISBLANK(NeoBerLab!$Q$16),"",NeoBerLab!$Q$16)</f>
        <v>0</v>
      </c>
      <c r="C1530" t="b">
        <v>0</v>
      </c>
      <c r="D1530" s="151" t="str">
        <f t="shared" si="23"/>
        <v>_Neo_Lab_Dag2_13##ONWAAR</v>
      </c>
    </row>
    <row r="1531" spans="1:5" x14ac:dyDescent="0.2">
      <c r="A1531" s="151" t="s">
        <v>2377</v>
      </c>
      <c r="B1531" t="b">
        <f>IF(ISBLANK(NeoBerLab!$Q$17),"",NeoBerLab!$Q$17)</f>
        <v>0</v>
      </c>
      <c r="C1531" s="151" t="b">
        <v>0</v>
      </c>
      <c r="D1531" s="151" t="str">
        <f t="shared" si="23"/>
        <v>_Neo_Lab_Dag2_14##ONWAAR</v>
      </c>
    </row>
    <row r="1532" spans="1:5" x14ac:dyDescent="0.2">
      <c r="A1532" s="151" t="s">
        <v>2378</v>
      </c>
      <c r="B1532" t="b">
        <f>IF(ISBLANK(NeoBerLab!$Q$18),"",NeoBerLab!$Q$18)</f>
        <v>0</v>
      </c>
      <c r="C1532" s="151" t="b">
        <v>0</v>
      </c>
      <c r="D1532" s="151" t="str">
        <f t="shared" si="23"/>
        <v>_Neo_Lab_Dag2_15##ONWAAR</v>
      </c>
    </row>
    <row r="1533" spans="1:5" x14ac:dyDescent="0.2">
      <c r="A1533" s="151" t="s">
        <v>2379</v>
      </c>
      <c r="B1533" t="b">
        <f>IF(ISBLANK(NeoBerLab!$Q$19),"",NeoBerLab!$Q$19)</f>
        <v>0</v>
      </c>
      <c r="C1533" s="151" t="b">
        <v>0</v>
      </c>
      <c r="D1533" s="151" t="str">
        <f t="shared" si="23"/>
        <v>_Neo_Lab_Dag2_16##ONWAAR</v>
      </c>
    </row>
    <row r="1534" spans="1:5" x14ac:dyDescent="0.2">
      <c r="A1534" s="151" t="s">
        <v>2380</v>
      </c>
      <c r="B1534" t="b">
        <f>IF(ISBLANK(NeoBerLab!$Q$20),"",NeoBerLab!$Q$20)</f>
        <v>0</v>
      </c>
      <c r="C1534" s="151" t="b">
        <v>0</v>
      </c>
      <c r="D1534" s="151" t="str">
        <f t="shared" si="23"/>
        <v>_Neo_Lab_Dag2_17##ONWAAR</v>
      </c>
    </row>
    <row r="1535" spans="1:5" x14ac:dyDescent="0.2">
      <c r="A1535" s="151" t="s">
        <v>2381</v>
      </c>
      <c r="B1535" t="b">
        <f>IF(ISBLANK(NeoBerLab!$Q$21),"",NeoBerLab!$Q$21)</f>
        <v>0</v>
      </c>
      <c r="C1535" s="151" t="b">
        <v>0</v>
      </c>
      <c r="D1535" s="151" t="str">
        <f t="shared" si="23"/>
        <v>_Neo_Lab_Dag2_18##ONWAAR</v>
      </c>
    </row>
    <row r="1536" spans="1:5" x14ac:dyDescent="0.2">
      <c r="A1536" s="151" t="s">
        <v>2382</v>
      </c>
      <c r="B1536" t="b">
        <f>IF(ISBLANK(NeoBerLab!$Q$22),"",NeoBerLab!$Q$22)</f>
        <v>0</v>
      </c>
      <c r="C1536" s="151" t="b">
        <v>0</v>
      </c>
      <c r="D1536" s="151" t="str">
        <f t="shared" si="23"/>
        <v>_Neo_Lab_Dag2_19##ONWAAR</v>
      </c>
    </row>
    <row r="1537" spans="1:6" x14ac:dyDescent="0.2">
      <c r="A1537" s="151" t="s">
        <v>2383</v>
      </c>
      <c r="B1537" t="b">
        <f>IF(ISBLANK(NeoBerLab!$Q$23),"",NeoBerLab!$Q$23)</f>
        <v>0</v>
      </c>
      <c r="C1537" s="151" t="b">
        <v>0</v>
      </c>
      <c r="D1537" s="151" t="str">
        <f t="shared" si="23"/>
        <v>_Neo_Lab_Dag2_20##ONWAAR</v>
      </c>
    </row>
    <row r="1538" spans="1:6" x14ac:dyDescent="0.2">
      <c r="A1538" s="151" t="s">
        <v>2384</v>
      </c>
      <c r="B1538" t="b">
        <f>IF(ISBLANK(NeoBerLab!$Q$24),"",NeoBerLab!$Q$24)</f>
        <v>0</v>
      </c>
      <c r="C1538" s="151" t="b">
        <v>0</v>
      </c>
      <c r="D1538" s="151" t="str">
        <f t="shared" si="23"/>
        <v>_Neo_Lab_Dag2_21##ONWAAR</v>
      </c>
      <c r="F1538" s="151"/>
    </row>
    <row r="1539" spans="1:6" x14ac:dyDescent="0.2">
      <c r="A1539" s="151" t="s">
        <v>2385</v>
      </c>
      <c r="B1539" t="b">
        <f>IF(ISBLANK(NeoBerLab!$Q$25),"",NeoBerLab!$Q$25)</f>
        <v>0</v>
      </c>
      <c r="C1539" s="151" t="b">
        <v>0</v>
      </c>
      <c r="D1539" s="151" t="str">
        <f t="shared" ref="D1539:D1602" si="24">A1539&amp;"##"&amp;B1539</f>
        <v>_Neo_Lab_Dag2_22##ONWAAR</v>
      </c>
    </row>
    <row r="1540" spans="1:6" x14ac:dyDescent="0.2">
      <c r="A1540" s="151" t="s">
        <v>2386</v>
      </c>
      <c r="B1540" t="b">
        <f>IF(ISBLANK(NeoBerLab!$Q$26),"",NeoBerLab!$Q$26)</f>
        <v>0</v>
      </c>
      <c r="C1540" s="151" t="b">
        <v>0</v>
      </c>
      <c r="D1540" s="151" t="str">
        <f t="shared" si="24"/>
        <v>_Neo_Lab_Dag2_23##ONWAAR</v>
      </c>
    </row>
    <row r="1541" spans="1:6" x14ac:dyDescent="0.2">
      <c r="A1541" s="151" t="s">
        <v>2387</v>
      </c>
      <c r="B1541" t="b">
        <f>IF(ISBLANK(NeoBerLab!$Q$27),"",NeoBerLab!$Q$27)</f>
        <v>0</v>
      </c>
      <c r="C1541" s="151" t="b">
        <v>0</v>
      </c>
      <c r="D1541" s="151" t="str">
        <f t="shared" si="24"/>
        <v>_Neo_Lab_Dag2_24##ONWAAR</v>
      </c>
    </row>
    <row r="1542" spans="1:6" x14ac:dyDescent="0.2">
      <c r="A1542" s="151" t="s">
        <v>2388</v>
      </c>
      <c r="B1542" t="b">
        <f>IF(ISBLANK(NeoBerLab!$Q$28),"",NeoBerLab!$Q$28)</f>
        <v>0</v>
      </c>
      <c r="C1542" s="151" t="b">
        <v>0</v>
      </c>
      <c r="D1542" s="151" t="str">
        <f t="shared" si="24"/>
        <v>_Neo_Lab_Dag2_25##ONWAAR</v>
      </c>
    </row>
    <row r="1543" spans="1:6" x14ac:dyDescent="0.2">
      <c r="A1543" s="151" t="s">
        <v>2389</v>
      </c>
      <c r="B1543" t="b">
        <f>IF(ISBLANK(NeoBerLab!$Q$29),"",NeoBerLab!$Q$29)</f>
        <v>0</v>
      </c>
      <c r="C1543" s="151" t="b">
        <v>0</v>
      </c>
      <c r="D1543" s="151" t="str">
        <f t="shared" si="24"/>
        <v>_Neo_Lab_Dag2_26##ONWAAR</v>
      </c>
    </row>
    <row r="1544" spans="1:6" x14ac:dyDescent="0.2">
      <c r="A1544" s="151" t="s">
        <v>2390</v>
      </c>
      <c r="B1544" t="b">
        <f>IF(ISBLANK(NeoBerLab!$Q$30),"",NeoBerLab!$Q$30)</f>
        <v>0</v>
      </c>
      <c r="C1544" s="151" t="b">
        <v>0</v>
      </c>
      <c r="D1544" s="151" t="str">
        <f t="shared" si="24"/>
        <v>_Neo_Lab_Dag2_27##ONWAAR</v>
      </c>
    </row>
    <row r="1545" spans="1:6" x14ac:dyDescent="0.2">
      <c r="A1545" s="151" t="s">
        <v>2391</v>
      </c>
      <c r="B1545" t="b">
        <f>IF(ISBLANK(NeoBerLab!$Q$31),"",NeoBerLab!$Q$31)</f>
        <v>0</v>
      </c>
      <c r="C1545" s="151" t="b">
        <v>0</v>
      </c>
      <c r="D1545" s="151" t="str">
        <f t="shared" si="24"/>
        <v>_Neo_Lab_Dag2_28##ONWAAR</v>
      </c>
    </row>
    <row r="1546" spans="1:6" x14ac:dyDescent="0.2">
      <c r="A1546" s="151" t="s">
        <v>2392</v>
      </c>
      <c r="B1546" t="b">
        <f>IF(ISBLANK(NeoBerLab!$Q$32),"",NeoBerLab!$Q$32)</f>
        <v>0</v>
      </c>
      <c r="C1546" s="151" t="b">
        <v>0</v>
      </c>
      <c r="D1546" s="151" t="str">
        <f t="shared" si="24"/>
        <v>_Neo_Lab_Dag2_29##ONWAAR</v>
      </c>
    </row>
    <row r="1547" spans="1:6" x14ac:dyDescent="0.2">
      <c r="A1547" s="151" t="s">
        <v>2393</v>
      </c>
      <c r="B1547" t="b">
        <f>IF(ISBLANK(NeoBerLab!$Q$33),"",NeoBerLab!$Q$33)</f>
        <v>0</v>
      </c>
      <c r="C1547" s="151" t="b">
        <v>0</v>
      </c>
      <c r="D1547" s="151" t="str">
        <f t="shared" si="24"/>
        <v>_Neo_Lab_Dag2_30##ONWAAR</v>
      </c>
    </row>
    <row r="1548" spans="1:6" x14ac:dyDescent="0.2">
      <c r="A1548" s="151" t="s">
        <v>2394</v>
      </c>
      <c r="B1548" t="b">
        <f>IF(ISBLANK(NeoBerLab!$Q$34),"",NeoBerLab!$Q$34)</f>
        <v>0</v>
      </c>
      <c r="C1548" s="151" t="b">
        <v>0</v>
      </c>
      <c r="D1548" s="151" t="str">
        <f t="shared" si="24"/>
        <v>_Neo_Lab_Dag2_31##ONWAAR</v>
      </c>
    </row>
    <row r="1549" spans="1:6" x14ac:dyDescent="0.2">
      <c r="A1549" s="151" t="s">
        <v>2395</v>
      </c>
      <c r="B1549" t="b">
        <f>IF(ISBLANK(NeoBerLab!$S$4),"",NeoBerLab!$S$4)</f>
        <v>0</v>
      </c>
      <c r="C1549" s="151" t="b">
        <v>0</v>
      </c>
      <c r="D1549" s="151" t="str">
        <f t="shared" si="24"/>
        <v>_Neo_Lab_Dag3_01##ONWAAR</v>
      </c>
    </row>
    <row r="1550" spans="1:6" x14ac:dyDescent="0.2">
      <c r="A1550" s="151" t="s">
        <v>2396</v>
      </c>
      <c r="B1550" t="b">
        <f>IF(ISBLANK(NeoBerLab!$S$5),"",NeoBerLab!$S$5)</f>
        <v>0</v>
      </c>
      <c r="C1550" s="151" t="b">
        <v>0</v>
      </c>
      <c r="D1550" s="151" t="str">
        <f t="shared" si="24"/>
        <v>_Neo_Lab_Dag3_02##ONWAAR</v>
      </c>
    </row>
    <row r="1551" spans="1:6" x14ac:dyDescent="0.2">
      <c r="A1551" s="151" t="s">
        <v>2397</v>
      </c>
      <c r="B1551" t="b">
        <f>IF(ISBLANK(NeoBerLab!$S$6),"",NeoBerLab!$S$6)</f>
        <v>0</v>
      </c>
      <c r="C1551" s="151" t="b">
        <v>0</v>
      </c>
      <c r="D1551" s="151" t="str">
        <f t="shared" si="24"/>
        <v>_Neo_Lab_Dag3_03##ONWAAR</v>
      </c>
    </row>
    <row r="1552" spans="1:6" x14ac:dyDescent="0.2">
      <c r="A1552" s="151" t="s">
        <v>2398</v>
      </c>
      <c r="B1552" t="b">
        <f>IF(ISBLANK(NeoBerLab!$S$7),"",NeoBerLab!$S$7)</f>
        <v>0</v>
      </c>
      <c r="C1552" s="151" t="b">
        <v>0</v>
      </c>
      <c r="D1552" s="151" t="str">
        <f t="shared" si="24"/>
        <v>_Neo_Lab_Dag3_04##ONWAAR</v>
      </c>
    </row>
    <row r="1553" spans="1:5" x14ac:dyDescent="0.2">
      <c r="A1553" s="151" t="s">
        <v>2399</v>
      </c>
      <c r="B1553" t="b">
        <f>IF(ISBLANK(NeoBerLab!$S$8),"",NeoBerLab!$S$8)</f>
        <v>0</v>
      </c>
      <c r="C1553" s="151" t="b">
        <v>0</v>
      </c>
      <c r="D1553" s="151" t="str">
        <f t="shared" si="24"/>
        <v>_Neo_Lab_Dag3_05##ONWAAR</v>
      </c>
    </row>
    <row r="1554" spans="1:5" x14ac:dyDescent="0.2">
      <c r="A1554" s="151" t="s">
        <v>2400</v>
      </c>
      <c r="B1554" t="b">
        <f>IF(ISBLANK(NeoBerLab!$S$9),"",NeoBerLab!$S$9)</f>
        <v>0</v>
      </c>
      <c r="C1554" s="151" t="b">
        <v>0</v>
      </c>
      <c r="D1554" s="151" t="str">
        <f t="shared" si="24"/>
        <v>_Neo_Lab_Dag3_06##ONWAAR</v>
      </c>
    </row>
    <row r="1555" spans="1:5" x14ac:dyDescent="0.2">
      <c r="A1555" s="151" t="s">
        <v>2401</v>
      </c>
      <c r="B1555" t="b">
        <f>IF(ISBLANK(NeoBerLab!$S$10),"",NeoBerLab!$S$10)</f>
        <v>0</v>
      </c>
      <c r="C1555" s="151" t="b">
        <v>0</v>
      </c>
      <c r="D1555" s="151" t="str">
        <f t="shared" si="24"/>
        <v>_Neo_Lab_Dag3_07##ONWAAR</v>
      </c>
    </row>
    <row r="1556" spans="1:5" x14ac:dyDescent="0.2">
      <c r="A1556" s="151" t="s">
        <v>2402</v>
      </c>
      <c r="B1556" t="b">
        <f>IF(ISBLANK(NeoBerLab!$S$11),"",NeoBerLab!$S$11)</f>
        <v>0</v>
      </c>
      <c r="C1556" s="151" t="b">
        <v>0</v>
      </c>
      <c r="D1556" s="151" t="str">
        <f t="shared" si="24"/>
        <v>_Neo_Lab_Dag3_08##ONWAAR</v>
      </c>
    </row>
    <row r="1557" spans="1:5" x14ac:dyDescent="0.2">
      <c r="A1557" s="151" t="s">
        <v>2403</v>
      </c>
      <c r="B1557" t="b">
        <f>IF(ISBLANK(NeoBerLab!$S$12),"",NeoBerLab!$S$12)</f>
        <v>0</v>
      </c>
      <c r="C1557" s="151" t="b">
        <v>0</v>
      </c>
      <c r="D1557" s="151" t="str">
        <f t="shared" si="24"/>
        <v>_Neo_Lab_Dag3_09##ONWAAR</v>
      </c>
    </row>
    <row r="1558" spans="1:5" x14ac:dyDescent="0.2">
      <c r="A1558" s="151" t="s">
        <v>2404</v>
      </c>
      <c r="B1558" t="b">
        <f>IF(ISBLANK(NeoBerLab!$S$13),"",NeoBerLab!$S$13)</f>
        <v>0</v>
      </c>
      <c r="C1558" s="151" t="b">
        <v>0</v>
      </c>
      <c r="D1558" s="151" t="str">
        <f t="shared" si="24"/>
        <v>_Neo_Lab_Dag3_10##ONWAAR</v>
      </c>
    </row>
    <row r="1559" spans="1:5" x14ac:dyDescent="0.2">
      <c r="A1559" s="151" t="s">
        <v>2405</v>
      </c>
      <c r="B1559" t="b">
        <f>IF(ISBLANK(NeoBerLab!$S$14),"",NeoBerLab!$S$14)</f>
        <v>0</v>
      </c>
      <c r="C1559" s="151" t="b">
        <v>0</v>
      </c>
      <c r="D1559" s="151" t="str">
        <f t="shared" si="24"/>
        <v>_Neo_Lab_Dag3_11##ONWAAR</v>
      </c>
    </row>
    <row r="1560" spans="1:5" x14ac:dyDescent="0.2">
      <c r="A1560" s="151" t="s">
        <v>2406</v>
      </c>
      <c r="B1560" t="b">
        <f>IF(ISBLANK(NeoBerLab!$S$15),"",NeoBerLab!$S$15)</f>
        <v>0</v>
      </c>
      <c r="C1560" s="151" t="b">
        <v>0</v>
      </c>
      <c r="D1560" s="151" t="str">
        <f t="shared" si="24"/>
        <v>_Neo_Lab_Dag3_12##ONWAAR</v>
      </c>
    </row>
    <row r="1561" spans="1:5" x14ac:dyDescent="0.2">
      <c r="A1561" s="151" t="s">
        <v>2407</v>
      </c>
      <c r="B1561" t="b">
        <f>IF(ISBLANK(NeoBerLab!$S$16),"",NeoBerLab!$S$16)</f>
        <v>0</v>
      </c>
      <c r="C1561" s="151" t="b">
        <v>0</v>
      </c>
      <c r="D1561" s="151" t="str">
        <f t="shared" si="24"/>
        <v>_Neo_Lab_Dag3_13##ONWAAR</v>
      </c>
    </row>
    <row r="1562" spans="1:5" x14ac:dyDescent="0.2">
      <c r="A1562" s="151" t="s">
        <v>2408</v>
      </c>
      <c r="B1562" t="b">
        <f>IF(ISBLANK(NeoBerLab!$S$17),"",NeoBerLab!$S$17)</f>
        <v>0</v>
      </c>
      <c r="C1562" s="151" t="b">
        <v>0</v>
      </c>
      <c r="D1562" s="151" t="str">
        <f t="shared" si="24"/>
        <v>_Neo_Lab_Dag3_14##ONWAAR</v>
      </c>
    </row>
    <row r="1563" spans="1:5" x14ac:dyDescent="0.2">
      <c r="A1563" s="151" t="s">
        <v>2409</v>
      </c>
      <c r="B1563" t="b">
        <f>IF(ISBLANK(NeoBerLab!$S$18),"",NeoBerLab!$S$18)</f>
        <v>0</v>
      </c>
      <c r="C1563" s="151" t="b">
        <v>0</v>
      </c>
      <c r="D1563" s="151" t="str">
        <f t="shared" si="24"/>
        <v>_Neo_Lab_Dag3_15##ONWAAR</v>
      </c>
    </row>
    <row r="1564" spans="1:5" x14ac:dyDescent="0.2">
      <c r="A1564" s="151" t="s">
        <v>2410</v>
      </c>
      <c r="B1564" t="b">
        <f>IF(ISBLANK(NeoBerLab!$S$19),"",NeoBerLab!$S$19)</f>
        <v>0</v>
      </c>
      <c r="C1564" s="151" t="b">
        <v>0</v>
      </c>
      <c r="D1564" s="151" t="str">
        <f t="shared" si="24"/>
        <v>_Neo_Lab_Dag3_16##ONWAAR</v>
      </c>
    </row>
    <row r="1565" spans="1:5" x14ac:dyDescent="0.2">
      <c r="A1565" s="151" t="s">
        <v>2411</v>
      </c>
      <c r="B1565" t="b">
        <f>IF(ISBLANK(NeoBerLab!$S$20),"",NeoBerLab!$S$20)</f>
        <v>0</v>
      </c>
      <c r="C1565" s="151" t="b">
        <v>0</v>
      </c>
      <c r="D1565" s="151" t="str">
        <f t="shared" si="24"/>
        <v>_Neo_Lab_Dag3_17##ONWAAR</v>
      </c>
    </row>
    <row r="1566" spans="1:5" x14ac:dyDescent="0.2">
      <c r="A1566" s="151" t="s">
        <v>2412</v>
      </c>
      <c r="B1566" t="b">
        <f>IF(ISBLANK(NeoBerLab!$S$21),"",NeoBerLab!$S$21)</f>
        <v>0</v>
      </c>
      <c r="C1566" s="151" t="b">
        <v>0</v>
      </c>
      <c r="D1566" s="151" t="str">
        <f t="shared" si="24"/>
        <v>_Neo_Lab_Dag3_18##ONWAAR</v>
      </c>
    </row>
    <row r="1567" spans="1:5" x14ac:dyDescent="0.2">
      <c r="A1567" s="151" t="s">
        <v>2413</v>
      </c>
      <c r="B1567" t="b">
        <f>IF(ISBLANK(NeoBerLab!$S$22),"",NeoBerLab!$S$22)</f>
        <v>0</v>
      </c>
      <c r="C1567" s="151" t="b">
        <v>0</v>
      </c>
      <c r="D1567" s="151" t="str">
        <f t="shared" si="24"/>
        <v>_Neo_Lab_Dag3_19##ONWAAR</v>
      </c>
    </row>
    <row r="1568" spans="1:5" x14ac:dyDescent="0.2">
      <c r="A1568" s="151" t="s">
        <v>2414</v>
      </c>
      <c r="B1568" t="b">
        <f>IF(ISBLANK(NeoBerLab!$S$23),"",NeoBerLab!$S$23)</f>
        <v>0</v>
      </c>
      <c r="C1568" s="151" t="b">
        <v>0</v>
      </c>
      <c r="D1568" s="151" t="str">
        <f t="shared" si="24"/>
        <v>_Neo_Lab_Dag3_20##ONWAAR</v>
      </c>
      <c r="E1568" s="151"/>
    </row>
    <row r="1569" spans="1:4" x14ac:dyDescent="0.2">
      <c r="A1569" s="151" t="s">
        <v>2415</v>
      </c>
      <c r="B1569" t="b">
        <f>IF(ISBLANK(NeoBerLab!$S$24),"",NeoBerLab!$S$24)</f>
        <v>0</v>
      </c>
      <c r="C1569" s="151" t="b">
        <v>0</v>
      </c>
      <c r="D1569" s="151" t="str">
        <f t="shared" si="24"/>
        <v>_Neo_Lab_Dag3_21##ONWAAR</v>
      </c>
    </row>
    <row r="1570" spans="1:4" x14ac:dyDescent="0.2">
      <c r="A1570" s="151" t="s">
        <v>2416</v>
      </c>
      <c r="B1570" t="b">
        <f>IF(ISBLANK(NeoBerLab!$S$25),"",NeoBerLab!$S$25)</f>
        <v>0</v>
      </c>
      <c r="C1570" s="151" t="b">
        <v>0</v>
      </c>
      <c r="D1570" s="151" t="str">
        <f t="shared" si="24"/>
        <v>_Neo_Lab_Dag3_22##ONWAAR</v>
      </c>
    </row>
    <row r="1571" spans="1:4" x14ac:dyDescent="0.2">
      <c r="A1571" s="151" t="s">
        <v>2417</v>
      </c>
      <c r="B1571" t="b">
        <f>IF(ISBLANK(NeoBerLab!$S$26),"",NeoBerLab!$S$26)</f>
        <v>0</v>
      </c>
      <c r="C1571" s="151" t="b">
        <v>0</v>
      </c>
      <c r="D1571" s="151" t="str">
        <f t="shared" si="24"/>
        <v>_Neo_Lab_Dag3_23##ONWAAR</v>
      </c>
    </row>
    <row r="1572" spans="1:4" x14ac:dyDescent="0.2">
      <c r="A1572" s="151" t="s">
        <v>2418</v>
      </c>
      <c r="B1572" t="b">
        <f>IF(ISBLANK(NeoBerLab!$S$27),"",NeoBerLab!$S$27)</f>
        <v>0</v>
      </c>
      <c r="C1572" t="b">
        <v>0</v>
      </c>
      <c r="D1572" s="151" t="str">
        <f t="shared" si="24"/>
        <v>_Neo_Lab_Dag3_24##ONWAAR</v>
      </c>
    </row>
    <row r="1573" spans="1:4" x14ac:dyDescent="0.2">
      <c r="A1573" s="151" t="s">
        <v>2419</v>
      </c>
      <c r="B1573" t="b">
        <f>IF(ISBLANK(NeoBerLab!$S$28),"",NeoBerLab!$S$28)</f>
        <v>0</v>
      </c>
      <c r="C1573" t="b">
        <v>0</v>
      </c>
      <c r="D1573" s="151" t="str">
        <f t="shared" si="24"/>
        <v>_Neo_Lab_Dag3_25##ONWAAR</v>
      </c>
    </row>
    <row r="1574" spans="1:4" x14ac:dyDescent="0.2">
      <c r="A1574" s="151" t="s">
        <v>2420</v>
      </c>
      <c r="B1574" t="b">
        <f>IF(ISBLANK(NeoBerLab!$S$29),"",NeoBerLab!$S$29)</f>
        <v>0</v>
      </c>
      <c r="C1574" t="b">
        <v>0</v>
      </c>
      <c r="D1574" s="151" t="str">
        <f t="shared" si="24"/>
        <v>_Neo_Lab_Dag3_26##ONWAAR</v>
      </c>
    </row>
    <row r="1575" spans="1:4" x14ac:dyDescent="0.2">
      <c r="A1575" s="151" t="s">
        <v>2421</v>
      </c>
      <c r="B1575" t="b">
        <f>IF(ISBLANK(NeoBerLab!$S$30),"",NeoBerLab!$S$30)</f>
        <v>0</v>
      </c>
      <c r="C1575" t="b">
        <v>0</v>
      </c>
      <c r="D1575" s="151" t="str">
        <f t="shared" si="24"/>
        <v>_Neo_Lab_Dag3_27##ONWAAR</v>
      </c>
    </row>
    <row r="1576" spans="1:4" x14ac:dyDescent="0.2">
      <c r="A1576" s="151" t="s">
        <v>2422</v>
      </c>
      <c r="B1576" t="b">
        <f>IF(ISBLANK(NeoBerLab!$S$31),"",NeoBerLab!$S$31)</f>
        <v>0</v>
      </c>
      <c r="C1576" t="b">
        <v>0</v>
      </c>
      <c r="D1576" s="151" t="str">
        <f t="shared" si="24"/>
        <v>_Neo_Lab_Dag3_28##ONWAAR</v>
      </c>
    </row>
    <row r="1577" spans="1:4" x14ac:dyDescent="0.2">
      <c r="A1577" s="151" t="s">
        <v>2423</v>
      </c>
      <c r="B1577" t="b">
        <f>IF(ISBLANK(NeoBerLab!$S$32),"",NeoBerLab!$S$32)</f>
        <v>0</v>
      </c>
      <c r="C1577" t="b">
        <v>0</v>
      </c>
      <c r="D1577" s="151" t="str">
        <f t="shared" si="24"/>
        <v>_Neo_Lab_Dag3_29##ONWAAR</v>
      </c>
    </row>
    <row r="1578" spans="1:4" x14ac:dyDescent="0.2">
      <c r="A1578" s="151" t="s">
        <v>2424</v>
      </c>
      <c r="B1578" t="b">
        <f>IF(ISBLANK(NeoBerLab!$S$33),"",NeoBerLab!$S$33)</f>
        <v>0</v>
      </c>
      <c r="C1578" t="b">
        <v>0</v>
      </c>
      <c r="D1578" s="151" t="str">
        <f t="shared" si="24"/>
        <v>_Neo_Lab_Dag3_30##ONWAAR</v>
      </c>
    </row>
    <row r="1579" spans="1:4" x14ac:dyDescent="0.2">
      <c r="A1579" s="151" t="s">
        <v>2425</v>
      </c>
      <c r="B1579" t="b">
        <f>IF(ISBLANK(NeoBerLab!$S$34),"",NeoBerLab!$S$34)</f>
        <v>0</v>
      </c>
      <c r="C1579" t="b">
        <v>0</v>
      </c>
      <c r="D1579" s="151" t="str">
        <f t="shared" si="24"/>
        <v>_Neo_Lab_Dag3_31##ONWAAR</v>
      </c>
    </row>
    <row r="1580" spans="1:4" x14ac:dyDescent="0.2">
      <c r="A1580" s="151" t="s">
        <v>2426</v>
      </c>
      <c r="B1580" t="str">
        <f>IF(ISBLANK(NeoBerLab!$D$38),"",NeoBerLab!$D$38)</f>
        <v/>
      </c>
      <c r="C1580" s="44"/>
      <c r="D1580" s="151" t="str">
        <f t="shared" si="24"/>
        <v>_Neo_Lab_Opm##</v>
      </c>
    </row>
    <row r="1581" spans="1:4" x14ac:dyDescent="0.2">
      <c r="A1581" s="151" t="s">
        <v>2427</v>
      </c>
      <c r="B1581" t="b">
        <f>IF(ISBLANK(NeoBerLab!$C$4),"",NeoBerLab!$C$4)</f>
        <v>0</v>
      </c>
      <c r="C1581" s="151" t="b">
        <v>0</v>
      </c>
      <c r="D1581" s="151" t="str">
        <f t="shared" si="24"/>
        <v>_Neo_Lab_Opn_01##ONWAAR</v>
      </c>
    </row>
    <row r="1582" spans="1:4" x14ac:dyDescent="0.2">
      <c r="A1582" s="151" t="s">
        <v>2428</v>
      </c>
      <c r="B1582" s="151" t="b">
        <f>IF(ISBLANK(NeoBerLab!$C$5),"",NeoBerLab!$C$5)</f>
        <v>0</v>
      </c>
      <c r="C1582" s="151" t="b">
        <v>0</v>
      </c>
      <c r="D1582" s="151" t="str">
        <f t="shared" si="24"/>
        <v>_Neo_Lab_Opn_02##ONWAAR</v>
      </c>
    </row>
    <row r="1583" spans="1:4" x14ac:dyDescent="0.2">
      <c r="A1583" s="151" t="s">
        <v>2429</v>
      </c>
      <c r="B1583" t="b">
        <f>IF(ISBLANK(NeoBerLab!$C$6),"",NeoBerLab!$C$6)</f>
        <v>0</v>
      </c>
      <c r="C1583" t="b">
        <v>0</v>
      </c>
      <c r="D1583" s="151" t="str">
        <f t="shared" si="24"/>
        <v>_Neo_Lab_Opn_03##ONWAAR</v>
      </c>
    </row>
    <row r="1584" spans="1:4" x14ac:dyDescent="0.2">
      <c r="A1584" s="151" t="s">
        <v>2430</v>
      </c>
      <c r="B1584" t="b">
        <f>IF(ISBLANK(NeoBerLab!$C$7),"",NeoBerLab!$C$7)</f>
        <v>0</v>
      </c>
      <c r="C1584" t="b">
        <v>0</v>
      </c>
      <c r="D1584" s="151" t="str">
        <f t="shared" si="24"/>
        <v>_Neo_Lab_Opn_04##ONWAAR</v>
      </c>
    </row>
    <row r="1585" spans="1:4" x14ac:dyDescent="0.2">
      <c r="A1585" s="151" t="s">
        <v>2431</v>
      </c>
      <c r="B1585" t="b">
        <f>IF(ISBLANK(NeoBerLab!$C$8),"",NeoBerLab!$C$8)</f>
        <v>0</v>
      </c>
      <c r="C1585" t="b">
        <v>0</v>
      </c>
      <c r="D1585" s="151" t="str">
        <f t="shared" si="24"/>
        <v>_Neo_Lab_Opn_05##ONWAAR</v>
      </c>
    </row>
    <row r="1586" spans="1:4" x14ac:dyDescent="0.2">
      <c r="A1586" s="151" t="s">
        <v>2432</v>
      </c>
      <c r="B1586" t="b">
        <f>IF(ISBLANK(NeoBerLab!$C$9),"",NeoBerLab!$C$9)</f>
        <v>0</v>
      </c>
      <c r="C1586" t="b">
        <v>0</v>
      </c>
      <c r="D1586" s="151" t="str">
        <f t="shared" si="24"/>
        <v>_Neo_Lab_Opn_06##ONWAAR</v>
      </c>
    </row>
    <row r="1587" spans="1:4" x14ac:dyDescent="0.2">
      <c r="A1587" s="151" t="s">
        <v>2433</v>
      </c>
      <c r="B1587" t="b">
        <f>IF(ISBLANK(NeoBerLab!$C$10),"",NeoBerLab!$C$10)</f>
        <v>0</v>
      </c>
      <c r="C1587" t="b">
        <v>0</v>
      </c>
      <c r="D1587" s="151" t="str">
        <f t="shared" si="24"/>
        <v>_Neo_Lab_Opn_07##ONWAAR</v>
      </c>
    </row>
    <row r="1588" spans="1:4" x14ac:dyDescent="0.2">
      <c r="A1588" s="151" t="s">
        <v>2434</v>
      </c>
      <c r="B1588" t="b">
        <f>IF(ISBLANK(NeoBerLab!$C$11),"",NeoBerLab!$C$11)</f>
        <v>0</v>
      </c>
      <c r="C1588" t="b">
        <v>0</v>
      </c>
      <c r="D1588" s="151" t="str">
        <f t="shared" si="24"/>
        <v>_Neo_Lab_Opn_08##ONWAAR</v>
      </c>
    </row>
    <row r="1589" spans="1:4" x14ac:dyDescent="0.2">
      <c r="A1589" s="151" t="s">
        <v>2435</v>
      </c>
      <c r="B1589" t="b">
        <f>IF(ISBLANK(NeoBerLab!$C$12),"",NeoBerLab!$C$12)</f>
        <v>0</v>
      </c>
      <c r="C1589" t="b">
        <v>0</v>
      </c>
      <c r="D1589" s="151" t="str">
        <f t="shared" si="24"/>
        <v>_Neo_Lab_Opn_09##ONWAAR</v>
      </c>
    </row>
    <row r="1590" spans="1:4" x14ac:dyDescent="0.2">
      <c r="A1590" s="151" t="s">
        <v>2436</v>
      </c>
      <c r="B1590" t="b">
        <f>IF(ISBLANK(NeoBerLab!$C$13),"",NeoBerLab!$C$13)</f>
        <v>0</v>
      </c>
      <c r="C1590" t="b">
        <v>0</v>
      </c>
      <c r="D1590" s="151" t="str">
        <f t="shared" si="24"/>
        <v>_Neo_Lab_Opn_10##ONWAAR</v>
      </c>
    </row>
    <row r="1591" spans="1:4" x14ac:dyDescent="0.2">
      <c r="A1591" s="151" t="s">
        <v>2437</v>
      </c>
      <c r="B1591" t="b">
        <f>IF(ISBLANK(NeoBerLab!$C$14),"",NeoBerLab!$C$14)</f>
        <v>0</v>
      </c>
      <c r="C1591" t="b">
        <v>0</v>
      </c>
      <c r="D1591" s="151" t="str">
        <f t="shared" si="24"/>
        <v>_Neo_Lab_Opn_11##ONWAAR</v>
      </c>
    </row>
    <row r="1592" spans="1:4" x14ac:dyDescent="0.2">
      <c r="A1592" s="151" t="s">
        <v>2438</v>
      </c>
      <c r="B1592" t="b">
        <f>IF(ISBLANK(NeoBerLab!$C$15),"",NeoBerLab!$C$15)</f>
        <v>0</v>
      </c>
      <c r="C1592" t="b">
        <v>0</v>
      </c>
      <c r="D1592" s="151" t="str">
        <f t="shared" si="24"/>
        <v>_Neo_Lab_Opn_12##ONWAAR</v>
      </c>
    </row>
    <row r="1593" spans="1:4" x14ac:dyDescent="0.2">
      <c r="A1593" s="151" t="s">
        <v>2439</v>
      </c>
      <c r="B1593" t="b">
        <f>IF(ISBLANK(NeoBerLab!$C$16),"",NeoBerLab!$C$16)</f>
        <v>0</v>
      </c>
      <c r="C1593" t="b">
        <v>0</v>
      </c>
      <c r="D1593" s="151" t="str">
        <f t="shared" si="24"/>
        <v>_Neo_Lab_Opn_13##ONWAAR</v>
      </c>
    </row>
    <row r="1594" spans="1:4" x14ac:dyDescent="0.2">
      <c r="A1594" s="151" t="s">
        <v>2440</v>
      </c>
      <c r="B1594" t="b">
        <f>IF(ISBLANK(NeoBerLab!$C$17),"",NeoBerLab!$C$17)</f>
        <v>0</v>
      </c>
      <c r="C1594" t="b">
        <v>0</v>
      </c>
      <c r="D1594" s="151" t="str">
        <f t="shared" si="24"/>
        <v>_Neo_Lab_Opn_14##ONWAAR</v>
      </c>
    </row>
    <row r="1595" spans="1:4" x14ac:dyDescent="0.2">
      <c r="A1595" s="151" t="s">
        <v>2441</v>
      </c>
      <c r="B1595" t="b">
        <f>IF(ISBLANK(NeoBerLab!$C$18),"",NeoBerLab!$C$18)</f>
        <v>0</v>
      </c>
      <c r="C1595" s="151" t="b">
        <v>0</v>
      </c>
      <c r="D1595" s="151" t="str">
        <f t="shared" si="24"/>
        <v>_Neo_Lab_Opn_15##ONWAAR</v>
      </c>
    </row>
    <row r="1596" spans="1:4" x14ac:dyDescent="0.2">
      <c r="A1596" s="151" t="s">
        <v>2442</v>
      </c>
      <c r="B1596" t="b">
        <f>IF(ISBLANK(NeoBerLab!$C$19),"",NeoBerLab!$C$19)</f>
        <v>0</v>
      </c>
      <c r="C1596" t="b">
        <v>0</v>
      </c>
      <c r="D1596" s="151" t="str">
        <f t="shared" si="24"/>
        <v>_Neo_Lab_Opn_16##ONWAAR</v>
      </c>
    </row>
    <row r="1597" spans="1:4" x14ac:dyDescent="0.2">
      <c r="A1597" s="151" t="s">
        <v>2443</v>
      </c>
      <c r="B1597" t="b">
        <f>IF(ISBLANK(NeoBerLab!$C$20),"",NeoBerLab!$C$20)</f>
        <v>0</v>
      </c>
      <c r="C1597" s="151" t="b">
        <v>0</v>
      </c>
      <c r="D1597" s="151" t="str">
        <f t="shared" si="24"/>
        <v>_Neo_Lab_Opn_17##ONWAAR</v>
      </c>
    </row>
    <row r="1598" spans="1:4" x14ac:dyDescent="0.2">
      <c r="A1598" s="151" t="s">
        <v>2444</v>
      </c>
      <c r="B1598" t="b">
        <f>IF(ISBLANK(NeoBerLab!$C$21),"",NeoBerLab!$C$21)</f>
        <v>0</v>
      </c>
      <c r="C1598" t="b">
        <v>0</v>
      </c>
      <c r="D1598" s="151" t="str">
        <f t="shared" si="24"/>
        <v>_Neo_Lab_Opn_18##ONWAAR</v>
      </c>
    </row>
    <row r="1599" spans="1:4" x14ac:dyDescent="0.2">
      <c r="A1599" s="151" t="s">
        <v>2445</v>
      </c>
      <c r="B1599" t="b">
        <f>IF(ISBLANK(NeoBerLab!$C$22),"",NeoBerLab!$C$22)</f>
        <v>0</v>
      </c>
      <c r="C1599" s="151" t="b">
        <v>0</v>
      </c>
      <c r="D1599" s="151" t="str">
        <f t="shared" si="24"/>
        <v>_Neo_Lab_Opn_19##ONWAAR</v>
      </c>
    </row>
    <row r="1600" spans="1:4" x14ac:dyDescent="0.2">
      <c r="A1600" s="151" t="s">
        <v>2446</v>
      </c>
      <c r="B1600" t="b">
        <f>IF(ISBLANK(NeoBerLab!$C$23),"",NeoBerLab!$C$23)</f>
        <v>0</v>
      </c>
      <c r="C1600" s="151" t="b">
        <v>0</v>
      </c>
      <c r="D1600" s="151" t="str">
        <f t="shared" si="24"/>
        <v>_Neo_Lab_Opn_20##ONWAAR</v>
      </c>
    </row>
    <row r="1601" spans="1:6" x14ac:dyDescent="0.2">
      <c r="A1601" s="151" t="s">
        <v>2447</v>
      </c>
      <c r="B1601" t="b">
        <f>IF(ISBLANK(NeoBerLab!$C$24),"",NeoBerLab!$C$24)</f>
        <v>0</v>
      </c>
      <c r="C1601" s="151" t="b">
        <v>0</v>
      </c>
      <c r="D1601" s="151" t="str">
        <f t="shared" si="24"/>
        <v>_Neo_Lab_Opn_21##ONWAAR</v>
      </c>
    </row>
    <row r="1602" spans="1:6" x14ac:dyDescent="0.2">
      <c r="A1602" s="151" t="s">
        <v>2448</v>
      </c>
      <c r="B1602" t="b">
        <f>IF(ISBLANK(NeoBerLab!$C$25),"",NeoBerLab!$C$25)</f>
        <v>0</v>
      </c>
      <c r="C1602" s="151" t="b">
        <v>0</v>
      </c>
      <c r="D1602" s="151" t="str">
        <f t="shared" si="24"/>
        <v>_Neo_Lab_Opn_22##ONWAAR</v>
      </c>
    </row>
    <row r="1603" spans="1:6" x14ac:dyDescent="0.2">
      <c r="A1603" s="151" t="s">
        <v>2449</v>
      </c>
      <c r="B1603" t="b">
        <f>IF(ISBLANK(NeoBerLab!$C$26),"",NeoBerLab!$C$26)</f>
        <v>0</v>
      </c>
      <c r="C1603" s="151" t="b">
        <v>0</v>
      </c>
      <c r="D1603" s="151" t="str">
        <f t="shared" ref="D1603:D1666" si="25">A1603&amp;"##"&amp;B1603</f>
        <v>_Neo_Lab_Opn_23##ONWAAR</v>
      </c>
    </row>
    <row r="1604" spans="1:6" x14ac:dyDescent="0.2">
      <c r="A1604" s="151" t="s">
        <v>2450</v>
      </c>
      <c r="B1604" t="b">
        <f>IF(ISBLANK(NeoBerLab!$C$27),"",NeoBerLab!$C$27)</f>
        <v>0</v>
      </c>
      <c r="C1604" s="151" t="b">
        <v>0</v>
      </c>
      <c r="D1604" s="151" t="str">
        <f t="shared" si="25"/>
        <v>_Neo_Lab_Opn_24##ONWAAR</v>
      </c>
    </row>
    <row r="1605" spans="1:6" x14ac:dyDescent="0.2">
      <c r="A1605" s="151" t="s">
        <v>2451</v>
      </c>
      <c r="B1605" t="b">
        <f>IF(ISBLANK(NeoBerLab!$C$28),"",NeoBerLab!$C$28)</f>
        <v>0</v>
      </c>
      <c r="C1605" s="151" t="b">
        <v>0</v>
      </c>
      <c r="D1605" s="151" t="str">
        <f t="shared" si="25"/>
        <v>_Neo_Lab_Opn_25##ONWAAR</v>
      </c>
    </row>
    <row r="1606" spans="1:6" x14ac:dyDescent="0.2">
      <c r="A1606" s="151" t="s">
        <v>2452</v>
      </c>
      <c r="B1606" t="b">
        <f>IF(ISBLANK(NeoBerLab!$C$29),"",NeoBerLab!$C$29)</f>
        <v>0</v>
      </c>
      <c r="C1606" t="b">
        <v>0</v>
      </c>
      <c r="D1606" s="151" t="str">
        <f t="shared" si="25"/>
        <v>_Neo_Lab_Opn_26##ONWAAR</v>
      </c>
    </row>
    <row r="1607" spans="1:6" x14ac:dyDescent="0.2">
      <c r="A1607" s="151" t="s">
        <v>2453</v>
      </c>
      <c r="B1607" t="b">
        <f>IF(ISBLANK(NeoBerLab!$C$30),"",NeoBerLab!$C$30)</f>
        <v>0</v>
      </c>
      <c r="C1607" t="b">
        <v>0</v>
      </c>
      <c r="D1607" s="151" t="str">
        <f t="shared" si="25"/>
        <v>_Neo_Lab_Opn_27##ONWAAR</v>
      </c>
    </row>
    <row r="1608" spans="1:6" x14ac:dyDescent="0.2">
      <c r="A1608" s="151" t="s">
        <v>2454</v>
      </c>
      <c r="B1608" t="b">
        <f>IF(ISBLANK(NeoBerLab!$C$31),"",NeoBerLab!$C$31)</f>
        <v>0</v>
      </c>
      <c r="C1608" s="151" t="b">
        <v>0</v>
      </c>
      <c r="D1608" s="151" t="str">
        <f t="shared" si="25"/>
        <v>_Neo_Lab_Opn_28##ONWAAR</v>
      </c>
    </row>
    <row r="1609" spans="1:6" s="151" customFormat="1" x14ac:dyDescent="0.2">
      <c r="A1609" s="151" t="s">
        <v>2455</v>
      </c>
      <c r="B1609" t="b">
        <f>IF(ISBLANK(NeoBerLab!$C$32),"",NeoBerLab!$C$32)</f>
        <v>0</v>
      </c>
      <c r="C1609" s="151" t="b">
        <v>0</v>
      </c>
      <c r="D1609" s="151" t="str">
        <f t="shared" si="25"/>
        <v>_Neo_Lab_Opn_29##ONWAAR</v>
      </c>
      <c r="E1609"/>
      <c r="F1609"/>
    </row>
    <row r="1610" spans="1:6" s="151" customFormat="1" x14ac:dyDescent="0.2">
      <c r="A1610" s="151" t="s">
        <v>2456</v>
      </c>
      <c r="B1610" t="b">
        <f>IF(ISBLANK(NeoBerLab!$C$33),"",NeoBerLab!$C$33)</f>
        <v>0</v>
      </c>
      <c r="C1610" s="151" t="b">
        <v>0</v>
      </c>
      <c r="D1610" s="151" t="str">
        <f t="shared" si="25"/>
        <v>_Neo_Lab_Opn_30##ONWAAR</v>
      </c>
      <c r="E1610"/>
      <c r="F1610"/>
    </row>
    <row r="1611" spans="1:6" s="151" customFormat="1" x14ac:dyDescent="0.2">
      <c r="A1611" s="151" t="s">
        <v>2457</v>
      </c>
      <c r="B1611" t="b">
        <f>IF(ISBLANK(NeoBerLab!$C$34),"",NeoBerLab!$C$34)</f>
        <v>0</v>
      </c>
      <c r="C1611" s="151" t="b">
        <v>0</v>
      </c>
      <c r="D1611" s="151" t="str">
        <f t="shared" si="25"/>
        <v>_Neo_Lab_Opn_31##ONWAAR</v>
      </c>
      <c r="E1611"/>
      <c r="F1611"/>
    </row>
    <row r="1612" spans="1:6" s="151" customFormat="1" x14ac:dyDescent="0.2">
      <c r="A1612" s="151" t="s">
        <v>2458</v>
      </c>
      <c r="B1612" t="b">
        <f>IF(ISBLANK(NeoBerLab!$C$35),"",NeoBerLab!$C$35)</f>
        <v>0</v>
      </c>
      <c r="C1612" t="b">
        <v>0</v>
      </c>
      <c r="D1612" s="151" t="str">
        <f t="shared" si="25"/>
        <v>_Neo_Lab_Opn_32##ONWAAR</v>
      </c>
      <c r="E1612"/>
      <c r="F1612"/>
    </row>
    <row r="1613" spans="1:6" s="151" customFormat="1" x14ac:dyDescent="0.2">
      <c r="A1613" s="151" t="s">
        <v>3168</v>
      </c>
      <c r="B1613">
        <f>IF(ISBLANK(PatDetails!$B$9),"",PatDetails!$B$9)</f>
        <v>0</v>
      </c>
      <c r="C1613" s="153">
        <v>0</v>
      </c>
      <c r="D1613" s="151" t="str">
        <f t="shared" si="25"/>
        <v>_Pat_GebGew##0</v>
      </c>
      <c r="E1613"/>
      <c r="F1613"/>
    </row>
    <row r="1614" spans="1:6" x14ac:dyDescent="0.2">
      <c r="A1614" s="151" t="s">
        <v>5168</v>
      </c>
      <c r="B1614" t="str">
        <f>IF(ISBLANK(PatDetails!$B$8),"",PatDetails!$B$8)</f>
        <v/>
      </c>
      <c r="C1614" s="151"/>
      <c r="D1614" s="151" t="str">
        <f t="shared" si="25"/>
        <v>_Pat_Geslacht##</v>
      </c>
    </row>
    <row r="1615" spans="1:6" x14ac:dyDescent="0.2">
      <c r="A1615" s="151" t="s">
        <v>4120</v>
      </c>
      <c r="B1615">
        <f>IF(ISBLANK(PatDetails!$B$11),"",PatDetails!$B$11)</f>
        <v>0</v>
      </c>
      <c r="C1615" s="153">
        <v>0</v>
      </c>
      <c r="D1615" s="151" t="str">
        <f t="shared" si="25"/>
        <v>_Pat_GestDagen##0</v>
      </c>
    </row>
    <row r="1616" spans="1:6" x14ac:dyDescent="0.2">
      <c r="A1616" s="151" t="s">
        <v>4121</v>
      </c>
      <c r="B1616">
        <f>IF(ISBLANK(PatDetails!$B$12),"",PatDetails!$B$12)</f>
        <v>0</v>
      </c>
      <c r="C1616" s="153">
        <v>0</v>
      </c>
      <c r="D1616" s="151" t="str">
        <f t="shared" si="25"/>
        <v>_Pat_GestWeken##0</v>
      </c>
    </row>
    <row r="1617" spans="1:6" x14ac:dyDescent="0.2">
      <c r="A1617" s="151" t="s">
        <v>2745</v>
      </c>
      <c r="B1617">
        <f>IF(ISBLANK(PatDetails!$B$6),"",PatDetails!$B$6)</f>
        <v>0</v>
      </c>
      <c r="C1617" s="153">
        <v>0</v>
      </c>
      <c r="D1617" s="151" t="str">
        <f t="shared" si="25"/>
        <v>_Pat_Gewicht##0</v>
      </c>
    </row>
    <row r="1618" spans="1:6" x14ac:dyDescent="0.2">
      <c r="A1618" s="151" t="s">
        <v>2746</v>
      </c>
      <c r="B1618">
        <f>IF(ISBLANK(PatDetails!$B$7),"",PatDetails!$B$7)</f>
        <v>0</v>
      </c>
      <c r="C1618" s="153">
        <v>0</v>
      </c>
      <c r="D1618" s="151" t="str">
        <f t="shared" si="25"/>
        <v>_Pat_Lengte##0</v>
      </c>
    </row>
    <row r="1619" spans="1:6" x14ac:dyDescent="0.2">
      <c r="A1619" s="151" t="s">
        <v>2744</v>
      </c>
      <c r="B1619" s="11">
        <f>IF(ISBLANK(PatDetails!$B$10),"",PatDetails!$B$10)</f>
        <v>1462</v>
      </c>
      <c r="C1619" s="43">
        <f>EmptyDate()</f>
        <v>1462</v>
      </c>
      <c r="D1619" s="151" t="str">
        <f t="shared" si="25"/>
        <v>_Pat_OpnDatum##1462</v>
      </c>
    </row>
    <row r="1620" spans="1:6" x14ac:dyDescent="0.2">
      <c r="A1620" s="151" t="s">
        <v>1638</v>
      </c>
      <c r="B1620" t="b">
        <f>IF(ISBLANK(PedBerAfspr!$D$11),"",PedBerAfspr!$D$11)</f>
        <v>0</v>
      </c>
      <c r="C1620" s="151" t="b">
        <v>0</v>
      </c>
      <c r="D1620" s="151" t="str">
        <f t="shared" si="25"/>
        <v>_Ped_AfsprB_ArmLinks##ONWAAR</v>
      </c>
    </row>
    <row r="1621" spans="1:6" x14ac:dyDescent="0.2">
      <c r="A1621" s="151" t="s">
        <v>1639</v>
      </c>
      <c r="B1621" t="b">
        <f>IF(ISBLANK(PedBerAfspr!$D$12),"",PedBerAfspr!$D$12)</f>
        <v>0</v>
      </c>
      <c r="C1621" s="151" t="b">
        <v>0</v>
      </c>
      <c r="D1621" s="151" t="str">
        <f t="shared" si="25"/>
        <v>_Ped_AfsprB_ArmRechts##ONWAAR</v>
      </c>
    </row>
    <row r="1622" spans="1:6" x14ac:dyDescent="0.2">
      <c r="A1622" s="151" t="s">
        <v>1640</v>
      </c>
      <c r="B1622" t="b">
        <f>IF(ISBLANK(PedBerAfspr!$D$13),"",PedBerAfspr!$D$13)</f>
        <v>0</v>
      </c>
      <c r="C1622" s="151" t="b">
        <v>0</v>
      </c>
      <c r="D1622" s="151" t="str">
        <f t="shared" si="25"/>
        <v>_Ped_AfsprB_BeenLinks##ONWAAR</v>
      </c>
    </row>
    <row r="1623" spans="1:6" x14ac:dyDescent="0.2">
      <c r="A1623" s="151" t="s">
        <v>1641</v>
      </c>
      <c r="B1623" t="b">
        <f>IF(ISBLANK(PedBerAfspr!$D$14),"",PedBerAfspr!$D$14)</f>
        <v>0</v>
      </c>
      <c r="C1623" s="151" t="b">
        <v>0</v>
      </c>
      <c r="D1623" s="151" t="str">
        <f t="shared" si="25"/>
        <v>_Ped_AfsprB_BeenRechts##ONWAAR</v>
      </c>
    </row>
    <row r="1624" spans="1:6" x14ac:dyDescent="0.2">
      <c r="A1624" s="151" t="s">
        <v>1642</v>
      </c>
      <c r="B1624" t="b">
        <f>IF(ISBLANK(PedBerAfspr!$B$10),"",PedBerAfspr!$B$10)</f>
        <v>0</v>
      </c>
      <c r="C1624" s="151" t="b">
        <v>0</v>
      </c>
      <c r="D1624" s="151" t="str">
        <f t="shared" si="25"/>
        <v>_Ped_AfsprB_Buik##ONWAAR</v>
      </c>
    </row>
    <row r="1625" spans="1:6" x14ac:dyDescent="0.2">
      <c r="A1625" s="151" t="s">
        <v>1643</v>
      </c>
      <c r="B1625" t="b">
        <f>IF(ISBLANK(PedBerAfspr!$F$7),"",PedBerAfspr!$F$7)</f>
        <v>0</v>
      </c>
      <c r="C1625" s="151" t="b">
        <v>0</v>
      </c>
      <c r="D1625" s="151" t="str">
        <f t="shared" si="25"/>
        <v>_Ped_AfsprB_Catheter##ONWAAR</v>
      </c>
    </row>
    <row r="1626" spans="1:6" x14ac:dyDescent="0.2">
      <c r="A1626" s="151" t="s">
        <v>1644</v>
      </c>
      <c r="B1626" t="b">
        <f>IF(ISBLANK(PedBerAfspr!$B$20),"",PedBerAfspr!$B$20)</f>
        <v>0</v>
      </c>
      <c r="C1626" s="151" t="b">
        <v>0</v>
      </c>
      <c r="D1626" s="151" t="str">
        <f t="shared" si="25"/>
        <v>_Ped_AfsprB_CFM##ONWAAR</v>
      </c>
    </row>
    <row r="1627" spans="1:6" x14ac:dyDescent="0.2">
      <c r="A1627" s="151" t="s">
        <v>1645</v>
      </c>
      <c r="B1627" t="b">
        <f>IF(ISBLANK(PedBerAfspr!$F$10),"",PedBerAfspr!$F$10)</f>
        <v>0</v>
      </c>
      <c r="C1627" s="151" t="b">
        <v>0</v>
      </c>
      <c r="D1627" s="151" t="str">
        <f t="shared" si="25"/>
        <v>_Ped_AfsprB_Duodenumsonde##ONWAAR</v>
      </c>
    </row>
    <row r="1628" spans="1:6" x14ac:dyDescent="0.2">
      <c r="A1628" s="151" t="s">
        <v>1646</v>
      </c>
      <c r="B1628" t="b">
        <f>IF(ISBLANK(PedBerAfspr!$B$21),"",PedBerAfspr!$B$21)</f>
        <v>0</v>
      </c>
      <c r="C1628" s="151" t="b">
        <v>0</v>
      </c>
      <c r="D1628" s="151" t="str">
        <f t="shared" si="25"/>
        <v>_Ped_AfsprB_ECG##ONWAAR</v>
      </c>
    </row>
    <row r="1629" spans="1:6" s="151" customFormat="1" x14ac:dyDescent="0.2">
      <c r="A1629" s="151" t="s">
        <v>1647</v>
      </c>
      <c r="B1629" t="b">
        <f>IF(ISBLANK(PedBerAfspr!$F$12),"",PedBerAfspr!$F$12)</f>
        <v>0</v>
      </c>
      <c r="C1629" s="151" t="b">
        <v>0</v>
      </c>
      <c r="D1629" s="151" t="str">
        <f t="shared" si="25"/>
        <v>_Ped_AfsprB_Gastrostoma##ONWAAR</v>
      </c>
      <c r="E1629"/>
      <c r="F1629"/>
    </row>
    <row r="1630" spans="1:6" s="151" customFormat="1" x14ac:dyDescent="0.2">
      <c r="A1630" s="151" t="s">
        <v>1648</v>
      </c>
      <c r="B1630" t="b">
        <f>IF(ISBLANK(PedBerAfspr!$B$42),"",PedBerAfspr!$B$42)</f>
        <v>0</v>
      </c>
      <c r="C1630" s="151" t="b">
        <v>0</v>
      </c>
      <c r="D1630" s="151" t="str">
        <f t="shared" si="25"/>
        <v>_Ped_AfsprB_GCS##ONWAAR</v>
      </c>
      <c r="E1630"/>
      <c r="F1630"/>
    </row>
    <row r="1631" spans="1:6" s="151" customFormat="1" x14ac:dyDescent="0.2">
      <c r="A1631" s="151" t="s">
        <v>1649</v>
      </c>
      <c r="B1631" t="b">
        <f>IF(ISBLANK(PedBerAfspr!$B$7),"",PedBerAfspr!$B$7)</f>
        <v>0</v>
      </c>
      <c r="C1631" s="151" t="b">
        <v>0</v>
      </c>
      <c r="D1631" s="151" t="str">
        <f t="shared" si="25"/>
        <v>_Ped_AfsprB_Gewicht##ONWAAR</v>
      </c>
      <c r="E1631"/>
      <c r="F1631"/>
    </row>
    <row r="1632" spans="1:6" s="151" customFormat="1" x14ac:dyDescent="0.2">
      <c r="A1632" s="151" t="s">
        <v>1650</v>
      </c>
      <c r="B1632" t="b">
        <f>IF(ISBLANK(PedBerAfspr!$F$15),"",PedBerAfspr!$F$15)</f>
        <v>0</v>
      </c>
      <c r="C1632" s="151" t="b">
        <v>0</v>
      </c>
      <c r="D1632" s="151" t="str">
        <f t="shared" si="25"/>
        <v>_Ped_AfsprB_HardeKraag##ONWAAR</v>
      </c>
      <c r="E1632"/>
      <c r="F1632"/>
    </row>
    <row r="1633" spans="1:6" s="151" customFormat="1" x14ac:dyDescent="0.2">
      <c r="A1633" s="151" t="s">
        <v>1651</v>
      </c>
      <c r="B1633" t="b">
        <f>IF(ISBLANK(PedBerAfspr!$F$13),"",PedBerAfspr!$F$13)</f>
        <v>0</v>
      </c>
      <c r="C1633" s="151" t="b">
        <v>0</v>
      </c>
      <c r="D1633" s="151" t="str">
        <f t="shared" si="25"/>
        <v>_Ped_AfsprB_Headblocks##ONWAAR</v>
      </c>
      <c r="E1633"/>
      <c r="F1633"/>
    </row>
    <row r="1634" spans="1:6" x14ac:dyDescent="0.2">
      <c r="A1634" s="151" t="s">
        <v>1652</v>
      </c>
      <c r="B1634" t="b">
        <f>IF(ISBLANK(PedBerAfspr!$B$24),"",PedBerAfspr!$B$24)</f>
        <v>0</v>
      </c>
      <c r="C1634" s="151" t="b">
        <v>0</v>
      </c>
      <c r="D1634" s="151" t="str">
        <f t="shared" si="25"/>
        <v>_Ped_AfsprB_ICP##ONWAAR</v>
      </c>
    </row>
    <row r="1635" spans="1:6" x14ac:dyDescent="0.2">
      <c r="A1635" s="151" t="s">
        <v>1653</v>
      </c>
      <c r="B1635" t="b">
        <f>IF(ISBLANK(PedBerAfspr!$B$8),"",PedBerAfspr!$B$8)</f>
        <v>0</v>
      </c>
      <c r="C1635" s="151" t="b">
        <v>0</v>
      </c>
      <c r="D1635" s="151" t="str">
        <f t="shared" si="25"/>
        <v>_Ped_AfsprB_Lengte##ONWAAR</v>
      </c>
    </row>
    <row r="1636" spans="1:6" x14ac:dyDescent="0.2">
      <c r="A1636" s="151" t="s">
        <v>1654</v>
      </c>
      <c r="B1636" t="b">
        <f>IF(ISBLANK(PedBerAfspr!$B$39),"",PedBerAfspr!$B$39)</f>
        <v>0</v>
      </c>
      <c r="C1636" s="151" t="b">
        <v>0</v>
      </c>
      <c r="D1636" s="151" t="str">
        <f t="shared" si="25"/>
        <v>_Ped_AfsprB_Liquor##ONWAAR</v>
      </c>
    </row>
    <row r="1637" spans="1:6" x14ac:dyDescent="0.2">
      <c r="A1637" s="151" t="s">
        <v>1655</v>
      </c>
      <c r="B1637" t="b">
        <f>IF(ISBLANK(PedBerAfspr!$F$16),"",PedBerAfspr!$F$16)</f>
        <v>0</v>
      </c>
      <c r="C1637" s="151" t="b">
        <v>0</v>
      </c>
      <c r="D1637" s="151" t="str">
        <f t="shared" si="25"/>
        <v>_Ped_AfsprB_Maagretentie##ONWAAR</v>
      </c>
    </row>
    <row r="1638" spans="1:6" x14ac:dyDescent="0.2">
      <c r="A1638" s="151" t="s">
        <v>1656</v>
      </c>
      <c r="B1638" t="b">
        <f>IF(ISBLANK(PedBerAfspr!$F$9),"",PedBerAfspr!$F$9)</f>
        <v>0</v>
      </c>
      <c r="C1638" s="151" t="b">
        <v>0</v>
      </c>
      <c r="D1638" s="151" t="str">
        <f t="shared" si="25"/>
        <v>_Ped_AfsprB_Maagsonde##ONWAAR</v>
      </c>
    </row>
    <row r="1639" spans="1:6" x14ac:dyDescent="0.2">
      <c r="A1639" s="151" t="s">
        <v>1657</v>
      </c>
      <c r="B1639" t="b">
        <f>IF(ISBLANK(PedBerAfspr!$B$11),"",PedBerAfspr!$B$11)</f>
        <v>0</v>
      </c>
      <c r="C1639" s="151" t="b">
        <v>0</v>
      </c>
      <c r="D1639" s="151" t="str">
        <f t="shared" si="25"/>
        <v>_Ped_AfsprB_NIBD##ONWAAR</v>
      </c>
    </row>
    <row r="1640" spans="1:6" x14ac:dyDescent="0.2">
      <c r="A1640" s="151" t="s">
        <v>1658</v>
      </c>
      <c r="B1640" t="b">
        <f>IF(ISBLANK(PedBerAfspr!$B$15),"",PedBerAfspr!$B$15)</f>
        <v>0</v>
      </c>
      <c r="C1640" s="151" t="b">
        <v>0</v>
      </c>
      <c r="D1640" s="151" t="str">
        <f t="shared" si="25"/>
        <v>_Ped_AfsprB_NIBDAlle##ONWAAR</v>
      </c>
    </row>
    <row r="1641" spans="1:6" x14ac:dyDescent="0.2">
      <c r="A1641" s="151" t="s">
        <v>1659</v>
      </c>
      <c r="B1641" t="b">
        <f>IF(ISBLANK(PedBerAfspr!$B$22),"",PedBerAfspr!$B$22)</f>
        <v>0</v>
      </c>
      <c r="C1641" s="151" t="b">
        <v>0</v>
      </c>
      <c r="D1641" s="151" t="str">
        <f t="shared" si="25"/>
        <v>_Ped_AfsprB_NIRS1##ONWAAR</v>
      </c>
    </row>
    <row r="1642" spans="1:6" x14ac:dyDescent="0.2">
      <c r="A1642" s="151" t="s">
        <v>1660</v>
      </c>
      <c r="B1642" t="b">
        <f>IF(ISBLANK(PedBerAfspr!$B$23),"",PedBerAfspr!$B$23)</f>
        <v>0</v>
      </c>
      <c r="C1642" s="151" t="b">
        <v>0</v>
      </c>
      <c r="D1642" s="151" t="str">
        <f t="shared" si="25"/>
        <v>_Ped_AfsprB_NIRS2##ONWAAR</v>
      </c>
    </row>
    <row r="1643" spans="1:6" x14ac:dyDescent="0.2">
      <c r="A1643" s="151" t="s">
        <v>1661</v>
      </c>
      <c r="B1643" t="b">
        <f>IF(ISBLANK(PedBerAfspr!$F$11),"",PedBerAfspr!$F$11)</f>
        <v>0</v>
      </c>
      <c r="C1643" s="151" t="b">
        <v>0</v>
      </c>
      <c r="D1643" s="151" t="str">
        <f t="shared" si="25"/>
        <v>_Ped_AfsprB_PEG##ONWAAR</v>
      </c>
    </row>
    <row r="1644" spans="1:6" x14ac:dyDescent="0.2">
      <c r="A1644" s="151" t="s">
        <v>1662</v>
      </c>
      <c r="B1644" t="b">
        <f>IF(ISBLANK(PedBerAfspr!$B$36),"",PedBerAfspr!$B$36)</f>
        <v>0</v>
      </c>
      <c r="C1644" s="151" t="b">
        <v>0</v>
      </c>
      <c r="D1644" s="151" t="str">
        <f t="shared" si="25"/>
        <v>_Ped_AfsprB_Peritoneaal##ONWAAR</v>
      </c>
    </row>
    <row r="1645" spans="1:6" x14ac:dyDescent="0.2">
      <c r="A1645" s="151" t="s">
        <v>1663</v>
      </c>
      <c r="B1645" t="b">
        <f>IF(ISBLANK(PedBerAfspr!$D$36),"",PedBerAfspr!$D$36)</f>
        <v>0</v>
      </c>
      <c r="C1645" s="151" t="b">
        <v>0</v>
      </c>
      <c r="D1645" s="151" t="str">
        <f t="shared" si="25"/>
        <v>_Ped_AfsprB_PeritoneaalVacuum##ONWAAR</v>
      </c>
    </row>
    <row r="1646" spans="1:6" x14ac:dyDescent="0.2">
      <c r="A1646" s="151" t="s">
        <v>1664</v>
      </c>
      <c r="B1646" t="b">
        <f>IF(ISBLANK(PedBerAfspr!$B$37),"",PedBerAfspr!$B$37)</f>
        <v>0</v>
      </c>
      <c r="C1646" s="151" t="b">
        <v>0</v>
      </c>
      <c r="D1646" s="151" t="str">
        <f t="shared" si="25"/>
        <v>_Ped_AfsprB_Pigtail##ONWAAR</v>
      </c>
    </row>
    <row r="1647" spans="1:6" x14ac:dyDescent="0.2">
      <c r="A1647" s="151" t="s">
        <v>1665</v>
      </c>
      <c r="B1647" t="b">
        <f>IF(ISBLANK(PedBerAfspr!$D$37),"",PedBerAfspr!$D$37)</f>
        <v>0</v>
      </c>
      <c r="C1647" s="151" t="b">
        <v>0</v>
      </c>
      <c r="D1647" s="151" t="str">
        <f t="shared" si="25"/>
        <v>_Ped_AfsprB_PigtailVacuum##ONWAAR</v>
      </c>
    </row>
    <row r="1648" spans="1:6" x14ac:dyDescent="0.2">
      <c r="A1648" s="151" t="s">
        <v>1666</v>
      </c>
      <c r="B1648" t="b">
        <f>IF(ISBLANK(PedBerAfspr!$B$43),"",PedBerAfspr!$B$43)</f>
        <v>0</v>
      </c>
      <c r="C1648" s="151" t="b">
        <v>0</v>
      </c>
      <c r="D1648" s="151" t="str">
        <f t="shared" si="25"/>
        <v>_Ped_AfsprB_Pupil##ONWAAR</v>
      </c>
    </row>
    <row r="1649" spans="1:6" s="151" customFormat="1" x14ac:dyDescent="0.2">
      <c r="A1649" s="151" t="s">
        <v>1667</v>
      </c>
      <c r="B1649" t="b">
        <f>IF(ISBLANK(PedBerAfspr!$B$38),"",PedBerAfspr!$B$38)</f>
        <v>0</v>
      </c>
      <c r="C1649" s="151" t="b">
        <v>0</v>
      </c>
      <c r="D1649" s="151" t="str">
        <f t="shared" si="25"/>
        <v>_Ped_AfsprB_Redon##ONWAAR</v>
      </c>
      <c r="E1649"/>
      <c r="F1649"/>
    </row>
    <row r="1650" spans="1:6" s="151" customFormat="1" x14ac:dyDescent="0.2">
      <c r="A1650" s="151" t="s">
        <v>1668</v>
      </c>
      <c r="B1650" t="b">
        <f>IF(ISBLANK(PedBerAfspr!$D$38),"",PedBerAfspr!$D$38)</f>
        <v>0</v>
      </c>
      <c r="C1650" s="151" t="b">
        <v>0</v>
      </c>
      <c r="D1650" s="151" t="str">
        <f t="shared" si="25"/>
        <v>_Ped_AfsprB_RedonVacuum##ONWAAR</v>
      </c>
      <c r="E1650"/>
      <c r="F1650"/>
    </row>
    <row r="1651" spans="1:6" s="151" customFormat="1" x14ac:dyDescent="0.2">
      <c r="A1651" s="151" t="s">
        <v>1669</v>
      </c>
      <c r="B1651" t="b">
        <f>IF(ISBLANK(PedBerAfspr!$B$16),"",PedBerAfspr!$B$16)</f>
        <v>0</v>
      </c>
      <c r="C1651" s="151" t="b">
        <v>0</v>
      </c>
      <c r="D1651" s="151" t="str">
        <f t="shared" si="25"/>
        <v>_Ped_AfsprB_SaturatiePost##ONWAAR</v>
      </c>
      <c r="E1651"/>
      <c r="F1651"/>
    </row>
    <row r="1652" spans="1:6" s="151" customFormat="1" x14ac:dyDescent="0.2">
      <c r="A1652" s="151" t="s">
        <v>1670</v>
      </c>
      <c r="B1652" t="b">
        <f>IF(ISBLANK(PedBerAfspr!$B$17),"",PedBerAfspr!$B$17)</f>
        <v>0</v>
      </c>
      <c r="C1652" s="151" t="b">
        <v>0</v>
      </c>
      <c r="D1652" s="151" t="str">
        <f t="shared" si="25"/>
        <v>_Ped_AfsprB_SaturatiePre##ONWAAR</v>
      </c>
      <c r="E1652"/>
      <c r="F1652"/>
    </row>
    <row r="1653" spans="1:6" s="151" customFormat="1" x14ac:dyDescent="0.2">
      <c r="A1653" s="151" t="s">
        <v>1671</v>
      </c>
      <c r="B1653" t="b">
        <f>IF(ISBLANK(PedBerAfspr!$B$9),"",PedBerAfspr!$B$9)</f>
        <v>0</v>
      </c>
      <c r="C1653" s="151" t="b">
        <v>0</v>
      </c>
      <c r="D1653" s="151" t="str">
        <f t="shared" si="25"/>
        <v>_Ped_AfsprB_Schedel##ONWAAR</v>
      </c>
      <c r="E1653"/>
      <c r="F1653"/>
    </row>
    <row r="1654" spans="1:6" x14ac:dyDescent="0.2">
      <c r="A1654" s="151" t="s">
        <v>1672</v>
      </c>
      <c r="B1654" t="b">
        <f>IF(ISBLANK(PedBerAfspr!$B$44),"",PedBerAfspr!$B$44)</f>
        <v>0</v>
      </c>
      <c r="C1654" s="151" t="b">
        <v>0</v>
      </c>
      <c r="D1654" s="151" t="str">
        <f t="shared" si="25"/>
        <v>_Ped_AfsprB_Sedatie##ONWAAR</v>
      </c>
    </row>
    <row r="1655" spans="1:6" x14ac:dyDescent="0.2">
      <c r="A1655" s="151" t="s">
        <v>1673</v>
      </c>
      <c r="B1655" t="b">
        <f>IF(ISBLANK(PedBerAfspr!$B$27),"",PedBerAfspr!$B$27)</f>
        <v>0</v>
      </c>
      <c r="C1655" s="151" t="b">
        <v>0</v>
      </c>
      <c r="D1655" s="151" t="str">
        <f t="shared" si="25"/>
        <v>_Ped_AfsprB_Thorax1##ONWAAR</v>
      </c>
    </row>
    <row r="1656" spans="1:6" x14ac:dyDescent="0.2">
      <c r="A1656" s="151" t="s">
        <v>1674</v>
      </c>
      <c r="B1656" t="b">
        <f>IF(ISBLANK(PedBerAfspr!$B$30),"",PedBerAfspr!$B$30)</f>
        <v>0</v>
      </c>
      <c r="C1656" s="151" t="b">
        <v>0</v>
      </c>
      <c r="D1656" s="151" t="str">
        <f t="shared" si="25"/>
        <v>_Ped_AfsprB_Thorax2##ONWAAR</v>
      </c>
    </row>
    <row r="1657" spans="1:6" x14ac:dyDescent="0.2">
      <c r="A1657" s="151" t="s">
        <v>1675</v>
      </c>
      <c r="B1657" t="b">
        <f>IF(ISBLANK(PedBerAfspr!$B$33),"",PedBerAfspr!$B$33)</f>
        <v>0</v>
      </c>
      <c r="C1657" s="151" t="b">
        <v>0</v>
      </c>
      <c r="D1657" s="151" t="str">
        <f t="shared" si="25"/>
        <v>_Ped_AfsprB_Thorax3##ONWAAR</v>
      </c>
    </row>
    <row r="1658" spans="1:6" x14ac:dyDescent="0.2">
      <c r="A1658" s="151" t="s">
        <v>1676</v>
      </c>
      <c r="B1658" t="b">
        <f>IF(ISBLANK(PedBerAfspr!$B$25),"",PedBerAfspr!$B$25)</f>
        <v>0</v>
      </c>
      <c r="C1658" s="151" t="b">
        <v>0</v>
      </c>
      <c r="D1658" s="151" t="str">
        <f t="shared" si="25"/>
        <v>_Ped_AfsprB_TOSCA##ONWAAR</v>
      </c>
    </row>
    <row r="1659" spans="1:6" x14ac:dyDescent="0.2">
      <c r="A1659" s="151" t="s">
        <v>1677</v>
      </c>
      <c r="B1659" t="b">
        <f>IF(ISBLANK(PedBerAfspr!$F$8),"",PedBerAfspr!$F$8)</f>
        <v>0</v>
      </c>
      <c r="C1659" s="151" t="b">
        <v>0</v>
      </c>
      <c r="D1659" s="151" t="str">
        <f t="shared" si="25"/>
        <v>_Ped_AfsprB_Urostoma##ONWAAR</v>
      </c>
    </row>
    <row r="1660" spans="1:6" x14ac:dyDescent="0.2">
      <c r="A1660" s="151" t="s">
        <v>1678</v>
      </c>
      <c r="B1660" t="b">
        <f>IF(ISBLANK(PedBerAfspr!$F$18),"",PedBerAfspr!$F$18)</f>
        <v>0</v>
      </c>
      <c r="C1660" s="151" t="b">
        <v>0</v>
      </c>
      <c r="D1660" s="151" t="str">
        <f t="shared" si="25"/>
        <v>_Ped_AfsprB_Verliezen##ONWAAR</v>
      </c>
    </row>
    <row r="1661" spans="1:6" x14ac:dyDescent="0.2">
      <c r="A1661" s="151" t="s">
        <v>1679</v>
      </c>
      <c r="B1661" t="b">
        <f>IF(ISBLANK(PedBerAfspr!$F$14),"",PedBerAfspr!$F$14)</f>
        <v>0</v>
      </c>
      <c r="C1661" s="151" t="b">
        <v>0</v>
      </c>
      <c r="D1661" s="151" t="str">
        <f t="shared" si="25"/>
        <v>_Ped_AfsprB_ZachteKraag##ONWAAR</v>
      </c>
    </row>
    <row r="1662" spans="1:6" x14ac:dyDescent="0.2">
      <c r="A1662" s="151" t="s">
        <v>1680</v>
      </c>
      <c r="B1662">
        <f>IF(ISBLANK(PedBerAfspr!$C$42),"",PedBerAfspr!$C$42)</f>
        <v>0</v>
      </c>
      <c r="C1662" s="151">
        <v>0</v>
      </c>
      <c r="D1662" s="151" t="str">
        <f t="shared" si="25"/>
        <v>_Ped_AfsprD_GCSdd##0</v>
      </c>
    </row>
    <row r="1663" spans="1:6" x14ac:dyDescent="0.2">
      <c r="A1663" s="151" t="s">
        <v>1681</v>
      </c>
      <c r="B1663">
        <f>IF(ISBLANK(PedBerAfspr!$C$7),"",PedBerAfspr!$C$7)</f>
        <v>0</v>
      </c>
      <c r="C1663" s="151">
        <v>0</v>
      </c>
      <c r="D1663" s="151" t="str">
        <f t="shared" si="25"/>
        <v>_Ped_AfsprD_GewichtFrequentie##0</v>
      </c>
    </row>
    <row r="1664" spans="1:6" x14ac:dyDescent="0.2">
      <c r="A1664" s="151" t="s">
        <v>1682</v>
      </c>
      <c r="B1664">
        <f>IF(ISBLANK(PedBerAfspr!$D$7),"",PedBerAfspr!$D$7)</f>
        <v>0</v>
      </c>
      <c r="C1664" s="151">
        <v>0</v>
      </c>
      <c r="D1664" s="151" t="str">
        <f t="shared" si="25"/>
        <v>_Ped_AfsprD_GewichtPer##0</v>
      </c>
    </row>
    <row r="1665" spans="1:6" x14ac:dyDescent="0.2">
      <c r="A1665" s="151" t="s">
        <v>1683</v>
      </c>
      <c r="B1665">
        <f>IF(ISBLANK(PedBerAfspr!$C$8),"",PedBerAfspr!$C$8)</f>
        <v>0</v>
      </c>
      <c r="C1665" s="151">
        <v>0</v>
      </c>
      <c r="D1665" s="151" t="str">
        <f t="shared" si="25"/>
        <v>_Ped_AfsprD_LengteFrequentie##0</v>
      </c>
    </row>
    <row r="1666" spans="1:6" x14ac:dyDescent="0.2">
      <c r="A1666" s="151" t="s">
        <v>1684</v>
      </c>
      <c r="B1666">
        <f>IF(ISBLANK(PedBerAfspr!$D$8),"",PedBerAfspr!$D$8)</f>
        <v>0</v>
      </c>
      <c r="C1666" s="151">
        <v>0</v>
      </c>
      <c r="D1666" s="151" t="str">
        <f t="shared" si="25"/>
        <v>_Ped_AfsprD_LengtePer##0</v>
      </c>
    </row>
    <row r="1667" spans="1:6" x14ac:dyDescent="0.2">
      <c r="A1667" s="151" t="s">
        <v>1685</v>
      </c>
      <c r="B1667">
        <f>IF(ISBLANK(PedBerAfspr!$D$40),"",PedBerAfspr!$D$40)</f>
        <v>0</v>
      </c>
      <c r="C1667" s="151">
        <v>0</v>
      </c>
      <c r="D1667" s="151" t="str">
        <f t="shared" ref="D1667:D1730" si="26">A1667&amp;"##"&amp;B1667</f>
        <v>_Ped_AfsprD_LiquorHoogte##0</v>
      </c>
    </row>
    <row r="1668" spans="1:6" x14ac:dyDescent="0.2">
      <c r="A1668" s="151" t="s">
        <v>1686</v>
      </c>
      <c r="B1668">
        <f>IF(ISBLANK(PedBerAfspr!$D$39),"",PedBerAfspr!$D$39)</f>
        <v>0</v>
      </c>
      <c r="C1668" s="151">
        <v>0</v>
      </c>
      <c r="D1668" s="151" t="str">
        <f t="shared" si="26"/>
        <v>_Ped_AfsprD_LiquorSub##0</v>
      </c>
    </row>
    <row r="1669" spans="1:6" x14ac:dyDescent="0.2">
      <c r="A1669" s="151" t="s">
        <v>1687</v>
      </c>
      <c r="B1669">
        <f>IF(ISBLANK(PedBerAfspr!$G$16),"",PedBerAfspr!$G$16)</f>
        <v>0</v>
      </c>
      <c r="C1669" s="151">
        <v>0</v>
      </c>
      <c r="D1669" s="151" t="str">
        <f t="shared" si="26"/>
        <v>_Ped_AfsprD_MaagretentieUur##0</v>
      </c>
    </row>
    <row r="1670" spans="1:6" s="151" customFormat="1" x14ac:dyDescent="0.2">
      <c r="A1670" s="151" t="s">
        <v>1688</v>
      </c>
      <c r="B1670">
        <f>IF(ISBLANK(PedBerAfspr!$B$12),"",PedBerAfspr!$B$12)</f>
        <v>0</v>
      </c>
      <c r="C1670" s="151">
        <v>0</v>
      </c>
      <c r="D1670" s="151" t="str">
        <f t="shared" si="26"/>
        <v>_Ped_AfsprD_NIBDdd##0</v>
      </c>
      <c r="E1670"/>
      <c r="F1670"/>
    </row>
    <row r="1671" spans="1:6" s="151" customFormat="1" x14ac:dyDescent="0.2">
      <c r="A1671" s="151" t="s">
        <v>1689</v>
      </c>
      <c r="B1671" t="str">
        <f>IF(ISBLANK(PedBerAfspr!$F$17),"",PedBerAfspr!$F$17)</f>
        <v/>
      </c>
      <c r="C1671" s="44"/>
      <c r="D1671" s="151" t="str">
        <f t="shared" si="26"/>
        <v>_Ped_AfsprD_Overig##</v>
      </c>
      <c r="E1671"/>
      <c r="F1671"/>
    </row>
    <row r="1672" spans="1:6" s="151" customFormat="1" x14ac:dyDescent="0.2">
      <c r="A1672" s="155" t="s">
        <v>4496</v>
      </c>
      <c r="B1672">
        <f>IF(ISBLANK(PedBerAfspr!$C$43),"",PedBerAfspr!$C$43)</f>
        <v>0</v>
      </c>
      <c r="C1672" s="461" t="s">
        <v>4497</v>
      </c>
      <c r="D1672" s="151" t="str">
        <f t="shared" si="26"/>
        <v>_Ped_AfsprD_PupilCdd##0</v>
      </c>
      <c r="E1672"/>
      <c r="F1672"/>
    </row>
    <row r="1673" spans="1:6" s="151" customFormat="1" x14ac:dyDescent="0.2">
      <c r="A1673" s="151" t="s">
        <v>1690</v>
      </c>
      <c r="B1673">
        <f>IF(ISBLANK(PedBerAfspr!$C$9),"",PedBerAfspr!$C$9)</f>
        <v>0</v>
      </c>
      <c r="C1673" s="151">
        <v>0</v>
      </c>
      <c r="D1673" s="151" t="str">
        <f t="shared" si="26"/>
        <v>_Ped_AfsprD_SchedelFrequentie##0</v>
      </c>
      <c r="E1673"/>
      <c r="F1673"/>
    </row>
    <row r="1674" spans="1:6" s="151" customFormat="1" x14ac:dyDescent="0.2">
      <c r="A1674" s="151" t="s">
        <v>1691</v>
      </c>
      <c r="B1674">
        <f>IF(ISBLANK(PedBerAfspr!$D$9),"",PedBerAfspr!$D$9)</f>
        <v>1</v>
      </c>
      <c r="C1674" s="151">
        <v>1</v>
      </c>
      <c r="D1674" s="151" t="str">
        <f t="shared" si="26"/>
        <v>_Ped_AfsprD_SchedelPer##1</v>
      </c>
      <c r="E1674"/>
      <c r="F1674"/>
    </row>
    <row r="1675" spans="1:6" x14ac:dyDescent="0.2">
      <c r="A1675" s="151" t="s">
        <v>1692</v>
      </c>
      <c r="B1675">
        <f>IF(ISBLANK(PedBerAfspr!$D$29),"",PedBerAfspr!$D$29)</f>
        <v>1</v>
      </c>
      <c r="C1675" s="151">
        <v>1</v>
      </c>
      <c r="D1675" s="151" t="str">
        <f t="shared" si="26"/>
        <v>_Ped_AfsprD_Thorax1Sub1##1</v>
      </c>
    </row>
    <row r="1676" spans="1:6" x14ac:dyDescent="0.2">
      <c r="A1676" s="151" t="s">
        <v>1693</v>
      </c>
      <c r="B1676">
        <f>IF(ISBLANK(PedBerAfspr!$D$27),"",PedBerAfspr!$D$27)</f>
        <v>1</v>
      </c>
      <c r="C1676" s="151">
        <v>1</v>
      </c>
      <c r="D1676" s="151" t="str">
        <f t="shared" si="26"/>
        <v>_Ped_AfsprD_Thorax1Sub2##1</v>
      </c>
    </row>
    <row r="1677" spans="1:6" x14ac:dyDescent="0.2">
      <c r="A1677" s="151" t="s">
        <v>1694</v>
      </c>
      <c r="B1677">
        <f>IF(ISBLANK(PedBerAfspr!$D$28),"",PedBerAfspr!$D$28)</f>
        <v>1</v>
      </c>
      <c r="C1677" s="151">
        <v>1</v>
      </c>
      <c r="D1677" s="151" t="str">
        <f t="shared" si="26"/>
        <v>_Ped_AfsprD_Thorax1Sub3##1</v>
      </c>
    </row>
    <row r="1678" spans="1:6" x14ac:dyDescent="0.2">
      <c r="A1678" s="151" t="s">
        <v>1695</v>
      </c>
      <c r="B1678">
        <f>IF(ISBLANK(PedBerAfspr!$D$32),"",PedBerAfspr!$D$32)</f>
        <v>1</v>
      </c>
      <c r="C1678" s="151">
        <v>1</v>
      </c>
      <c r="D1678" s="151" t="str">
        <f t="shared" si="26"/>
        <v>_Ped_AfsprD_Thorax2Sub1##1</v>
      </c>
    </row>
    <row r="1679" spans="1:6" x14ac:dyDescent="0.2">
      <c r="A1679" s="151" t="s">
        <v>1696</v>
      </c>
      <c r="B1679">
        <f>IF(ISBLANK(PedBerAfspr!$D$30),"",PedBerAfspr!$D$30)</f>
        <v>1</v>
      </c>
      <c r="C1679" s="151">
        <v>1</v>
      </c>
      <c r="D1679" s="151" t="str">
        <f t="shared" si="26"/>
        <v>_Ped_AfsprD_Thorax2Sub2##1</v>
      </c>
    </row>
    <row r="1680" spans="1:6" x14ac:dyDescent="0.2">
      <c r="A1680" s="151" t="s">
        <v>1697</v>
      </c>
      <c r="B1680">
        <f>IF(ISBLANK(PedBerAfspr!$D$31),"",PedBerAfspr!$D$31)</f>
        <v>1</v>
      </c>
      <c r="C1680" s="151">
        <v>1</v>
      </c>
      <c r="D1680" s="151" t="str">
        <f t="shared" si="26"/>
        <v>_Ped_AfsprD_Thorax2Sub3##1</v>
      </c>
    </row>
    <row r="1681" spans="1:6" x14ac:dyDescent="0.2">
      <c r="A1681" s="151" t="s">
        <v>1698</v>
      </c>
      <c r="B1681">
        <f>IF(ISBLANK(PedBerAfspr!$D$35),"",PedBerAfspr!$D$35)</f>
        <v>1</v>
      </c>
      <c r="C1681" s="151">
        <v>1</v>
      </c>
      <c r="D1681" s="151" t="str">
        <f t="shared" si="26"/>
        <v>_Ped_AfsprD_Thorax3Sub1##1</v>
      </c>
    </row>
    <row r="1682" spans="1:6" x14ac:dyDescent="0.2">
      <c r="A1682" s="151" t="s">
        <v>1699</v>
      </c>
      <c r="B1682">
        <f>IF(ISBLANK(PedBerAfspr!$D$33),"",PedBerAfspr!$D$33)</f>
        <v>1</v>
      </c>
      <c r="C1682" s="151">
        <v>1</v>
      </c>
      <c r="D1682" s="151" t="str">
        <f t="shared" si="26"/>
        <v>_Ped_AfsprD_Thorax3Sub2##1</v>
      </c>
    </row>
    <row r="1683" spans="1:6" x14ac:dyDescent="0.2">
      <c r="A1683" s="151" t="s">
        <v>1700</v>
      </c>
      <c r="B1683">
        <f>IF(ISBLANK(PedBerAfspr!$D$34),"",PedBerAfspr!$D$34)</f>
        <v>1</v>
      </c>
      <c r="C1683" s="151">
        <v>1</v>
      </c>
      <c r="D1683" s="151" t="str">
        <f t="shared" si="26"/>
        <v>_Ped_AfsprD_Thorax3Sub3##1</v>
      </c>
    </row>
    <row r="1684" spans="1:6" x14ac:dyDescent="0.2">
      <c r="A1684" s="151" t="s">
        <v>2459</v>
      </c>
      <c r="B1684" t="str">
        <f>IF(ISBLANK(PedBerAfspr!$H$18),"",PedBerAfspr!$H$18)</f>
        <v/>
      </c>
      <c r="C1684" s="151">
        <v>0</v>
      </c>
      <c r="D1684" s="151" t="str">
        <f t="shared" si="26"/>
        <v>_Ped_AfsprD_Verliezen##</v>
      </c>
    </row>
    <row r="1685" spans="1:6" x14ac:dyDescent="0.2">
      <c r="A1685" s="151" t="s">
        <v>1701</v>
      </c>
      <c r="B1685" t="str">
        <f>IF(ISBLANK(PedBerAfspr!$H$18),"",PedBerAfspr!$H$18)</f>
        <v/>
      </c>
      <c r="C1685" s="44"/>
      <c r="D1685" s="151" t="str">
        <f t="shared" si="26"/>
        <v>_Ped_AfsprD_VerliezenStof##</v>
      </c>
    </row>
    <row r="1686" spans="1:6" x14ac:dyDescent="0.2">
      <c r="A1686" s="151" t="s">
        <v>1702</v>
      </c>
      <c r="B1686">
        <f>IF(ISBLANK(PedBerAfspr!$G$18),"",PedBerAfspr!$G$18)</f>
        <v>0</v>
      </c>
      <c r="C1686" s="151">
        <v>0</v>
      </c>
      <c r="D1686" s="151" t="str">
        <f t="shared" si="26"/>
        <v>_Ped_AfsprD_VerliezenUur##0</v>
      </c>
    </row>
    <row r="1687" spans="1:6" x14ac:dyDescent="0.2">
      <c r="A1687" s="151" t="s">
        <v>1524</v>
      </c>
      <c r="B1687" t="str">
        <f>IF(ISBLANK(PedBerAfspr!$F$17),"",PedBerAfspr!$F$17)</f>
        <v/>
      </c>
      <c r="C1687" s="44"/>
      <c r="D1687" s="151" t="str">
        <f t="shared" si="26"/>
        <v>_Ped_AfsprOverig##</v>
      </c>
    </row>
    <row r="1688" spans="1:6" x14ac:dyDescent="0.2">
      <c r="A1688" s="151" t="s">
        <v>2460</v>
      </c>
      <c r="B1688">
        <f>IF(ISBLANK(PedBerEnt!$B$4),"",PedBerEnt!$B$4)</f>
        <v>1</v>
      </c>
      <c r="C1688" s="151">
        <v>1</v>
      </c>
      <c r="D1688" s="151" t="str">
        <f t="shared" si="26"/>
        <v>_Ped_Ent_Freq_1##1</v>
      </c>
    </row>
    <row r="1689" spans="1:6" x14ac:dyDescent="0.2">
      <c r="A1689" s="151" t="s">
        <v>2461</v>
      </c>
      <c r="B1689">
        <f>IF(ISBLANK(PedBerEnt!$B$5),"",PedBerEnt!$B$5)</f>
        <v>1</v>
      </c>
      <c r="C1689" s="151">
        <v>1</v>
      </c>
      <c r="D1689" s="151" t="str">
        <f t="shared" si="26"/>
        <v>_Ped_Ent_Freq_2##1</v>
      </c>
    </row>
    <row r="1690" spans="1:6" s="151" customFormat="1" x14ac:dyDescent="0.2">
      <c r="A1690" s="151" t="s">
        <v>2462</v>
      </c>
      <c r="B1690">
        <f>IF(ISBLANK(PedBerEnt!$B$6),"",PedBerEnt!$B$6)</f>
        <v>1</v>
      </c>
      <c r="C1690" s="151">
        <v>1</v>
      </c>
      <c r="D1690" s="151" t="str">
        <f t="shared" si="26"/>
        <v>_Ped_Ent_Freq_3##1</v>
      </c>
      <c r="E1690"/>
      <c r="F1690"/>
    </row>
    <row r="1691" spans="1:6" s="151" customFormat="1" x14ac:dyDescent="0.2">
      <c r="A1691" s="151" t="s">
        <v>2463</v>
      </c>
      <c r="B1691">
        <f>IF(ISBLANK(PedBerEnt!$B$7),"",PedBerEnt!$B$7)</f>
        <v>1</v>
      </c>
      <c r="C1691" s="151">
        <v>1</v>
      </c>
      <c r="D1691" s="151" t="str">
        <f t="shared" si="26"/>
        <v>_Ped_Ent_Freq_4##1</v>
      </c>
      <c r="E1691"/>
      <c r="F1691"/>
    </row>
    <row r="1692" spans="1:6" s="151" customFormat="1" x14ac:dyDescent="0.2">
      <c r="A1692" s="151" t="s">
        <v>2464</v>
      </c>
      <c r="B1692">
        <f>IF(ISBLANK(PedBerEnt!$F$4),"",PedBerEnt!$F$4)</f>
        <v>1</v>
      </c>
      <c r="C1692" s="151">
        <v>1</v>
      </c>
      <c r="D1692" s="151" t="str">
        <f t="shared" si="26"/>
        <v>_Ped_Ent_Keuze_1##1</v>
      </c>
      <c r="E1692"/>
      <c r="F1692"/>
    </row>
    <row r="1693" spans="1:6" s="151" customFormat="1" x14ac:dyDescent="0.2">
      <c r="A1693" s="151" t="s">
        <v>2465</v>
      </c>
      <c r="B1693">
        <f>IF(ISBLANK(PedBerEnt!$F$5),"",PedBerEnt!$F$5)</f>
        <v>1</v>
      </c>
      <c r="C1693" s="151">
        <v>1</v>
      </c>
      <c r="D1693" s="151" t="str">
        <f t="shared" si="26"/>
        <v>_Ped_Ent_Keuze_2##1</v>
      </c>
      <c r="E1693"/>
      <c r="F1693"/>
    </row>
    <row r="1694" spans="1:6" s="151" customFormat="1" x14ac:dyDescent="0.2">
      <c r="A1694" s="151" t="s">
        <v>2466</v>
      </c>
      <c r="B1694">
        <f>IF(ISBLANK(PedBerEnt!$F$6),"",PedBerEnt!$F$6)</f>
        <v>1</v>
      </c>
      <c r="C1694" s="151">
        <v>1</v>
      </c>
      <c r="D1694" s="151" t="str">
        <f t="shared" si="26"/>
        <v>_Ped_Ent_Keuze_3##1</v>
      </c>
      <c r="E1694"/>
      <c r="F1694"/>
    </row>
    <row r="1695" spans="1:6" x14ac:dyDescent="0.2">
      <c r="A1695" s="151" t="s">
        <v>2467</v>
      </c>
      <c r="B1695">
        <f>IF(ISBLANK(PedBerEnt!$F$7),"",PedBerEnt!$F$7)</f>
        <v>1</v>
      </c>
      <c r="C1695" s="151">
        <v>1</v>
      </c>
      <c r="D1695" s="151" t="str">
        <f t="shared" si="26"/>
        <v>_Ped_Ent_Keuze_4##1</v>
      </c>
    </row>
    <row r="1696" spans="1:6" x14ac:dyDescent="0.2">
      <c r="A1696" s="151" t="s">
        <v>2468</v>
      </c>
      <c r="B1696" t="str">
        <f>IF(ISBLANK(PedBerEnt!$B$9),"",PedBerEnt!$B$9)</f>
        <v/>
      </c>
      <c r="C1696" s="151"/>
      <c r="D1696" s="151" t="str">
        <f t="shared" si="26"/>
        <v>_Ped_Ent_Opm##</v>
      </c>
    </row>
    <row r="1697" spans="1:4" x14ac:dyDescent="0.2">
      <c r="A1697" s="151" t="s">
        <v>2469</v>
      </c>
      <c r="B1697">
        <f>IF(ISBLANK(PedBerEnt!$F$3),"",PedBerEnt!$F$3)</f>
        <v>0</v>
      </c>
      <c r="C1697" s="151">
        <v>0</v>
      </c>
      <c r="D1697" s="151" t="str">
        <f t="shared" si="26"/>
        <v>_Ped_Ent_Sonde##0</v>
      </c>
    </row>
    <row r="1698" spans="1:4" x14ac:dyDescent="0.2">
      <c r="A1698" s="151" t="s">
        <v>2470</v>
      </c>
      <c r="B1698">
        <f>IF(ISBLANK(PedBerEnt!$C$4),"",PedBerEnt!$C$4)</f>
        <v>0</v>
      </c>
      <c r="C1698" s="153">
        <v>0</v>
      </c>
      <c r="D1698" s="151" t="str">
        <f t="shared" si="26"/>
        <v>_Ped_Ent_Vol_1##0</v>
      </c>
    </row>
    <row r="1699" spans="1:4" x14ac:dyDescent="0.2">
      <c r="A1699" s="151" t="s">
        <v>2471</v>
      </c>
      <c r="B1699">
        <f>IF(ISBLANK(PedBerEnt!$C$5),"",PedBerEnt!$C$5)</f>
        <v>0</v>
      </c>
      <c r="C1699" s="153">
        <v>0</v>
      </c>
      <c r="D1699" s="151" t="str">
        <f t="shared" si="26"/>
        <v>_Ped_Ent_Vol_2##0</v>
      </c>
    </row>
    <row r="1700" spans="1:4" x14ac:dyDescent="0.2">
      <c r="A1700" s="151" t="s">
        <v>2472</v>
      </c>
      <c r="B1700">
        <f>IF(ISBLANK(PedBerEnt!$C$6),"",PedBerEnt!$C$6)</f>
        <v>0</v>
      </c>
      <c r="C1700" s="153">
        <v>0</v>
      </c>
      <c r="D1700" s="151" t="str">
        <f t="shared" si="26"/>
        <v>_Ped_Ent_Vol_3##0</v>
      </c>
    </row>
    <row r="1701" spans="1:4" x14ac:dyDescent="0.2">
      <c r="A1701" s="151" t="s">
        <v>2473</v>
      </c>
      <c r="B1701">
        <f>IF(ISBLANK(PedBerEnt!$C$7),"",PedBerEnt!$C$7)</f>
        <v>0</v>
      </c>
      <c r="C1701" s="153">
        <v>0</v>
      </c>
      <c r="D1701" s="151" t="str">
        <f t="shared" si="26"/>
        <v>_Ped_Ent_Vol_4##0</v>
      </c>
    </row>
    <row r="1702" spans="1:4" x14ac:dyDescent="0.2">
      <c r="A1702" s="151" t="s">
        <v>2474</v>
      </c>
      <c r="B1702" t="b">
        <f>IF(ISBLANK(PedBerLab!$E$4),"",PedBerLab!$E$4)</f>
        <v>0</v>
      </c>
      <c r="C1702" s="151" t="b">
        <v>0</v>
      </c>
      <c r="D1702" s="151" t="str">
        <f t="shared" si="26"/>
        <v>_Ped_Lab_14_01##ONWAAR</v>
      </c>
    </row>
    <row r="1703" spans="1:4" x14ac:dyDescent="0.2">
      <c r="A1703" s="151" t="s">
        <v>2475</v>
      </c>
      <c r="B1703" t="b">
        <f>IF(ISBLANK(PedBerLab!$E$5),"",PedBerLab!$E$5)</f>
        <v>0</v>
      </c>
      <c r="C1703" s="151" t="b">
        <v>0</v>
      </c>
      <c r="D1703" s="151" t="str">
        <f t="shared" si="26"/>
        <v>_Ped_Lab_14_02##ONWAAR</v>
      </c>
    </row>
    <row r="1704" spans="1:4" x14ac:dyDescent="0.2">
      <c r="A1704" s="151" t="s">
        <v>2476</v>
      </c>
      <c r="B1704" t="b">
        <f>IF(ISBLANK(PedBerLab!$E$6),"",PedBerLab!$E$6)</f>
        <v>0</v>
      </c>
      <c r="C1704" s="151" t="b">
        <v>0</v>
      </c>
      <c r="D1704" s="151" t="str">
        <f t="shared" si="26"/>
        <v>_Ped_Lab_14_03##ONWAAR</v>
      </c>
    </row>
    <row r="1705" spans="1:4" x14ac:dyDescent="0.2">
      <c r="A1705" s="151" t="s">
        <v>2477</v>
      </c>
      <c r="B1705" t="b">
        <f>IF(ISBLANK(PedBerLab!$E$7),"",PedBerLab!$E$7)</f>
        <v>0</v>
      </c>
      <c r="C1705" s="151" t="b">
        <v>0</v>
      </c>
      <c r="D1705" s="151" t="str">
        <f t="shared" si="26"/>
        <v>_Ped_Lab_14_04##ONWAAR</v>
      </c>
    </row>
    <row r="1706" spans="1:4" x14ac:dyDescent="0.2">
      <c r="A1706" s="151" t="s">
        <v>2478</v>
      </c>
      <c r="B1706" t="b">
        <f>IF(ISBLANK(PedBerLab!$E$8),"",PedBerLab!$E$8)</f>
        <v>0</v>
      </c>
      <c r="C1706" s="151" t="b">
        <v>0</v>
      </c>
      <c r="D1706" s="151" t="str">
        <f t="shared" si="26"/>
        <v>_Ped_Lab_14_05##ONWAAR</v>
      </c>
    </row>
    <row r="1707" spans="1:4" x14ac:dyDescent="0.2">
      <c r="A1707" s="151" t="s">
        <v>2479</v>
      </c>
      <c r="B1707" t="b">
        <f>IF(ISBLANK(PedBerLab!$E$9),"",PedBerLab!$E$9)</f>
        <v>0</v>
      </c>
      <c r="C1707" s="151" t="b">
        <v>0</v>
      </c>
      <c r="D1707" s="151" t="str">
        <f t="shared" si="26"/>
        <v>_Ped_Lab_14_06##ONWAAR</v>
      </c>
    </row>
    <row r="1708" spans="1:4" x14ac:dyDescent="0.2">
      <c r="A1708" s="151" t="s">
        <v>2480</v>
      </c>
      <c r="B1708" t="b">
        <f>IF(ISBLANK(PedBerLab!$E$10),"",PedBerLab!$E$10)</f>
        <v>0</v>
      </c>
      <c r="C1708" s="151" t="b">
        <v>0</v>
      </c>
      <c r="D1708" s="151" t="str">
        <f t="shared" si="26"/>
        <v>_Ped_Lab_14_07##ONWAAR</v>
      </c>
    </row>
    <row r="1709" spans="1:4" x14ac:dyDescent="0.2">
      <c r="A1709" s="151" t="s">
        <v>2481</v>
      </c>
      <c r="B1709" t="b">
        <f>IF(ISBLANK(PedBerLab!$E$11),"",PedBerLab!$E$11)</f>
        <v>0</v>
      </c>
      <c r="C1709" s="151" t="b">
        <v>0</v>
      </c>
      <c r="D1709" s="151" t="str">
        <f t="shared" si="26"/>
        <v>_Ped_Lab_14_08##ONWAAR</v>
      </c>
    </row>
    <row r="1710" spans="1:4" x14ac:dyDescent="0.2">
      <c r="A1710" s="151" t="s">
        <v>2482</v>
      </c>
      <c r="B1710" t="b">
        <f>IF(ISBLANK(PedBerLab!$E$12),"",PedBerLab!$E$12)</f>
        <v>0</v>
      </c>
      <c r="C1710" s="151" t="b">
        <v>0</v>
      </c>
      <c r="D1710" s="151" t="str">
        <f t="shared" si="26"/>
        <v>_Ped_Lab_14_09##ONWAAR</v>
      </c>
    </row>
    <row r="1711" spans="1:4" x14ac:dyDescent="0.2">
      <c r="A1711" s="151" t="s">
        <v>2483</v>
      </c>
      <c r="B1711" t="b">
        <f>IF(ISBLANK(PedBerLab!$E$13),"",PedBerLab!$E$13)</f>
        <v>0</v>
      </c>
      <c r="C1711" s="151" t="b">
        <v>0</v>
      </c>
      <c r="D1711" s="151" t="str">
        <f t="shared" si="26"/>
        <v>_Ped_Lab_14_10##ONWAAR</v>
      </c>
    </row>
    <row r="1712" spans="1:4" x14ac:dyDescent="0.2">
      <c r="A1712" s="151" t="s">
        <v>2484</v>
      </c>
      <c r="B1712" t="b">
        <f>IF(ISBLANK(PedBerLab!$E$14),"",PedBerLab!$E$14)</f>
        <v>0</v>
      </c>
      <c r="C1712" s="151" t="b">
        <v>0</v>
      </c>
      <c r="D1712" s="151" t="str">
        <f t="shared" si="26"/>
        <v>_Ped_Lab_14_11##ONWAAR</v>
      </c>
    </row>
    <row r="1713" spans="1:4" x14ac:dyDescent="0.2">
      <c r="A1713" s="151" t="s">
        <v>2485</v>
      </c>
      <c r="B1713" t="b">
        <f>IF(ISBLANK(PedBerLab!$E$15),"",PedBerLab!$E$15)</f>
        <v>0</v>
      </c>
      <c r="C1713" s="151" t="b">
        <v>0</v>
      </c>
      <c r="D1713" s="151" t="str">
        <f t="shared" si="26"/>
        <v>_Ped_Lab_14_12##ONWAAR</v>
      </c>
    </row>
    <row r="1714" spans="1:4" x14ac:dyDescent="0.2">
      <c r="A1714" s="151" t="s">
        <v>2486</v>
      </c>
      <c r="B1714" t="b">
        <f>IF(ISBLANK(PedBerLab!$E$16),"",PedBerLab!$E$16)</f>
        <v>0</v>
      </c>
      <c r="C1714" s="151" t="b">
        <v>0</v>
      </c>
      <c r="D1714" s="151" t="str">
        <f t="shared" si="26"/>
        <v>_Ped_Lab_14_13##ONWAAR</v>
      </c>
    </row>
    <row r="1715" spans="1:4" x14ac:dyDescent="0.2">
      <c r="A1715" s="151" t="s">
        <v>2487</v>
      </c>
      <c r="B1715" t="b">
        <f>IF(ISBLANK(PedBerLab!$E$17),"",PedBerLab!$E$17)</f>
        <v>0</v>
      </c>
      <c r="C1715" s="151" t="b">
        <v>0</v>
      </c>
      <c r="D1715" s="151" t="str">
        <f t="shared" si="26"/>
        <v>_Ped_Lab_14_14##ONWAAR</v>
      </c>
    </row>
    <row r="1716" spans="1:4" x14ac:dyDescent="0.2">
      <c r="A1716" s="151" t="s">
        <v>2488</v>
      </c>
      <c r="B1716" t="b">
        <f>IF(ISBLANK(PedBerLab!$E$18),"",PedBerLab!$E$18)</f>
        <v>0</v>
      </c>
      <c r="C1716" s="151" t="b">
        <v>0</v>
      </c>
      <c r="D1716" s="151" t="str">
        <f t="shared" si="26"/>
        <v>_Ped_Lab_14_15##ONWAAR</v>
      </c>
    </row>
    <row r="1717" spans="1:4" x14ac:dyDescent="0.2">
      <c r="A1717" s="151" t="s">
        <v>2489</v>
      </c>
      <c r="B1717" t="b">
        <f>IF(ISBLANK(PedBerLab!$E$19),"",PedBerLab!$E$19)</f>
        <v>0</v>
      </c>
      <c r="C1717" s="151" t="b">
        <v>0</v>
      </c>
      <c r="D1717" s="151" t="str">
        <f t="shared" si="26"/>
        <v>_Ped_Lab_14_16##ONWAAR</v>
      </c>
    </row>
    <row r="1718" spans="1:4" x14ac:dyDescent="0.2">
      <c r="A1718" s="151" t="s">
        <v>2490</v>
      </c>
      <c r="B1718" t="b">
        <f>IF(ISBLANK(PedBerLab!$E$20),"",PedBerLab!$E$20)</f>
        <v>0</v>
      </c>
      <c r="C1718" s="151" t="b">
        <v>0</v>
      </c>
      <c r="D1718" s="151" t="str">
        <f t="shared" si="26"/>
        <v>_Ped_Lab_14_17##ONWAAR</v>
      </c>
    </row>
    <row r="1719" spans="1:4" x14ac:dyDescent="0.2">
      <c r="A1719" s="151" t="s">
        <v>2491</v>
      </c>
      <c r="B1719" t="b">
        <f>IF(ISBLANK(PedBerLab!$E$21),"",PedBerLab!$E$21)</f>
        <v>0</v>
      </c>
      <c r="C1719" s="151" t="b">
        <v>0</v>
      </c>
      <c r="D1719" s="151" t="str">
        <f t="shared" si="26"/>
        <v>_Ped_Lab_14_18##ONWAAR</v>
      </c>
    </row>
    <row r="1720" spans="1:4" x14ac:dyDescent="0.2">
      <c r="A1720" s="151" t="s">
        <v>2492</v>
      </c>
      <c r="B1720" t="b">
        <f>IF(ISBLANK(PedBerLab!$E$22),"",PedBerLab!$E$22)</f>
        <v>0</v>
      </c>
      <c r="C1720" s="151" t="b">
        <v>0</v>
      </c>
      <c r="D1720" s="151" t="str">
        <f t="shared" si="26"/>
        <v>_Ped_Lab_14_19##ONWAAR</v>
      </c>
    </row>
    <row r="1721" spans="1:4" x14ac:dyDescent="0.2">
      <c r="A1721" s="151" t="s">
        <v>2493</v>
      </c>
      <c r="B1721" t="b">
        <f>IF(ISBLANK(PedBerLab!$E$23),"",PedBerLab!$E$23)</f>
        <v>0</v>
      </c>
      <c r="C1721" s="151" t="b">
        <v>0</v>
      </c>
      <c r="D1721" s="151" t="str">
        <f t="shared" si="26"/>
        <v>_Ped_Lab_14_20##ONWAAR</v>
      </c>
    </row>
    <row r="1722" spans="1:4" x14ac:dyDescent="0.2">
      <c r="A1722" s="151" t="s">
        <v>2494</v>
      </c>
      <c r="B1722" t="b">
        <f>IF(ISBLANK(PedBerLab!$E$24),"",PedBerLab!$E$24)</f>
        <v>0</v>
      </c>
      <c r="C1722" s="151" t="b">
        <v>0</v>
      </c>
      <c r="D1722" s="151" t="str">
        <f t="shared" si="26"/>
        <v>_Ped_Lab_14_21##ONWAAR</v>
      </c>
    </row>
    <row r="1723" spans="1:4" x14ac:dyDescent="0.2">
      <c r="A1723" s="151" t="s">
        <v>2495</v>
      </c>
      <c r="B1723" t="b">
        <f>IF(ISBLANK(PedBerLab!$E$25),"",PedBerLab!$E$25)</f>
        <v>0</v>
      </c>
      <c r="C1723" s="151" t="b">
        <v>0</v>
      </c>
      <c r="D1723" s="151" t="str">
        <f t="shared" si="26"/>
        <v>_Ped_Lab_14_22##ONWAAR</v>
      </c>
    </row>
    <row r="1724" spans="1:4" x14ac:dyDescent="0.2">
      <c r="A1724" s="151" t="s">
        <v>2496</v>
      </c>
      <c r="B1724" t="b">
        <f>IF(ISBLANK(PedBerLab!$E$26),"",PedBerLab!$E$26)</f>
        <v>0</v>
      </c>
      <c r="C1724" s="151" t="b">
        <v>0</v>
      </c>
      <c r="D1724" s="151" t="str">
        <f t="shared" si="26"/>
        <v>_Ped_Lab_14_23##ONWAAR</v>
      </c>
    </row>
    <row r="1725" spans="1:4" x14ac:dyDescent="0.2">
      <c r="A1725" s="151" t="s">
        <v>2497</v>
      </c>
      <c r="B1725" t="b">
        <f>IF(ISBLANK(PedBerLab!$E$27),"",PedBerLab!$E$27)</f>
        <v>0</v>
      </c>
      <c r="C1725" s="151" t="b">
        <v>0</v>
      </c>
      <c r="D1725" s="151" t="str">
        <f t="shared" si="26"/>
        <v>_Ped_Lab_14_24##ONWAAR</v>
      </c>
    </row>
    <row r="1726" spans="1:4" x14ac:dyDescent="0.2">
      <c r="A1726" s="151" t="s">
        <v>2498</v>
      </c>
      <c r="B1726" t="b">
        <f>IF(ISBLANK(PedBerLab!$E$28),"",PedBerLab!$E$28)</f>
        <v>0</v>
      </c>
      <c r="C1726" s="151" t="b">
        <v>0</v>
      </c>
      <c r="D1726" s="151" t="str">
        <f t="shared" si="26"/>
        <v>_Ped_Lab_14_25##ONWAAR</v>
      </c>
    </row>
    <row r="1727" spans="1:4" x14ac:dyDescent="0.2">
      <c r="A1727" s="151" t="s">
        <v>2499</v>
      </c>
      <c r="B1727" t="b">
        <f>IF(ISBLANK(PedBerLab!$E$29),"",PedBerLab!$E$29)</f>
        <v>0</v>
      </c>
      <c r="C1727" s="151" t="b">
        <v>0</v>
      </c>
      <c r="D1727" s="151" t="str">
        <f t="shared" si="26"/>
        <v>_Ped_Lab_14_26##ONWAAR</v>
      </c>
    </row>
    <row r="1728" spans="1:4" x14ac:dyDescent="0.2">
      <c r="A1728" s="151" t="s">
        <v>2500</v>
      </c>
      <c r="B1728" t="b">
        <f>IF(ISBLANK(PedBerLab!$E$30),"",PedBerLab!$E$30)</f>
        <v>0</v>
      </c>
      <c r="C1728" s="151" t="b">
        <v>0</v>
      </c>
      <c r="D1728" s="151" t="str">
        <f t="shared" si="26"/>
        <v>_Ped_Lab_14_27##ONWAAR</v>
      </c>
    </row>
    <row r="1729" spans="1:6" x14ac:dyDescent="0.2">
      <c r="A1729" s="151" t="s">
        <v>2501</v>
      </c>
      <c r="B1729" t="b">
        <f>IF(ISBLANK(PedBerLab!$E$31),"",PedBerLab!$E$31)</f>
        <v>0</v>
      </c>
      <c r="C1729" s="151" t="b">
        <v>0</v>
      </c>
      <c r="D1729" s="151" t="str">
        <f t="shared" si="26"/>
        <v>_Ped_Lab_14_28##ONWAAR</v>
      </c>
      <c r="F1729" s="151"/>
    </row>
    <row r="1730" spans="1:6" x14ac:dyDescent="0.2">
      <c r="A1730" s="151" t="s">
        <v>2502</v>
      </c>
      <c r="B1730" t="b">
        <f>IF(ISBLANK(PedBerLab!$E$32),"",PedBerLab!$E$32)</f>
        <v>0</v>
      </c>
      <c r="C1730" s="151" t="b">
        <v>0</v>
      </c>
      <c r="D1730" s="151" t="str">
        <f t="shared" si="26"/>
        <v>_Ped_Lab_14_29##ONWAAR</v>
      </c>
      <c r="F1730" s="151"/>
    </row>
    <row r="1731" spans="1:6" x14ac:dyDescent="0.2">
      <c r="A1731" s="151" t="s">
        <v>2503</v>
      </c>
      <c r="B1731" t="b">
        <f>IF(ISBLANK(PedBerLab!$E$33),"",PedBerLab!$E$33)</f>
        <v>0</v>
      </c>
      <c r="C1731" s="151" t="b">
        <v>0</v>
      </c>
      <c r="D1731" s="151" t="str">
        <f t="shared" ref="D1731:D1794" si="27">A1731&amp;"##"&amp;B1731</f>
        <v>_Ped_Lab_14_30##ONWAAR</v>
      </c>
      <c r="F1731" s="151"/>
    </row>
    <row r="1732" spans="1:6" x14ac:dyDescent="0.2">
      <c r="A1732" s="151" t="s">
        <v>2504</v>
      </c>
      <c r="B1732" t="b">
        <f>IF(ISBLANK(PedBerLab!$E$34),"",PedBerLab!$E$34)</f>
        <v>0</v>
      </c>
      <c r="C1732" s="151" t="b">
        <v>0</v>
      </c>
      <c r="D1732" s="151" t="str">
        <f t="shared" si="27"/>
        <v>_Ped_Lab_14_31##ONWAAR</v>
      </c>
      <c r="F1732" s="151"/>
    </row>
    <row r="1733" spans="1:6" x14ac:dyDescent="0.2">
      <c r="A1733" s="151" t="s">
        <v>2505</v>
      </c>
      <c r="B1733" t="b">
        <f>IF(ISBLANK(PedBerLab!$G$4),"",PedBerLab!$G$4)</f>
        <v>0</v>
      </c>
      <c r="C1733" s="151" t="b">
        <v>0</v>
      </c>
      <c r="D1733" s="151" t="str">
        <f t="shared" si="27"/>
        <v>_Ped_Lab_19_01##ONWAAR</v>
      </c>
      <c r="F1733" s="151"/>
    </row>
    <row r="1734" spans="1:6" x14ac:dyDescent="0.2">
      <c r="A1734" s="151" t="s">
        <v>2506</v>
      </c>
      <c r="B1734" t="b">
        <f>IF(ISBLANK(PedBerLab!$G$5),"",PedBerLab!$G$5)</f>
        <v>0</v>
      </c>
      <c r="C1734" s="151" t="b">
        <v>0</v>
      </c>
      <c r="D1734" s="151" t="str">
        <f t="shared" si="27"/>
        <v>_Ped_Lab_19_02##ONWAAR</v>
      </c>
    </row>
    <row r="1735" spans="1:6" x14ac:dyDescent="0.2">
      <c r="A1735" s="151" t="s">
        <v>2507</v>
      </c>
      <c r="B1735" t="b">
        <f>IF(ISBLANK(PedBerLab!$G$6),"",PedBerLab!$G$6)</f>
        <v>0</v>
      </c>
      <c r="C1735" s="151" t="b">
        <v>0</v>
      </c>
      <c r="D1735" s="151" t="str">
        <f t="shared" si="27"/>
        <v>_Ped_Lab_19_03##ONWAAR</v>
      </c>
    </row>
    <row r="1736" spans="1:6" x14ac:dyDescent="0.2">
      <c r="A1736" s="151" t="s">
        <v>2508</v>
      </c>
      <c r="B1736" t="b">
        <f>IF(ISBLANK(PedBerLab!$G$7),"",PedBerLab!$G$7)</f>
        <v>0</v>
      </c>
      <c r="C1736" s="151" t="b">
        <v>0</v>
      </c>
      <c r="D1736" s="151" t="str">
        <f t="shared" si="27"/>
        <v>_Ped_Lab_19_04##ONWAAR</v>
      </c>
    </row>
    <row r="1737" spans="1:6" x14ac:dyDescent="0.2">
      <c r="A1737" s="151" t="s">
        <v>2509</v>
      </c>
      <c r="B1737" t="b">
        <f>IF(ISBLANK(PedBerLab!$G$8),"",PedBerLab!$G$8)</f>
        <v>0</v>
      </c>
      <c r="C1737" s="151" t="b">
        <v>0</v>
      </c>
      <c r="D1737" s="151" t="str">
        <f t="shared" si="27"/>
        <v>_Ped_Lab_19_05##ONWAAR</v>
      </c>
    </row>
    <row r="1738" spans="1:6" x14ac:dyDescent="0.2">
      <c r="A1738" s="151" t="s">
        <v>2510</v>
      </c>
      <c r="B1738" t="b">
        <f>IF(ISBLANK(PedBerLab!$G$9),"",PedBerLab!$G$9)</f>
        <v>0</v>
      </c>
      <c r="C1738" t="b">
        <v>0</v>
      </c>
      <c r="D1738" s="151" t="str">
        <f t="shared" si="27"/>
        <v>_Ped_Lab_19_06##ONWAAR</v>
      </c>
    </row>
    <row r="1739" spans="1:6" x14ac:dyDescent="0.2">
      <c r="A1739" s="151" t="s">
        <v>2511</v>
      </c>
      <c r="B1739" t="b">
        <f>IF(ISBLANK(PedBerLab!$G$10),"",PedBerLab!$G$10)</f>
        <v>0</v>
      </c>
      <c r="C1739" s="151" t="b">
        <v>0</v>
      </c>
      <c r="D1739" s="151" t="str">
        <f t="shared" si="27"/>
        <v>_Ped_Lab_19_07##ONWAAR</v>
      </c>
    </row>
    <row r="1740" spans="1:6" x14ac:dyDescent="0.2">
      <c r="A1740" s="151" t="s">
        <v>2512</v>
      </c>
      <c r="B1740" t="b">
        <f>IF(ISBLANK(PedBerLab!$G$11),"",PedBerLab!$G$11)</f>
        <v>0</v>
      </c>
      <c r="C1740" s="151" t="b">
        <v>0</v>
      </c>
      <c r="D1740" s="151" t="str">
        <f t="shared" si="27"/>
        <v>_Ped_Lab_19_08##ONWAAR</v>
      </c>
    </row>
    <row r="1741" spans="1:6" x14ac:dyDescent="0.2">
      <c r="A1741" s="151" t="s">
        <v>2513</v>
      </c>
      <c r="B1741" t="b">
        <f>IF(ISBLANK(PedBerLab!$G$12),"",PedBerLab!$G$12)</f>
        <v>0</v>
      </c>
      <c r="C1741" s="151" t="b">
        <v>0</v>
      </c>
      <c r="D1741" s="151" t="str">
        <f t="shared" si="27"/>
        <v>_Ped_Lab_19_09##ONWAAR</v>
      </c>
    </row>
    <row r="1742" spans="1:6" x14ac:dyDescent="0.2">
      <c r="A1742" s="151" t="s">
        <v>2514</v>
      </c>
      <c r="B1742" t="b">
        <f>IF(ISBLANK(PedBerLab!$G$13),"",PedBerLab!$G$13)</f>
        <v>0</v>
      </c>
      <c r="C1742" s="151" t="b">
        <v>0</v>
      </c>
      <c r="D1742" s="151" t="str">
        <f t="shared" si="27"/>
        <v>_Ped_Lab_19_10##ONWAAR</v>
      </c>
    </row>
    <row r="1743" spans="1:6" x14ac:dyDescent="0.2">
      <c r="A1743" s="151" t="s">
        <v>2515</v>
      </c>
      <c r="B1743" t="b">
        <f>IF(ISBLANK(PedBerLab!$G$14),"",PedBerLab!$G$14)</f>
        <v>0</v>
      </c>
      <c r="C1743" s="151" t="b">
        <v>0</v>
      </c>
      <c r="D1743" s="151" t="str">
        <f t="shared" si="27"/>
        <v>_Ped_Lab_19_11##ONWAAR</v>
      </c>
    </row>
    <row r="1744" spans="1:6" x14ac:dyDescent="0.2">
      <c r="A1744" s="151" t="s">
        <v>2516</v>
      </c>
      <c r="B1744" t="b">
        <f>IF(ISBLANK(PedBerLab!$G$15),"",PedBerLab!$G$15)</f>
        <v>0</v>
      </c>
      <c r="C1744" s="151" t="b">
        <v>0</v>
      </c>
      <c r="D1744" s="151" t="str">
        <f t="shared" si="27"/>
        <v>_Ped_Lab_19_12##ONWAAR</v>
      </c>
    </row>
    <row r="1745" spans="1:6" x14ac:dyDescent="0.2">
      <c r="A1745" s="151" t="s">
        <v>2517</v>
      </c>
      <c r="B1745" t="b">
        <f>IF(ISBLANK(PedBerLab!$G$16),"",PedBerLab!$G$16)</f>
        <v>0</v>
      </c>
      <c r="C1745" s="151" t="b">
        <v>0</v>
      </c>
      <c r="D1745" s="151" t="str">
        <f t="shared" si="27"/>
        <v>_Ped_Lab_19_13##ONWAAR</v>
      </c>
    </row>
    <row r="1746" spans="1:6" x14ac:dyDescent="0.2">
      <c r="A1746" s="151" t="s">
        <v>2518</v>
      </c>
      <c r="B1746" t="b">
        <f>IF(ISBLANK(PedBerLab!$G$17),"",PedBerLab!$G$17)</f>
        <v>0</v>
      </c>
      <c r="C1746" s="151" t="b">
        <v>0</v>
      </c>
      <c r="D1746" s="151" t="str">
        <f t="shared" si="27"/>
        <v>_Ped_Lab_19_14##ONWAAR</v>
      </c>
    </row>
    <row r="1747" spans="1:6" x14ac:dyDescent="0.2">
      <c r="A1747" s="151" t="s">
        <v>2519</v>
      </c>
      <c r="B1747" t="b">
        <f>IF(ISBLANK(PedBerLab!$G$18),"",PedBerLab!$G$18)</f>
        <v>0</v>
      </c>
      <c r="C1747" s="151" t="b">
        <v>0</v>
      </c>
      <c r="D1747" s="151" t="str">
        <f t="shared" si="27"/>
        <v>_Ped_Lab_19_15##ONWAAR</v>
      </c>
    </row>
    <row r="1748" spans="1:6" x14ac:dyDescent="0.2">
      <c r="A1748" s="151" t="s">
        <v>2520</v>
      </c>
      <c r="B1748" t="b">
        <f>IF(ISBLANK(PedBerLab!$G$19),"",PedBerLab!$G$19)</f>
        <v>0</v>
      </c>
      <c r="C1748" s="151" t="b">
        <v>0</v>
      </c>
      <c r="D1748" s="151" t="str">
        <f t="shared" si="27"/>
        <v>_Ped_Lab_19_16##ONWAAR</v>
      </c>
    </row>
    <row r="1749" spans="1:6" x14ac:dyDescent="0.2">
      <c r="A1749" s="151" t="s">
        <v>2521</v>
      </c>
      <c r="B1749" t="b">
        <f>IF(ISBLANK(PedBerLab!$G$20),"",PedBerLab!$G$20)</f>
        <v>0</v>
      </c>
      <c r="C1749" s="151" t="b">
        <v>0</v>
      </c>
      <c r="D1749" s="151" t="str">
        <f t="shared" si="27"/>
        <v>_Ped_Lab_19_17##ONWAAR</v>
      </c>
      <c r="F1749" s="151"/>
    </row>
    <row r="1750" spans="1:6" x14ac:dyDescent="0.2">
      <c r="A1750" s="151" t="s">
        <v>2522</v>
      </c>
      <c r="B1750" t="b">
        <f>IF(ISBLANK(PedBerLab!$G$21),"",PedBerLab!$G$21)</f>
        <v>0</v>
      </c>
      <c r="C1750" s="151" t="b">
        <v>0</v>
      </c>
      <c r="D1750" s="151" t="str">
        <f t="shared" si="27"/>
        <v>_Ped_Lab_19_18##ONWAAR</v>
      </c>
      <c r="F1750" s="151"/>
    </row>
    <row r="1751" spans="1:6" x14ac:dyDescent="0.2">
      <c r="A1751" s="151" t="s">
        <v>2523</v>
      </c>
      <c r="B1751" t="b">
        <f>IF(ISBLANK(PedBerLab!$G$22),"",PedBerLab!$G$22)</f>
        <v>0</v>
      </c>
      <c r="C1751" s="151" t="b">
        <v>0</v>
      </c>
      <c r="D1751" s="151" t="str">
        <f t="shared" si="27"/>
        <v>_Ped_Lab_19_19##ONWAAR</v>
      </c>
      <c r="F1751" s="151"/>
    </row>
    <row r="1752" spans="1:6" x14ac:dyDescent="0.2">
      <c r="A1752" s="151" t="s">
        <v>2524</v>
      </c>
      <c r="B1752" t="b">
        <f>IF(ISBLANK(PedBerLab!$G$23),"",PedBerLab!$G$23)</f>
        <v>0</v>
      </c>
      <c r="C1752" s="151" t="b">
        <v>0</v>
      </c>
      <c r="D1752" s="151" t="str">
        <f t="shared" si="27"/>
        <v>_Ped_Lab_19_20##ONWAAR</v>
      </c>
      <c r="F1752" s="151"/>
    </row>
    <row r="1753" spans="1:6" x14ac:dyDescent="0.2">
      <c r="A1753" s="151" t="s">
        <v>2525</v>
      </c>
      <c r="B1753" t="b">
        <f>IF(ISBLANK(PedBerLab!$G$24),"",PedBerLab!$G$24)</f>
        <v>0</v>
      </c>
      <c r="C1753" s="151" t="b">
        <v>0</v>
      </c>
      <c r="D1753" s="151" t="str">
        <f t="shared" si="27"/>
        <v>_Ped_Lab_19_21##ONWAAR</v>
      </c>
      <c r="F1753" s="151"/>
    </row>
    <row r="1754" spans="1:6" x14ac:dyDescent="0.2">
      <c r="A1754" s="151" t="s">
        <v>2526</v>
      </c>
      <c r="B1754" t="b">
        <f>IF(ISBLANK(PedBerLab!$G$25),"",PedBerLab!$G$25)</f>
        <v>0</v>
      </c>
      <c r="C1754" s="151" t="b">
        <v>0</v>
      </c>
      <c r="D1754" s="151" t="str">
        <f t="shared" si="27"/>
        <v>_Ped_Lab_19_22##ONWAAR</v>
      </c>
    </row>
    <row r="1755" spans="1:6" x14ac:dyDescent="0.2">
      <c r="A1755" s="151" t="s">
        <v>2527</v>
      </c>
      <c r="B1755" t="b">
        <f>IF(ISBLANK(PedBerLab!$G$26),"",PedBerLab!$G$26)</f>
        <v>0</v>
      </c>
      <c r="C1755" s="151" t="b">
        <v>0</v>
      </c>
      <c r="D1755" s="151" t="str">
        <f t="shared" si="27"/>
        <v>_Ped_Lab_19_23##ONWAAR</v>
      </c>
    </row>
    <row r="1756" spans="1:6" x14ac:dyDescent="0.2">
      <c r="A1756" s="151" t="s">
        <v>2528</v>
      </c>
      <c r="B1756" t="b">
        <f>IF(ISBLANK(PedBerLab!$G$27),"",PedBerLab!$G$27)</f>
        <v>0</v>
      </c>
      <c r="C1756" s="151" t="b">
        <v>0</v>
      </c>
      <c r="D1756" s="151" t="str">
        <f t="shared" si="27"/>
        <v>_Ped_Lab_19_24##ONWAAR</v>
      </c>
    </row>
    <row r="1757" spans="1:6" x14ac:dyDescent="0.2">
      <c r="A1757" s="151" t="s">
        <v>2529</v>
      </c>
      <c r="B1757" t="b">
        <f>IF(ISBLANK(PedBerLab!$G$28),"",PedBerLab!$G$28)</f>
        <v>0</v>
      </c>
      <c r="C1757" s="151" t="b">
        <v>0</v>
      </c>
      <c r="D1757" s="151" t="str">
        <f t="shared" si="27"/>
        <v>_Ped_Lab_19_25##ONWAAR</v>
      </c>
    </row>
    <row r="1758" spans="1:6" x14ac:dyDescent="0.2">
      <c r="A1758" s="151" t="s">
        <v>2530</v>
      </c>
      <c r="B1758" t="b">
        <f>IF(ISBLANK(PedBerLab!$G$29),"",PedBerLab!$G$29)</f>
        <v>0</v>
      </c>
      <c r="C1758" s="151" t="b">
        <v>0</v>
      </c>
      <c r="D1758" s="151" t="str">
        <f t="shared" si="27"/>
        <v>_Ped_Lab_19_26##ONWAAR</v>
      </c>
    </row>
    <row r="1759" spans="1:6" x14ac:dyDescent="0.2">
      <c r="A1759" s="151" t="s">
        <v>2531</v>
      </c>
      <c r="B1759" t="b">
        <f>IF(ISBLANK(PedBerLab!$G$30),"",PedBerLab!$G$30)</f>
        <v>0</v>
      </c>
      <c r="C1759" s="151" t="b">
        <v>0</v>
      </c>
      <c r="D1759" s="151" t="str">
        <f t="shared" si="27"/>
        <v>_Ped_Lab_19_27##ONWAAR</v>
      </c>
      <c r="E1759" s="151"/>
    </row>
    <row r="1760" spans="1:6" x14ac:dyDescent="0.2">
      <c r="A1760" s="151" t="s">
        <v>2532</v>
      </c>
      <c r="B1760" t="b">
        <f>IF(ISBLANK(PedBerLab!$G$31),"",PedBerLab!$G$31)</f>
        <v>0</v>
      </c>
      <c r="C1760" s="151" t="b">
        <v>0</v>
      </c>
      <c r="D1760" s="151" t="str">
        <f t="shared" si="27"/>
        <v>_Ped_Lab_19_28##ONWAAR</v>
      </c>
      <c r="E1760" s="151"/>
    </row>
    <row r="1761" spans="1:6" x14ac:dyDescent="0.2">
      <c r="A1761" s="151" t="s">
        <v>2533</v>
      </c>
      <c r="B1761" t="b">
        <f>IF(ISBLANK(PedBerLab!$G$32),"",PedBerLab!$G$32)</f>
        <v>0</v>
      </c>
      <c r="C1761" s="151" t="b">
        <v>0</v>
      </c>
      <c r="D1761" s="151" t="str">
        <f t="shared" si="27"/>
        <v>_Ped_Lab_19_29##ONWAAR</v>
      </c>
      <c r="E1761" s="151"/>
    </row>
    <row r="1762" spans="1:6" x14ac:dyDescent="0.2">
      <c r="A1762" s="151" t="s">
        <v>2534</v>
      </c>
      <c r="B1762" t="b">
        <f>IF(ISBLANK(PedBerLab!$G$33),"",PedBerLab!$G$33)</f>
        <v>0</v>
      </c>
      <c r="C1762" s="151" t="b">
        <v>0</v>
      </c>
      <c r="D1762" s="151" t="str">
        <f t="shared" si="27"/>
        <v>_Ped_Lab_19_30##ONWAAR</v>
      </c>
      <c r="E1762" s="151"/>
    </row>
    <row r="1763" spans="1:6" x14ac:dyDescent="0.2">
      <c r="A1763" s="151" t="s">
        <v>2535</v>
      </c>
      <c r="B1763" t="b">
        <f>IF(ISBLANK(PedBerLab!$G$34),"",PedBerLab!$G$34)</f>
        <v>0</v>
      </c>
      <c r="C1763" s="151" t="b">
        <v>0</v>
      </c>
      <c r="D1763" s="151" t="str">
        <f t="shared" si="27"/>
        <v>_Ped_Lab_19_31##ONWAAR</v>
      </c>
      <c r="E1763" s="151"/>
    </row>
    <row r="1764" spans="1:6" x14ac:dyDescent="0.2">
      <c r="A1764" s="151" t="s">
        <v>2536</v>
      </c>
      <c r="B1764" t="b">
        <f>IF(ISBLANK(PedBerLab!$G$35),"",PedBerLab!$G$35)</f>
        <v>0</v>
      </c>
      <c r="C1764" s="151" t="b">
        <v>0</v>
      </c>
      <c r="D1764" s="151" t="str">
        <f t="shared" si="27"/>
        <v>_Ped_Lab_19_32##ONWAAR</v>
      </c>
    </row>
    <row r="1765" spans="1:6" x14ac:dyDescent="0.2">
      <c r="A1765" s="151" t="s">
        <v>2537</v>
      </c>
      <c r="B1765" t="b">
        <f>IF(ISBLANK(PedBerLab!$I$4),"",PedBerLab!$I$4)</f>
        <v>0</v>
      </c>
      <c r="C1765" s="151" t="b">
        <v>0</v>
      </c>
      <c r="D1765" s="151" t="str">
        <f t="shared" si="27"/>
        <v>_Ped_Lab_24_01##ONWAAR</v>
      </c>
    </row>
    <row r="1766" spans="1:6" x14ac:dyDescent="0.2">
      <c r="A1766" s="151" t="s">
        <v>2538</v>
      </c>
      <c r="B1766" t="b">
        <f>IF(ISBLANK(PedBerLab!$I$5),"",PedBerLab!$I$5)</f>
        <v>0</v>
      </c>
      <c r="C1766" s="151" t="b">
        <v>0</v>
      </c>
      <c r="D1766" s="151" t="str">
        <f t="shared" si="27"/>
        <v>_Ped_Lab_24_02##ONWAAR</v>
      </c>
    </row>
    <row r="1767" spans="1:6" x14ac:dyDescent="0.2">
      <c r="A1767" s="151" t="s">
        <v>2539</v>
      </c>
      <c r="B1767" t="b">
        <f>IF(ISBLANK(PedBerLab!$I$6),"",PedBerLab!$I$6)</f>
        <v>0</v>
      </c>
      <c r="C1767" s="151" t="b">
        <v>0</v>
      </c>
      <c r="D1767" s="151" t="str">
        <f t="shared" si="27"/>
        <v>_Ped_Lab_24_03##ONWAAR</v>
      </c>
    </row>
    <row r="1768" spans="1:6" x14ac:dyDescent="0.2">
      <c r="A1768" s="151" t="s">
        <v>2540</v>
      </c>
      <c r="B1768" t="b">
        <f>IF(ISBLANK(PedBerLab!$I$7),"",PedBerLab!$I$7)</f>
        <v>0</v>
      </c>
      <c r="C1768" s="151" t="b">
        <v>0</v>
      </c>
      <c r="D1768" s="151" t="str">
        <f t="shared" si="27"/>
        <v>_Ped_Lab_24_04##ONWAAR</v>
      </c>
    </row>
    <row r="1769" spans="1:6" x14ac:dyDescent="0.2">
      <c r="A1769" s="151" t="s">
        <v>2541</v>
      </c>
      <c r="B1769" t="b">
        <f>IF(ISBLANK(PedBerLab!$I$8),"",PedBerLab!$I$8)</f>
        <v>0</v>
      </c>
      <c r="C1769" s="151" t="b">
        <v>0</v>
      </c>
      <c r="D1769" s="151" t="str">
        <f t="shared" si="27"/>
        <v>_Ped_Lab_24_05##ONWAAR</v>
      </c>
      <c r="F1769" s="151"/>
    </row>
    <row r="1770" spans="1:6" x14ac:dyDescent="0.2">
      <c r="A1770" s="151" t="s">
        <v>2542</v>
      </c>
      <c r="B1770" s="151" t="b">
        <f>IF(ISBLANK(PedBerLab!$I$9),"",PedBerLab!$I$9)</f>
        <v>0</v>
      </c>
      <c r="C1770" s="151" t="b">
        <v>0</v>
      </c>
      <c r="D1770" s="151" t="str">
        <f t="shared" si="27"/>
        <v>_Ped_Lab_24_06##ONWAAR</v>
      </c>
      <c r="F1770" s="151"/>
    </row>
    <row r="1771" spans="1:6" x14ac:dyDescent="0.2">
      <c r="A1771" s="151" t="s">
        <v>2543</v>
      </c>
      <c r="B1771" s="151" t="b">
        <f>IF(ISBLANK(PedBerLab!$I$10),"",PedBerLab!$I$10)</f>
        <v>0</v>
      </c>
      <c r="C1771" s="151" t="b">
        <v>0</v>
      </c>
      <c r="D1771" s="151" t="str">
        <f t="shared" si="27"/>
        <v>_Ped_Lab_24_07##ONWAAR</v>
      </c>
      <c r="F1771" s="151"/>
    </row>
    <row r="1772" spans="1:6" x14ac:dyDescent="0.2">
      <c r="A1772" s="151" t="s">
        <v>2544</v>
      </c>
      <c r="B1772" s="151" t="b">
        <f>IF(ISBLANK(PedBerLab!$I$11),"",PedBerLab!$I$11)</f>
        <v>0</v>
      </c>
      <c r="C1772" s="151" t="b">
        <v>0</v>
      </c>
      <c r="D1772" s="151" t="str">
        <f t="shared" si="27"/>
        <v>_Ped_Lab_24_08##ONWAAR</v>
      </c>
      <c r="F1772" s="151"/>
    </row>
    <row r="1773" spans="1:6" x14ac:dyDescent="0.2">
      <c r="A1773" s="151" t="s">
        <v>2545</v>
      </c>
      <c r="B1773" s="151" t="b">
        <f>IF(ISBLANK(PedBerLab!$I$12),"",PedBerLab!$I$12)</f>
        <v>0</v>
      </c>
      <c r="C1773" s="151" t="b">
        <v>0</v>
      </c>
      <c r="D1773" s="151" t="str">
        <f t="shared" si="27"/>
        <v>_Ped_Lab_24_09##ONWAAR</v>
      </c>
      <c r="F1773" s="151"/>
    </row>
    <row r="1774" spans="1:6" x14ac:dyDescent="0.2">
      <c r="A1774" s="151" t="s">
        <v>2546</v>
      </c>
      <c r="B1774" s="151" t="b">
        <f>IF(ISBLANK(PedBerLab!$I$13),"",PedBerLab!$I$13)</f>
        <v>0</v>
      </c>
      <c r="C1774" s="151" t="b">
        <v>0</v>
      </c>
      <c r="D1774" s="151" t="str">
        <f t="shared" si="27"/>
        <v>_Ped_Lab_24_10##ONWAAR</v>
      </c>
    </row>
    <row r="1775" spans="1:6" x14ac:dyDescent="0.2">
      <c r="A1775" s="151" t="s">
        <v>2547</v>
      </c>
      <c r="B1775" s="151" t="b">
        <f>IF(ISBLANK(PedBerLab!$I$14),"",PedBerLab!$I$14)</f>
        <v>0</v>
      </c>
      <c r="C1775" s="151" t="b">
        <v>0</v>
      </c>
      <c r="D1775" s="151" t="str">
        <f t="shared" si="27"/>
        <v>_Ped_Lab_24_11##ONWAAR</v>
      </c>
    </row>
    <row r="1776" spans="1:6" x14ac:dyDescent="0.2">
      <c r="A1776" s="151" t="s">
        <v>2548</v>
      </c>
      <c r="B1776" s="151" t="b">
        <f>IF(ISBLANK(PedBerLab!$I$15),"",PedBerLab!$I$15)</f>
        <v>0</v>
      </c>
      <c r="C1776" s="151" t="b">
        <v>0</v>
      </c>
      <c r="D1776" s="151" t="str">
        <f t="shared" si="27"/>
        <v>_Ped_Lab_24_12##ONWAAR</v>
      </c>
    </row>
    <row r="1777" spans="1:6" x14ac:dyDescent="0.2">
      <c r="A1777" s="151" t="s">
        <v>2549</v>
      </c>
      <c r="B1777" t="b">
        <f>IF(ISBLANK(PedBerLab!$I$16),"",PedBerLab!$I$16)</f>
        <v>0</v>
      </c>
      <c r="C1777" t="b">
        <v>0</v>
      </c>
      <c r="D1777" s="151" t="str">
        <f t="shared" si="27"/>
        <v>_Ped_Lab_24_13##ONWAAR</v>
      </c>
    </row>
    <row r="1778" spans="1:6" x14ac:dyDescent="0.2">
      <c r="A1778" s="151" t="s">
        <v>2550</v>
      </c>
      <c r="B1778" t="b">
        <f>IF(ISBLANK(PedBerLab!$I$17),"",PedBerLab!$I$17)</f>
        <v>0</v>
      </c>
      <c r="C1778" t="b">
        <v>0</v>
      </c>
      <c r="D1778" s="151" t="str">
        <f t="shared" si="27"/>
        <v>_Ped_Lab_24_14##ONWAAR</v>
      </c>
    </row>
    <row r="1779" spans="1:6" x14ac:dyDescent="0.2">
      <c r="A1779" s="151" t="s">
        <v>2551</v>
      </c>
      <c r="B1779" t="b">
        <f>IF(ISBLANK(PedBerLab!$I$18),"",PedBerLab!$I$18)</f>
        <v>0</v>
      </c>
      <c r="C1779" t="b">
        <v>0</v>
      </c>
      <c r="D1779" s="151" t="str">
        <f t="shared" si="27"/>
        <v>_Ped_Lab_24_15##ONWAAR</v>
      </c>
      <c r="E1779" s="151"/>
    </row>
    <row r="1780" spans="1:6" x14ac:dyDescent="0.2">
      <c r="A1780" s="151" t="s">
        <v>2552</v>
      </c>
      <c r="B1780" t="b">
        <f>IF(ISBLANK(PedBerLab!$I$19),"",PedBerLab!$I$19)</f>
        <v>0</v>
      </c>
      <c r="C1780" t="b">
        <v>0</v>
      </c>
      <c r="D1780" s="151" t="str">
        <f t="shared" si="27"/>
        <v>_Ped_Lab_24_16##ONWAAR</v>
      </c>
      <c r="E1780" s="151"/>
    </row>
    <row r="1781" spans="1:6" x14ac:dyDescent="0.2">
      <c r="A1781" s="151" t="s">
        <v>2553</v>
      </c>
      <c r="B1781" t="b">
        <f>IF(ISBLANK(PedBerLab!$I$20),"",PedBerLab!$I$20)</f>
        <v>0</v>
      </c>
      <c r="C1781" t="b">
        <v>0</v>
      </c>
      <c r="D1781" s="151" t="str">
        <f t="shared" si="27"/>
        <v>_Ped_Lab_24_17##ONWAAR</v>
      </c>
      <c r="E1781" s="151"/>
    </row>
    <row r="1782" spans="1:6" x14ac:dyDescent="0.2">
      <c r="A1782" s="151" t="s">
        <v>2554</v>
      </c>
      <c r="B1782" t="b">
        <f>IF(ISBLANK(PedBerLab!$I$21),"",PedBerLab!$I$21)</f>
        <v>0</v>
      </c>
      <c r="C1782" t="b">
        <v>0</v>
      </c>
      <c r="D1782" s="151" t="str">
        <f t="shared" si="27"/>
        <v>_Ped_Lab_24_18##ONWAAR</v>
      </c>
      <c r="E1782" s="151"/>
    </row>
    <row r="1783" spans="1:6" x14ac:dyDescent="0.2">
      <c r="A1783" s="151" t="s">
        <v>2555</v>
      </c>
      <c r="B1783" t="b">
        <f>IF(ISBLANK(PedBerLab!$I$22),"",PedBerLab!$I$22)</f>
        <v>0</v>
      </c>
      <c r="C1783" t="b">
        <v>0</v>
      </c>
      <c r="D1783" s="151" t="str">
        <f t="shared" si="27"/>
        <v>_Ped_Lab_24_19##ONWAAR</v>
      </c>
      <c r="E1783" s="151"/>
    </row>
    <row r="1784" spans="1:6" x14ac:dyDescent="0.2">
      <c r="A1784" s="151" t="s">
        <v>2556</v>
      </c>
      <c r="B1784" t="b">
        <f>IF(ISBLANK(PedBerLab!$I$23),"",PedBerLab!$I$23)</f>
        <v>0</v>
      </c>
      <c r="C1784" t="b">
        <v>0</v>
      </c>
      <c r="D1784" s="151" t="str">
        <f t="shared" si="27"/>
        <v>_Ped_Lab_24_20##ONWAAR</v>
      </c>
    </row>
    <row r="1785" spans="1:6" x14ac:dyDescent="0.2">
      <c r="A1785" s="151" t="s">
        <v>2557</v>
      </c>
      <c r="B1785" t="b">
        <f>IF(ISBLANK(PedBerLab!$I$24),"",PedBerLab!$I$24)</f>
        <v>0</v>
      </c>
      <c r="C1785" t="b">
        <v>0</v>
      </c>
      <c r="D1785" s="151" t="str">
        <f t="shared" si="27"/>
        <v>_Ped_Lab_24_21##ONWAAR</v>
      </c>
    </row>
    <row r="1786" spans="1:6" x14ac:dyDescent="0.2">
      <c r="A1786" s="151" t="s">
        <v>2558</v>
      </c>
      <c r="B1786" t="b">
        <f>IF(ISBLANK(PedBerLab!$I$25),"",PedBerLab!$I$25)</f>
        <v>0</v>
      </c>
      <c r="C1786" t="b">
        <v>0</v>
      </c>
      <c r="D1786" s="151" t="str">
        <f t="shared" si="27"/>
        <v>_Ped_Lab_24_22##ONWAAR</v>
      </c>
    </row>
    <row r="1787" spans="1:6" x14ac:dyDescent="0.2">
      <c r="A1787" s="151" t="s">
        <v>2559</v>
      </c>
      <c r="B1787" t="b">
        <f>IF(ISBLANK(PedBerLab!$I$26),"",PedBerLab!$I$26)</f>
        <v>0</v>
      </c>
      <c r="C1787" s="151" t="b">
        <v>0</v>
      </c>
      <c r="D1787" s="151" t="str">
        <f t="shared" si="27"/>
        <v>_Ped_Lab_24_23##ONWAAR</v>
      </c>
    </row>
    <row r="1788" spans="1:6" x14ac:dyDescent="0.2">
      <c r="A1788" s="151" t="s">
        <v>2560</v>
      </c>
      <c r="B1788" t="b">
        <f>IF(ISBLANK(PedBerLab!$I$27),"",PedBerLab!$I$27)</f>
        <v>0</v>
      </c>
      <c r="C1788" s="151" t="b">
        <v>0</v>
      </c>
      <c r="D1788" s="151" t="str">
        <f t="shared" si="27"/>
        <v>_Ped_Lab_24_24##ONWAAR</v>
      </c>
    </row>
    <row r="1789" spans="1:6" x14ac:dyDescent="0.2">
      <c r="A1789" s="151" t="s">
        <v>2561</v>
      </c>
      <c r="B1789" t="b">
        <f>IF(ISBLANK(PedBerLab!$I$28),"",PedBerLab!$I$28)</f>
        <v>0</v>
      </c>
      <c r="C1789" s="151" t="b">
        <v>0</v>
      </c>
      <c r="D1789" s="151" t="str">
        <f t="shared" si="27"/>
        <v>_Ped_Lab_24_25##ONWAAR</v>
      </c>
    </row>
    <row r="1790" spans="1:6" x14ac:dyDescent="0.2">
      <c r="A1790" s="151" t="s">
        <v>2562</v>
      </c>
      <c r="B1790" t="b">
        <f>IF(ISBLANK(PedBerLab!$I$29),"",PedBerLab!$I$29)</f>
        <v>0</v>
      </c>
      <c r="C1790" s="151" t="b">
        <v>0</v>
      </c>
      <c r="D1790" s="151" t="str">
        <f t="shared" si="27"/>
        <v>_Ped_Lab_24_26##ONWAAR</v>
      </c>
      <c r="F1790" s="151"/>
    </row>
    <row r="1791" spans="1:6" x14ac:dyDescent="0.2">
      <c r="A1791" s="151" t="s">
        <v>2563</v>
      </c>
      <c r="B1791" t="b">
        <f>IF(ISBLANK(PedBerLab!$I$30),"",PedBerLab!$I$30)</f>
        <v>0</v>
      </c>
      <c r="C1791" s="151" t="b">
        <v>0</v>
      </c>
      <c r="D1791" s="151" t="str">
        <f t="shared" si="27"/>
        <v>_Ped_Lab_24_27##ONWAAR</v>
      </c>
      <c r="F1791" s="151"/>
    </row>
    <row r="1792" spans="1:6" x14ac:dyDescent="0.2">
      <c r="A1792" s="151" t="s">
        <v>2564</v>
      </c>
      <c r="B1792" s="151" t="b">
        <f>IF(ISBLANK(PedBerLab!$I$31),"",PedBerLab!$I$31)</f>
        <v>0</v>
      </c>
      <c r="C1792" s="151" t="b">
        <v>0</v>
      </c>
      <c r="D1792" s="151" t="str">
        <f t="shared" si="27"/>
        <v>_Ped_Lab_24_28##ONWAAR</v>
      </c>
      <c r="F1792" s="151"/>
    </row>
    <row r="1793" spans="1:6" x14ac:dyDescent="0.2">
      <c r="A1793" s="151" t="s">
        <v>2565</v>
      </c>
      <c r="B1793" s="151" t="b">
        <f>IF(ISBLANK(PedBerLab!$I$32),"",PedBerLab!$I$32)</f>
        <v>0</v>
      </c>
      <c r="C1793" s="151" t="b">
        <v>0</v>
      </c>
      <c r="D1793" s="151" t="str">
        <f t="shared" si="27"/>
        <v>_Ped_Lab_24_29##ONWAAR</v>
      </c>
      <c r="F1793" s="151"/>
    </row>
    <row r="1794" spans="1:6" x14ac:dyDescent="0.2">
      <c r="A1794" s="151" t="s">
        <v>2566</v>
      </c>
      <c r="B1794" s="151" t="b">
        <f>IF(ISBLANK(PedBerLab!$I$33),"",PedBerLab!$I$33)</f>
        <v>0</v>
      </c>
      <c r="C1794" s="151" t="b">
        <v>0</v>
      </c>
      <c r="D1794" s="151" t="str">
        <f t="shared" si="27"/>
        <v>_Ped_Lab_24_30##ONWAAR</v>
      </c>
      <c r="F1794" s="151"/>
    </row>
    <row r="1795" spans="1:6" x14ac:dyDescent="0.2">
      <c r="A1795" s="151" t="s">
        <v>2567</v>
      </c>
      <c r="B1795" s="151" t="b">
        <f>IF(ISBLANK(PedBerLab!$I$34),"",PedBerLab!$I$34)</f>
        <v>0</v>
      </c>
      <c r="C1795" s="151" t="b">
        <v>0</v>
      </c>
      <c r="D1795" s="151" t="str">
        <f t="shared" ref="D1795:D1858" si="28">A1795&amp;"##"&amp;B1795</f>
        <v>_Ped_Lab_24_31##ONWAAR</v>
      </c>
    </row>
    <row r="1796" spans="1:6" x14ac:dyDescent="0.2">
      <c r="A1796" s="151" t="s">
        <v>2568</v>
      </c>
      <c r="B1796" s="151" t="b">
        <f>IF(ISBLANK(PedBerLab!$L$4),"",PedBerLab!$L$4)</f>
        <v>0</v>
      </c>
      <c r="C1796" s="151" t="b">
        <v>0</v>
      </c>
      <c r="D1796" s="151" t="str">
        <f t="shared" si="28"/>
        <v>_Ped_Lab_Dag1_01##ONWAAR</v>
      </c>
    </row>
    <row r="1797" spans="1:6" x14ac:dyDescent="0.2">
      <c r="A1797" s="151" t="s">
        <v>2569</v>
      </c>
      <c r="B1797" t="b">
        <f>IF(ISBLANK(PedBerLab!$L$5),"",PedBerLab!$L$5)</f>
        <v>0</v>
      </c>
      <c r="C1797" t="b">
        <v>0</v>
      </c>
      <c r="D1797" s="151" t="str">
        <f t="shared" si="28"/>
        <v>_Ped_Lab_Dag1_02##ONWAAR</v>
      </c>
    </row>
    <row r="1798" spans="1:6" x14ac:dyDescent="0.2">
      <c r="A1798" s="151" t="s">
        <v>2570</v>
      </c>
      <c r="B1798" t="b">
        <f>IF(ISBLANK(PedBerLab!$L$6),"",PedBerLab!$L$6)</f>
        <v>0</v>
      </c>
      <c r="C1798" t="b">
        <v>0</v>
      </c>
      <c r="D1798" s="151" t="str">
        <f t="shared" si="28"/>
        <v>_Ped_Lab_Dag1_03##ONWAAR</v>
      </c>
    </row>
    <row r="1799" spans="1:6" x14ac:dyDescent="0.2">
      <c r="A1799" s="151" t="s">
        <v>2571</v>
      </c>
      <c r="B1799" t="b">
        <f>IF(ISBLANK(PedBerLab!$L$7),"",PedBerLab!$L$7)</f>
        <v>0</v>
      </c>
      <c r="C1799" t="b">
        <v>0</v>
      </c>
      <c r="D1799" s="151" t="str">
        <f t="shared" si="28"/>
        <v>_Ped_Lab_Dag1_04##ONWAAR</v>
      </c>
      <c r="E1799" s="151"/>
    </row>
    <row r="1800" spans="1:6" x14ac:dyDescent="0.2">
      <c r="A1800" s="151" t="s">
        <v>2572</v>
      </c>
      <c r="B1800" t="b">
        <f>IF(ISBLANK(PedBerLab!$L$8),"",PedBerLab!$L$8)</f>
        <v>0</v>
      </c>
      <c r="C1800" t="b">
        <v>0</v>
      </c>
      <c r="D1800" s="151" t="str">
        <f t="shared" si="28"/>
        <v>_Ped_Lab_Dag1_05##ONWAAR</v>
      </c>
      <c r="E1800" s="151"/>
    </row>
    <row r="1801" spans="1:6" x14ac:dyDescent="0.2">
      <c r="A1801" s="151" t="s">
        <v>2573</v>
      </c>
      <c r="B1801" t="b">
        <f>IF(ISBLANK(PedBerLab!$L$9),"",PedBerLab!$L$9)</f>
        <v>0</v>
      </c>
      <c r="C1801" t="b">
        <v>0</v>
      </c>
      <c r="D1801" s="151" t="str">
        <f t="shared" si="28"/>
        <v>_Ped_Lab_Dag1_06##ONWAAR</v>
      </c>
      <c r="E1801" s="151"/>
    </row>
    <row r="1802" spans="1:6" x14ac:dyDescent="0.2">
      <c r="A1802" s="151" t="s">
        <v>2574</v>
      </c>
      <c r="B1802" t="b">
        <f>IF(ISBLANK(PedBerLab!$L$10),"",PedBerLab!$L$10)</f>
        <v>0</v>
      </c>
      <c r="C1802" t="b">
        <v>0</v>
      </c>
      <c r="D1802" s="151" t="str">
        <f t="shared" si="28"/>
        <v>_Ped_Lab_Dag1_07##ONWAAR</v>
      </c>
      <c r="E1802" s="151"/>
    </row>
    <row r="1803" spans="1:6" x14ac:dyDescent="0.2">
      <c r="A1803" s="151" t="s">
        <v>2575</v>
      </c>
      <c r="B1803" t="b">
        <f>IF(ISBLANK(PedBerLab!$L$11),"",PedBerLab!$L$11)</f>
        <v>0</v>
      </c>
      <c r="C1803" t="b">
        <v>0</v>
      </c>
      <c r="D1803" s="151" t="str">
        <f t="shared" si="28"/>
        <v>_Ped_Lab_Dag1_08##ONWAAR</v>
      </c>
      <c r="E1803" s="151"/>
    </row>
    <row r="1804" spans="1:6" x14ac:dyDescent="0.2">
      <c r="A1804" s="151" t="s">
        <v>2576</v>
      </c>
      <c r="B1804" t="b">
        <f>IF(ISBLANK(PedBerLab!$L$12),"",PedBerLab!$L$12)</f>
        <v>0</v>
      </c>
      <c r="C1804" t="b">
        <v>0</v>
      </c>
      <c r="D1804" s="151" t="str">
        <f t="shared" si="28"/>
        <v>_Ped_Lab_Dag1_09##ONWAAR</v>
      </c>
    </row>
    <row r="1805" spans="1:6" x14ac:dyDescent="0.2">
      <c r="A1805" s="151" t="s">
        <v>2577</v>
      </c>
      <c r="B1805" t="b">
        <f>IF(ISBLANK(PedBerLab!$L$13),"",PedBerLab!$L$13)</f>
        <v>0</v>
      </c>
      <c r="C1805" t="b">
        <v>0</v>
      </c>
      <c r="D1805" s="151" t="str">
        <f t="shared" si="28"/>
        <v>_Ped_Lab_Dag1_10##ONWAAR</v>
      </c>
    </row>
    <row r="1806" spans="1:6" x14ac:dyDescent="0.2">
      <c r="A1806" s="151" t="s">
        <v>2578</v>
      </c>
      <c r="B1806" t="b">
        <f>IF(ISBLANK(PedBerLab!$L$14),"",PedBerLab!$L$14)</f>
        <v>0</v>
      </c>
      <c r="C1806" t="b">
        <v>0</v>
      </c>
      <c r="D1806" s="151" t="str">
        <f t="shared" si="28"/>
        <v>_Ped_Lab_Dag1_11##ONWAAR</v>
      </c>
    </row>
    <row r="1807" spans="1:6" x14ac:dyDescent="0.2">
      <c r="A1807" s="151" t="s">
        <v>2579</v>
      </c>
      <c r="B1807" t="b">
        <f>IF(ISBLANK(PedBerLab!$L$15),"",PedBerLab!$L$15)</f>
        <v>0</v>
      </c>
      <c r="C1807" t="b">
        <v>0</v>
      </c>
      <c r="D1807" s="151" t="str">
        <f t="shared" si="28"/>
        <v>_Ped_Lab_Dag1_12##ONWAAR</v>
      </c>
    </row>
    <row r="1808" spans="1:6" x14ac:dyDescent="0.2">
      <c r="A1808" s="151" t="s">
        <v>2580</v>
      </c>
      <c r="B1808" t="b">
        <f>IF(ISBLANK(PedBerLab!$L$16),"",PedBerLab!$L$16)</f>
        <v>0</v>
      </c>
      <c r="C1808" t="b">
        <v>0</v>
      </c>
      <c r="D1808" s="151" t="str">
        <f t="shared" si="28"/>
        <v>_Ped_Lab_Dag1_13##ONWAAR</v>
      </c>
    </row>
    <row r="1809" spans="1:6" x14ac:dyDescent="0.2">
      <c r="A1809" s="151" t="s">
        <v>2581</v>
      </c>
      <c r="B1809" t="b">
        <f>IF(ISBLANK(PedBerLab!$L$17),"",PedBerLab!$L$17)</f>
        <v>0</v>
      </c>
      <c r="C1809" t="b">
        <v>0</v>
      </c>
      <c r="D1809" s="151" t="str">
        <f t="shared" si="28"/>
        <v>_Ped_Lab_Dag1_14##ONWAAR</v>
      </c>
    </row>
    <row r="1810" spans="1:6" x14ac:dyDescent="0.2">
      <c r="A1810" s="151" t="s">
        <v>2582</v>
      </c>
      <c r="B1810" t="b">
        <f>IF(ISBLANK(PedBerLab!$L$18),"",PedBerLab!$L$18)</f>
        <v>0</v>
      </c>
      <c r="C1810" t="b">
        <v>0</v>
      </c>
      <c r="D1810" s="151" t="str">
        <f t="shared" si="28"/>
        <v>_Ped_Lab_Dag1_15##ONWAAR</v>
      </c>
      <c r="F1810" s="151"/>
    </row>
    <row r="1811" spans="1:6" x14ac:dyDescent="0.2">
      <c r="A1811" s="151" t="s">
        <v>2583</v>
      </c>
      <c r="B1811" t="b">
        <f>IF(ISBLANK(PedBerLab!$L$19),"",PedBerLab!$L$19)</f>
        <v>0</v>
      </c>
      <c r="C1811" t="b">
        <v>0</v>
      </c>
      <c r="D1811" s="151" t="str">
        <f t="shared" si="28"/>
        <v>_Ped_Lab_Dag1_16##ONWAAR</v>
      </c>
      <c r="F1811" s="151"/>
    </row>
    <row r="1812" spans="1:6" x14ac:dyDescent="0.2">
      <c r="A1812" s="151" t="s">
        <v>2584</v>
      </c>
      <c r="B1812" s="151" t="b">
        <f>IF(ISBLANK(PedBerLab!$L$20),"",PedBerLab!$L$20)</f>
        <v>0</v>
      </c>
      <c r="C1812" s="151" t="b">
        <v>0</v>
      </c>
      <c r="D1812" s="151" t="str">
        <f t="shared" si="28"/>
        <v>_Ped_Lab_Dag1_17##ONWAAR</v>
      </c>
      <c r="F1812" s="151"/>
    </row>
    <row r="1813" spans="1:6" x14ac:dyDescent="0.2">
      <c r="A1813" s="151" t="s">
        <v>2585</v>
      </c>
      <c r="B1813" s="151" t="b">
        <f>IF(ISBLANK(PedBerLab!$L$21),"",PedBerLab!$L$21)</f>
        <v>0</v>
      </c>
      <c r="C1813" s="151" t="b">
        <v>0</v>
      </c>
      <c r="D1813" s="151" t="str">
        <f t="shared" si="28"/>
        <v>_Ped_Lab_Dag1_18##ONWAAR</v>
      </c>
      <c r="F1813" s="151"/>
    </row>
    <row r="1814" spans="1:6" x14ac:dyDescent="0.2">
      <c r="A1814" s="151" t="s">
        <v>2586</v>
      </c>
      <c r="B1814" s="151" t="b">
        <f>IF(ISBLANK(PedBerLab!$L$22),"",PedBerLab!$L$22)</f>
        <v>0</v>
      </c>
      <c r="C1814" s="151" t="b">
        <v>0</v>
      </c>
      <c r="D1814" s="151" t="str">
        <f t="shared" si="28"/>
        <v>_Ped_Lab_Dag1_19##ONWAAR</v>
      </c>
      <c r="F1814" s="151"/>
    </row>
    <row r="1815" spans="1:6" x14ac:dyDescent="0.2">
      <c r="A1815" s="151" t="s">
        <v>2587</v>
      </c>
      <c r="B1815" s="151" t="b">
        <f>IF(ISBLANK(PedBerLab!$L$23),"",PedBerLab!$L$23)</f>
        <v>0</v>
      </c>
      <c r="C1815" s="151" t="b">
        <v>0</v>
      </c>
      <c r="D1815" s="151" t="str">
        <f t="shared" si="28"/>
        <v>_Ped_Lab_Dag1_20##ONWAAR</v>
      </c>
    </row>
    <row r="1816" spans="1:6" x14ac:dyDescent="0.2">
      <c r="A1816" s="151" t="s">
        <v>2588</v>
      </c>
      <c r="B1816" s="151" t="b">
        <f>IF(ISBLANK(PedBerLab!$L$24),"",PedBerLab!$L$24)</f>
        <v>0</v>
      </c>
      <c r="C1816" s="151" t="b">
        <v>0</v>
      </c>
      <c r="D1816" s="151" t="str">
        <f t="shared" si="28"/>
        <v>_Ped_Lab_Dag1_21##ONWAAR</v>
      </c>
    </row>
    <row r="1817" spans="1:6" x14ac:dyDescent="0.2">
      <c r="A1817" s="151" t="s">
        <v>2589</v>
      </c>
      <c r="B1817" t="b">
        <f>IF(ISBLANK(PedBerLab!$L$25),"",PedBerLab!$L$25)</f>
        <v>0</v>
      </c>
      <c r="C1817" s="151" t="b">
        <v>0</v>
      </c>
      <c r="D1817" s="151" t="str">
        <f t="shared" si="28"/>
        <v>_Ped_Lab_Dag1_22##ONWAAR</v>
      </c>
    </row>
    <row r="1818" spans="1:6" x14ac:dyDescent="0.2">
      <c r="A1818" s="151" t="s">
        <v>2590</v>
      </c>
      <c r="B1818" t="b">
        <f>IF(ISBLANK(PedBerLab!$L$26),"",PedBerLab!$L$26)</f>
        <v>0</v>
      </c>
      <c r="C1818" s="151" t="b">
        <v>0</v>
      </c>
      <c r="D1818" s="151" t="str">
        <f t="shared" si="28"/>
        <v>_Ped_Lab_Dag1_23##ONWAAR</v>
      </c>
    </row>
    <row r="1819" spans="1:6" x14ac:dyDescent="0.2">
      <c r="A1819" s="151" t="s">
        <v>2591</v>
      </c>
      <c r="B1819" t="b">
        <f>IF(ISBLANK(PedBerLab!$L$27),"",PedBerLab!$L$27)</f>
        <v>0</v>
      </c>
      <c r="C1819" s="151" t="b">
        <v>0</v>
      </c>
      <c r="D1819" s="151" t="str">
        <f t="shared" si="28"/>
        <v>_Ped_Lab_Dag1_24##ONWAAR</v>
      </c>
    </row>
    <row r="1820" spans="1:6" x14ac:dyDescent="0.2">
      <c r="A1820" s="151" t="s">
        <v>2592</v>
      </c>
      <c r="B1820" t="b">
        <f>IF(ISBLANK(PedBerLab!$L$28),"",PedBerLab!$L$28)</f>
        <v>0</v>
      </c>
      <c r="C1820" s="151" t="b">
        <v>0</v>
      </c>
      <c r="D1820" s="151" t="str">
        <f t="shared" si="28"/>
        <v>_Ped_Lab_Dag1_25##ONWAAR</v>
      </c>
      <c r="E1820" s="151"/>
    </row>
    <row r="1821" spans="1:6" x14ac:dyDescent="0.2">
      <c r="A1821" s="151" t="s">
        <v>2593</v>
      </c>
      <c r="B1821" t="b">
        <f>IF(ISBLANK(PedBerLab!$L$29),"",PedBerLab!$L$29)</f>
        <v>0</v>
      </c>
      <c r="C1821" s="151" t="b">
        <v>0</v>
      </c>
      <c r="D1821" s="151" t="str">
        <f t="shared" si="28"/>
        <v>_Ped_Lab_Dag1_26##ONWAAR</v>
      </c>
      <c r="E1821" s="151"/>
    </row>
    <row r="1822" spans="1:6" x14ac:dyDescent="0.2">
      <c r="A1822" s="151" t="s">
        <v>2594</v>
      </c>
      <c r="B1822" t="b">
        <f>IF(ISBLANK(PedBerLab!$L$30),"",PedBerLab!$L$30)</f>
        <v>0</v>
      </c>
      <c r="C1822" s="151" t="b">
        <v>0</v>
      </c>
      <c r="D1822" s="151" t="str">
        <f t="shared" si="28"/>
        <v>_Ped_Lab_Dag1_27##ONWAAR</v>
      </c>
      <c r="E1822" s="151"/>
    </row>
    <row r="1823" spans="1:6" x14ac:dyDescent="0.2">
      <c r="A1823" s="151" t="s">
        <v>2595</v>
      </c>
      <c r="B1823" t="b">
        <f>IF(ISBLANK(PedBerLab!$L$31),"",PedBerLab!$L$31)</f>
        <v>0</v>
      </c>
      <c r="C1823" s="151" t="b">
        <v>0</v>
      </c>
      <c r="D1823" s="151" t="str">
        <f t="shared" si="28"/>
        <v>_Ped_Lab_Dag1_28##ONWAAR</v>
      </c>
      <c r="E1823" s="151"/>
    </row>
    <row r="1824" spans="1:6" x14ac:dyDescent="0.2">
      <c r="A1824" s="151" t="s">
        <v>2596</v>
      </c>
      <c r="B1824" t="b">
        <f>IF(ISBLANK(PedBerLab!$L$32),"",PedBerLab!$L$32)</f>
        <v>0</v>
      </c>
      <c r="C1824" s="151" t="b">
        <v>0</v>
      </c>
      <c r="D1824" s="151" t="str">
        <f t="shared" si="28"/>
        <v>_Ped_Lab_Dag1_29##ONWAAR</v>
      </c>
      <c r="E1824" s="151"/>
    </row>
    <row r="1825" spans="1:5" x14ac:dyDescent="0.2">
      <c r="A1825" s="151" t="s">
        <v>2597</v>
      </c>
      <c r="B1825" t="b">
        <f>IF(ISBLANK(PedBerLab!$L$33),"",PedBerLab!$L$33)</f>
        <v>0</v>
      </c>
      <c r="C1825" s="151" t="b">
        <v>0</v>
      </c>
      <c r="D1825" s="151" t="str">
        <f t="shared" si="28"/>
        <v>_Ped_Lab_Dag1_30##ONWAAR</v>
      </c>
    </row>
    <row r="1826" spans="1:5" x14ac:dyDescent="0.2">
      <c r="A1826" s="151" t="s">
        <v>2598</v>
      </c>
      <c r="B1826" t="b">
        <f>IF(ISBLANK(PedBerLab!$L$34),"",PedBerLab!$L$34)</f>
        <v>0</v>
      </c>
      <c r="C1826" s="151" t="b">
        <v>0</v>
      </c>
      <c r="D1826" s="151" t="str">
        <f t="shared" si="28"/>
        <v>_Ped_Lab_Dag1_31##ONWAAR</v>
      </c>
    </row>
    <row r="1827" spans="1:5" x14ac:dyDescent="0.2">
      <c r="A1827" s="151" t="s">
        <v>2599</v>
      </c>
      <c r="B1827" t="str">
        <f>IF(ISBLANK(PedBerLab!$B$37),"",PedBerLab!$B$37)</f>
        <v/>
      </c>
      <c r="C1827" s="44"/>
      <c r="D1827" s="151" t="str">
        <f t="shared" si="28"/>
        <v>_Ped_Lab_Opm##</v>
      </c>
    </row>
    <row r="1828" spans="1:5" x14ac:dyDescent="0.2">
      <c r="A1828" s="151" t="s">
        <v>2600</v>
      </c>
      <c r="B1828" t="b">
        <f>IF(ISBLANK(PedBerLab!$C$4),"",PedBerLab!$C$4)</f>
        <v>0</v>
      </c>
      <c r="C1828" s="151" t="b">
        <v>0</v>
      </c>
      <c r="D1828" s="151" t="str">
        <f t="shared" si="28"/>
        <v>_Ped_Lab_Opn_01##ONWAAR</v>
      </c>
    </row>
    <row r="1829" spans="1:5" x14ac:dyDescent="0.2">
      <c r="A1829" s="151" t="s">
        <v>2601</v>
      </c>
      <c r="B1829" t="b">
        <f>IF(ISBLANK(PedBerLab!$C$5),"",PedBerLab!$C$5)</f>
        <v>0</v>
      </c>
      <c r="C1829" s="151" t="b">
        <v>0</v>
      </c>
      <c r="D1829" s="151" t="str">
        <f t="shared" si="28"/>
        <v>_Ped_Lab_Opn_02##ONWAAR</v>
      </c>
    </row>
    <row r="1830" spans="1:5" x14ac:dyDescent="0.2">
      <c r="A1830" s="151" t="s">
        <v>2602</v>
      </c>
      <c r="B1830" t="b">
        <f>IF(ISBLANK(PedBerLab!$C$6),"",PedBerLab!$C$6)</f>
        <v>0</v>
      </c>
      <c r="C1830" s="151" t="b">
        <v>0</v>
      </c>
      <c r="D1830" s="151" t="str">
        <f t="shared" si="28"/>
        <v>_Ped_Lab_Opn_03##ONWAAR</v>
      </c>
    </row>
    <row r="1831" spans="1:5" x14ac:dyDescent="0.2">
      <c r="A1831" s="151" t="s">
        <v>2603</v>
      </c>
      <c r="B1831" t="b">
        <f>IF(ISBLANK(PedBerLab!$C$7),"",PedBerLab!$C$7)</f>
        <v>0</v>
      </c>
      <c r="C1831" s="151" t="b">
        <v>0</v>
      </c>
      <c r="D1831" s="151" t="str">
        <f t="shared" si="28"/>
        <v>_Ped_Lab_Opn_04##ONWAAR</v>
      </c>
    </row>
    <row r="1832" spans="1:5" x14ac:dyDescent="0.2">
      <c r="A1832" s="151" t="s">
        <v>2604</v>
      </c>
      <c r="B1832" s="151" t="b">
        <f>IF(ISBLANK(PedBerLab!$C$8),"",PedBerLab!$C$8)</f>
        <v>0</v>
      </c>
      <c r="C1832" s="151" t="b">
        <v>0</v>
      </c>
      <c r="D1832" s="151" t="str">
        <f t="shared" si="28"/>
        <v>_Ped_Lab_Opn_05##ONWAAR</v>
      </c>
    </row>
    <row r="1833" spans="1:5" x14ac:dyDescent="0.2">
      <c r="A1833" s="151" t="s">
        <v>2605</v>
      </c>
      <c r="B1833" s="151" t="b">
        <f>IF(ISBLANK(PedBerLab!$C$9),"",PedBerLab!$C$9)</f>
        <v>0</v>
      </c>
      <c r="C1833" s="151" t="b">
        <v>0</v>
      </c>
      <c r="D1833" s="151" t="str">
        <f t="shared" si="28"/>
        <v>_Ped_Lab_Opn_06##ONWAAR</v>
      </c>
    </row>
    <row r="1834" spans="1:5" x14ac:dyDescent="0.2">
      <c r="A1834" s="151" t="s">
        <v>2606</v>
      </c>
      <c r="B1834" s="151" t="b">
        <f>IF(ISBLANK(PedBerLab!$C$10),"",PedBerLab!$C$10)</f>
        <v>0</v>
      </c>
      <c r="C1834" s="151" t="b">
        <v>0</v>
      </c>
      <c r="D1834" s="151" t="str">
        <f t="shared" si="28"/>
        <v>_Ped_Lab_Opn_07##ONWAAR</v>
      </c>
    </row>
    <row r="1835" spans="1:5" x14ac:dyDescent="0.2">
      <c r="A1835" s="151" t="s">
        <v>2607</v>
      </c>
      <c r="B1835" s="151" t="b">
        <f>IF(ISBLANK(PedBerLab!$C$11),"",PedBerLab!$C$11)</f>
        <v>0</v>
      </c>
      <c r="C1835" s="151" t="b">
        <v>0</v>
      </c>
      <c r="D1835" s="151" t="str">
        <f t="shared" si="28"/>
        <v>_Ped_Lab_Opn_08##ONWAAR</v>
      </c>
    </row>
    <row r="1836" spans="1:5" x14ac:dyDescent="0.2">
      <c r="A1836" s="151" t="s">
        <v>2608</v>
      </c>
      <c r="B1836" s="151" t="b">
        <f>IF(ISBLANK(PedBerLab!$C$12),"",PedBerLab!$C$12)</f>
        <v>0</v>
      </c>
      <c r="C1836" s="151" t="b">
        <v>0</v>
      </c>
      <c r="D1836" s="151" t="str">
        <f t="shared" si="28"/>
        <v>_Ped_Lab_Opn_09##ONWAAR</v>
      </c>
    </row>
    <row r="1837" spans="1:5" x14ac:dyDescent="0.2">
      <c r="A1837" s="151" t="s">
        <v>2609</v>
      </c>
      <c r="B1837" t="b">
        <f>IF(ISBLANK(PedBerLab!$C$13),"",PedBerLab!$C$13)</f>
        <v>0</v>
      </c>
      <c r="C1837" s="151" t="b">
        <v>0</v>
      </c>
      <c r="D1837" s="151" t="str">
        <f t="shared" si="28"/>
        <v>_Ped_Lab_Opn_10##ONWAAR</v>
      </c>
    </row>
    <row r="1838" spans="1:5" x14ac:dyDescent="0.2">
      <c r="A1838" s="151" t="s">
        <v>2610</v>
      </c>
      <c r="B1838" t="b">
        <f>IF(ISBLANK(PedBerLab!$C$14),"",PedBerLab!$C$14)</f>
        <v>0</v>
      </c>
      <c r="C1838" s="151" t="b">
        <v>0</v>
      </c>
      <c r="D1838" s="151" t="str">
        <f t="shared" si="28"/>
        <v>_Ped_Lab_Opn_11##ONWAAR</v>
      </c>
    </row>
    <row r="1839" spans="1:5" x14ac:dyDescent="0.2">
      <c r="A1839" s="151" t="s">
        <v>2611</v>
      </c>
      <c r="B1839" t="b">
        <f>IF(ISBLANK(PedBerLab!$C$15),"",PedBerLab!$C$15)</f>
        <v>0</v>
      </c>
      <c r="C1839" s="151" t="b">
        <v>0</v>
      </c>
      <c r="D1839" s="151" t="str">
        <f t="shared" si="28"/>
        <v>_Ped_Lab_Opn_12##ONWAAR</v>
      </c>
    </row>
    <row r="1840" spans="1:5" x14ac:dyDescent="0.2">
      <c r="A1840" s="151" t="s">
        <v>2612</v>
      </c>
      <c r="B1840" t="b">
        <f>IF(ISBLANK(PedBerLab!$C$16),"",PedBerLab!$C$16)</f>
        <v>0</v>
      </c>
      <c r="C1840" s="151" t="b">
        <v>0</v>
      </c>
      <c r="D1840" s="151" t="str">
        <f t="shared" si="28"/>
        <v>_Ped_Lab_Opn_13##ONWAAR</v>
      </c>
      <c r="E1840" s="151"/>
    </row>
    <row r="1841" spans="1:5" x14ac:dyDescent="0.2">
      <c r="A1841" s="151" t="s">
        <v>2613</v>
      </c>
      <c r="B1841" t="b">
        <f>IF(ISBLANK(PedBerLab!$C$17),"",PedBerLab!$C$17)</f>
        <v>0</v>
      </c>
      <c r="C1841" s="151" t="b">
        <v>0</v>
      </c>
      <c r="D1841" s="151" t="str">
        <f t="shared" si="28"/>
        <v>_Ped_Lab_Opn_14##ONWAAR</v>
      </c>
      <c r="E1841" s="151"/>
    </row>
    <row r="1842" spans="1:5" x14ac:dyDescent="0.2">
      <c r="A1842" s="151" t="s">
        <v>2614</v>
      </c>
      <c r="B1842" t="b">
        <f>IF(ISBLANK(PedBerLab!$C$18),"",PedBerLab!$C$18)</f>
        <v>0</v>
      </c>
      <c r="C1842" s="151" t="b">
        <v>0</v>
      </c>
      <c r="D1842" s="151" t="str">
        <f t="shared" si="28"/>
        <v>_Ped_Lab_Opn_15##ONWAAR</v>
      </c>
      <c r="E1842" s="151"/>
    </row>
    <row r="1843" spans="1:5" x14ac:dyDescent="0.2">
      <c r="A1843" s="151" t="s">
        <v>2615</v>
      </c>
      <c r="B1843" t="b">
        <f>IF(ISBLANK(PedBerLab!$C$19),"",PedBerLab!$C$19)</f>
        <v>0</v>
      </c>
      <c r="C1843" s="151" t="b">
        <v>0</v>
      </c>
      <c r="D1843" s="151" t="str">
        <f t="shared" si="28"/>
        <v>_Ped_Lab_Opn_16##ONWAAR</v>
      </c>
      <c r="E1843" s="151"/>
    </row>
    <row r="1844" spans="1:5" x14ac:dyDescent="0.2">
      <c r="A1844" s="151" t="s">
        <v>2616</v>
      </c>
      <c r="B1844" t="b">
        <f>IF(ISBLANK(PedBerLab!$C$20),"",PedBerLab!$C$20)</f>
        <v>0</v>
      </c>
      <c r="C1844" s="151" t="b">
        <v>0</v>
      </c>
      <c r="D1844" s="151" t="str">
        <f t="shared" si="28"/>
        <v>_Ped_Lab_Opn_17##ONWAAR</v>
      </c>
      <c r="E1844" s="151"/>
    </row>
    <row r="1845" spans="1:5" x14ac:dyDescent="0.2">
      <c r="A1845" s="151" t="s">
        <v>2617</v>
      </c>
      <c r="B1845" t="b">
        <f>IF(ISBLANK(PedBerLab!$C$21),"",PedBerLab!$C$21)</f>
        <v>0</v>
      </c>
      <c r="C1845" s="151" t="b">
        <v>0</v>
      </c>
      <c r="D1845" s="151" t="str">
        <f t="shared" si="28"/>
        <v>_Ped_Lab_Opn_18##ONWAAR</v>
      </c>
    </row>
    <row r="1846" spans="1:5" x14ac:dyDescent="0.2">
      <c r="A1846" s="151" t="s">
        <v>2618</v>
      </c>
      <c r="B1846" t="b">
        <f>IF(ISBLANK(PedBerLab!$C$22),"",PedBerLab!$C$22)</f>
        <v>0</v>
      </c>
      <c r="C1846" s="151" t="b">
        <v>0</v>
      </c>
      <c r="D1846" s="151" t="str">
        <f t="shared" si="28"/>
        <v>_Ped_Lab_Opn_19##ONWAAR</v>
      </c>
    </row>
    <row r="1847" spans="1:5" x14ac:dyDescent="0.2">
      <c r="A1847" s="151" t="s">
        <v>2619</v>
      </c>
      <c r="B1847" t="b">
        <f>IF(ISBLANK(PedBerLab!$C$23),"",PedBerLab!$C$23)</f>
        <v>0</v>
      </c>
      <c r="C1847" s="151" t="b">
        <v>0</v>
      </c>
      <c r="D1847" s="151" t="str">
        <f t="shared" si="28"/>
        <v>_Ped_Lab_Opn_20##ONWAAR</v>
      </c>
    </row>
    <row r="1848" spans="1:5" x14ac:dyDescent="0.2">
      <c r="A1848" s="151" t="s">
        <v>2620</v>
      </c>
      <c r="B1848" t="b">
        <f>IF(ISBLANK(PedBerLab!$C$24),"",PedBerLab!$C$24)</f>
        <v>0</v>
      </c>
      <c r="C1848" s="151" t="b">
        <v>0</v>
      </c>
      <c r="D1848" s="151" t="str">
        <f t="shared" si="28"/>
        <v>_Ped_Lab_Opn_21##ONWAAR</v>
      </c>
    </row>
    <row r="1849" spans="1:5" x14ac:dyDescent="0.2">
      <c r="A1849" s="151" t="s">
        <v>2621</v>
      </c>
      <c r="B1849" t="b">
        <f>IF(ISBLANK(PedBerLab!$C$25),"",PedBerLab!$C$25)</f>
        <v>0</v>
      </c>
      <c r="C1849" s="151" t="b">
        <v>0</v>
      </c>
      <c r="D1849" s="151" t="str">
        <f t="shared" si="28"/>
        <v>_Ped_Lab_Opn_22##ONWAAR</v>
      </c>
    </row>
    <row r="1850" spans="1:5" x14ac:dyDescent="0.2">
      <c r="A1850" s="151" t="s">
        <v>2622</v>
      </c>
      <c r="B1850" t="b">
        <f>IF(ISBLANK(PedBerLab!$C$26),"",PedBerLab!$C$26)</f>
        <v>0</v>
      </c>
      <c r="C1850" s="151" t="b">
        <v>0</v>
      </c>
      <c r="D1850" s="151" t="str">
        <f t="shared" si="28"/>
        <v>_Ped_Lab_Opn_23##ONWAAR</v>
      </c>
    </row>
    <row r="1851" spans="1:5" x14ac:dyDescent="0.2">
      <c r="A1851" s="151" t="s">
        <v>2623</v>
      </c>
      <c r="B1851" t="b">
        <f>IF(ISBLANK(PedBerLab!$C$27),"",PedBerLab!$C$27)</f>
        <v>0</v>
      </c>
      <c r="C1851" s="151" t="b">
        <v>0</v>
      </c>
      <c r="D1851" s="151" t="str">
        <f t="shared" si="28"/>
        <v>_Ped_Lab_Opn_24##ONWAAR</v>
      </c>
    </row>
    <row r="1852" spans="1:5" x14ac:dyDescent="0.2">
      <c r="A1852" s="151" t="s">
        <v>2624</v>
      </c>
      <c r="B1852" t="b">
        <f>IF(ISBLANK(PedBerLab!$C$28),"",PedBerLab!$C$28)</f>
        <v>0</v>
      </c>
      <c r="C1852" s="151" t="b">
        <v>0</v>
      </c>
      <c r="D1852" s="151" t="str">
        <f t="shared" si="28"/>
        <v>_Ped_Lab_Opn_25##ONWAAR</v>
      </c>
    </row>
    <row r="1853" spans="1:5" x14ac:dyDescent="0.2">
      <c r="A1853" s="151" t="s">
        <v>2625</v>
      </c>
      <c r="B1853" s="151" t="b">
        <f>IF(ISBLANK(PedBerLab!$C$29),"",PedBerLab!$C$29)</f>
        <v>0</v>
      </c>
      <c r="C1853" s="151" t="b">
        <v>0</v>
      </c>
      <c r="D1853" s="151" t="str">
        <f t="shared" si="28"/>
        <v>_Ped_Lab_Opn_26##ONWAAR</v>
      </c>
    </row>
    <row r="1854" spans="1:5" x14ac:dyDescent="0.2">
      <c r="A1854" s="151" t="s">
        <v>2626</v>
      </c>
      <c r="B1854" s="151" t="b">
        <f>IF(ISBLANK(PedBerLab!$C$30),"",PedBerLab!$C$30)</f>
        <v>0</v>
      </c>
      <c r="C1854" s="151" t="b">
        <v>0</v>
      </c>
      <c r="D1854" s="151" t="str">
        <f t="shared" si="28"/>
        <v>_Ped_Lab_Opn_27##ONWAAR</v>
      </c>
    </row>
    <row r="1855" spans="1:5" x14ac:dyDescent="0.2">
      <c r="A1855" s="151" t="s">
        <v>2627</v>
      </c>
      <c r="B1855" s="151" t="b">
        <f>IF(ISBLANK(PedBerLab!$C$31),"",PedBerLab!$C$31)</f>
        <v>0</v>
      </c>
      <c r="C1855" s="151" t="b">
        <v>0</v>
      </c>
      <c r="D1855" s="151" t="str">
        <f t="shared" si="28"/>
        <v>_Ped_Lab_Opn_28##ONWAAR</v>
      </c>
    </row>
    <row r="1856" spans="1:5" x14ac:dyDescent="0.2">
      <c r="A1856" s="151" t="s">
        <v>2628</v>
      </c>
      <c r="B1856" s="151" t="b">
        <f>IF(ISBLANK(PedBerLab!$C$32),"",PedBerLab!$C$32)</f>
        <v>0</v>
      </c>
      <c r="C1856" s="151" t="b">
        <v>0</v>
      </c>
      <c r="D1856" s="151" t="str">
        <f t="shared" si="28"/>
        <v>_Ped_Lab_Opn_29##ONWAAR</v>
      </c>
    </row>
    <row r="1857" spans="1:4" x14ac:dyDescent="0.2">
      <c r="A1857" s="151" t="s">
        <v>2629</v>
      </c>
      <c r="B1857" s="151" t="b">
        <f>IF(ISBLANK(PedBerLab!$C$33),"",PedBerLab!$C$33)</f>
        <v>0</v>
      </c>
      <c r="C1857" s="151" t="b">
        <v>0</v>
      </c>
      <c r="D1857" s="151" t="str">
        <f t="shared" si="28"/>
        <v>_Ped_Lab_Opn_30##ONWAAR</v>
      </c>
    </row>
    <row r="1858" spans="1:4" x14ac:dyDescent="0.2">
      <c r="A1858" s="151" t="s">
        <v>2630</v>
      </c>
      <c r="B1858" t="b">
        <f>IF(ISBLANK(PedBerLab!$C$34),"",PedBerLab!$C$34)</f>
        <v>0</v>
      </c>
      <c r="C1858" s="151" t="b">
        <v>0</v>
      </c>
      <c r="D1858" s="151" t="str">
        <f t="shared" si="28"/>
        <v>_Ped_Lab_Opn_31##ONWAAR</v>
      </c>
    </row>
    <row r="1859" spans="1:4" x14ac:dyDescent="0.2">
      <c r="A1859" s="151" t="s">
        <v>2631</v>
      </c>
      <c r="B1859" t="b">
        <f>IF(ISBLANK(PedBerLab!$C$35),"",PedBerLab!$C$35)</f>
        <v>0</v>
      </c>
      <c r="C1859" s="151" t="b">
        <v>0</v>
      </c>
      <c r="D1859" s="151" t="str">
        <f t="shared" ref="D1859:D1922" si="29">A1859&amp;"##"&amp;B1859</f>
        <v>_Ped_Lab_Opn_32##ONWAAR</v>
      </c>
    </row>
    <row r="1860" spans="1:4" x14ac:dyDescent="0.2">
      <c r="A1860" s="151" t="s">
        <v>4694</v>
      </c>
      <c r="B1860">
        <f>IF(ISBLANK(PedBerIVenPM!$B$2),"",PedBerIVenPM!$B$2)</f>
        <v>1</v>
      </c>
      <c r="C1860" s="151">
        <v>1</v>
      </c>
      <c r="D1860" s="151" t="str">
        <f t="shared" si="29"/>
        <v>_Ped_Lijn_1##1</v>
      </c>
    </row>
    <row r="1861" spans="1:4" x14ac:dyDescent="0.2">
      <c r="A1861" s="151" t="s">
        <v>4695</v>
      </c>
      <c r="B1861">
        <f>IF(ISBLANK(PedBerIVenPM!$B$3),"",PedBerIVenPM!$B$3)</f>
        <v>1</v>
      </c>
      <c r="C1861" s="151">
        <v>1</v>
      </c>
      <c r="D1861" s="151" t="str">
        <f t="shared" si="29"/>
        <v>_Ped_Lijn_2##1</v>
      </c>
    </row>
    <row r="1862" spans="1:4" x14ac:dyDescent="0.2">
      <c r="A1862" s="151" t="s">
        <v>4696</v>
      </c>
      <c r="B1862">
        <f>IF(ISBLANK(PedBerIVenPM!$B$4),"",PedBerIVenPM!$B$4)</f>
        <v>1</v>
      </c>
      <c r="C1862" s="151">
        <v>1</v>
      </c>
      <c r="D1862" s="151" t="str">
        <f t="shared" si="29"/>
        <v>_Ped_Lijn_3##1</v>
      </c>
    </row>
    <row r="1863" spans="1:4" x14ac:dyDescent="0.2">
      <c r="A1863" s="151" t="s">
        <v>4697</v>
      </c>
      <c r="B1863">
        <f>IF(ISBLANK(PedBerIVenPM!$B$5),"",PedBerIVenPM!$B$5)</f>
        <v>1</v>
      </c>
      <c r="C1863" s="151">
        <v>1</v>
      </c>
      <c r="D1863" s="151" t="str">
        <f t="shared" si="29"/>
        <v>_Ped_Lijn_4##1</v>
      </c>
    </row>
    <row r="1864" spans="1:4" x14ac:dyDescent="0.2">
      <c r="A1864" s="151" t="s">
        <v>4698</v>
      </c>
      <c r="B1864">
        <f>IF(ISBLANK(PedBerIVenPM!$B$6),"",PedBerIVenPM!$B$6)</f>
        <v>1</v>
      </c>
      <c r="C1864" s="151">
        <v>1</v>
      </c>
      <c r="D1864" s="151" t="str">
        <f t="shared" si="29"/>
        <v>_Ped_Lijn_5##1</v>
      </c>
    </row>
    <row r="1865" spans="1:4" x14ac:dyDescent="0.2">
      <c r="A1865" s="151" t="s">
        <v>4699</v>
      </c>
      <c r="B1865">
        <f>IF(ISBLANK(PedBerIVenPM!$B$7),"",PedBerIVenPM!$B$7)</f>
        <v>1</v>
      </c>
      <c r="C1865" s="151">
        <v>1</v>
      </c>
      <c r="D1865" s="151" t="str">
        <f t="shared" si="29"/>
        <v>_Ped_Lijn_6##1</v>
      </c>
    </row>
    <row r="1866" spans="1:4" x14ac:dyDescent="0.2">
      <c r="A1866" s="151" t="s">
        <v>4700</v>
      </c>
      <c r="B1866" t="str">
        <f>IF(ISBLANK(PedBerIVenPM!$B$9),"",PedBerIVenPM!$B$9)</f>
        <v/>
      </c>
      <c r="C1866" s="44"/>
      <c r="D1866" s="151" t="str">
        <f t="shared" si="29"/>
        <v>_Ped_Lijn_Opm##</v>
      </c>
    </row>
    <row r="1867" spans="1:4" x14ac:dyDescent="0.2">
      <c r="A1867" s="151" t="s">
        <v>2632</v>
      </c>
      <c r="B1867">
        <f>IF(ISBLANK(PedBerMedIV!$C$5),"",PedBerMedIV!$C$5)</f>
        <v>1</v>
      </c>
      <c r="C1867" s="151">
        <v>1</v>
      </c>
      <c r="D1867" s="151" t="str">
        <f t="shared" si="29"/>
        <v>_Ped_MedIV_Keuze_01##1</v>
      </c>
    </row>
    <row r="1868" spans="1:4" x14ac:dyDescent="0.2">
      <c r="A1868" s="151" t="s">
        <v>2633</v>
      </c>
      <c r="B1868">
        <f>IF(ISBLANK(PedBerMedIV!$C$6),"",PedBerMedIV!$C$6)</f>
        <v>1</v>
      </c>
      <c r="C1868" s="151">
        <v>1</v>
      </c>
      <c r="D1868" s="151" t="str">
        <f t="shared" si="29"/>
        <v>_Ped_MedIV_Keuze_02##1</v>
      </c>
    </row>
    <row r="1869" spans="1:4" x14ac:dyDescent="0.2">
      <c r="A1869" s="151" t="s">
        <v>2634</v>
      </c>
      <c r="B1869">
        <f>IF(ISBLANK(PedBerMedIV!$C$7),"",PedBerMedIV!$C$7)</f>
        <v>1</v>
      </c>
      <c r="C1869" s="151">
        <v>1</v>
      </c>
      <c r="D1869" s="151" t="str">
        <f t="shared" si="29"/>
        <v>_Ped_MedIV_Keuze_03##1</v>
      </c>
    </row>
    <row r="1870" spans="1:4" x14ac:dyDescent="0.2">
      <c r="A1870" s="151" t="s">
        <v>2635</v>
      </c>
      <c r="B1870">
        <f>IF(ISBLANK(PedBerMedIV!$C$8),"",PedBerMedIV!$C$8)</f>
        <v>1</v>
      </c>
      <c r="C1870" s="151">
        <v>1</v>
      </c>
      <c r="D1870" s="151" t="str">
        <f t="shared" si="29"/>
        <v>_Ped_MedIV_Keuze_04##1</v>
      </c>
    </row>
    <row r="1871" spans="1:4" x14ac:dyDescent="0.2">
      <c r="A1871" s="151" t="s">
        <v>2636</v>
      </c>
      <c r="B1871">
        <f>IF(ISBLANK(PedBerMedIV!$C$9),"",PedBerMedIV!$C$9)</f>
        <v>1</v>
      </c>
      <c r="C1871" s="151">
        <v>1</v>
      </c>
      <c r="D1871" s="151" t="str">
        <f t="shared" si="29"/>
        <v>_Ped_MedIV_Keuze_05##1</v>
      </c>
    </row>
    <row r="1872" spans="1:4" x14ac:dyDescent="0.2">
      <c r="A1872" s="151" t="s">
        <v>2637</v>
      </c>
      <c r="B1872">
        <f>IF(ISBLANK(PedBerMedIV!$C$10),"",PedBerMedIV!$C$10)</f>
        <v>1</v>
      </c>
      <c r="C1872" s="151">
        <v>1</v>
      </c>
      <c r="D1872" s="151" t="str">
        <f t="shared" si="29"/>
        <v>_Ped_MedIV_Keuze_06##1</v>
      </c>
    </row>
    <row r="1873" spans="1:4" x14ac:dyDescent="0.2">
      <c r="A1873" s="151" t="s">
        <v>2638</v>
      </c>
      <c r="B1873" s="151">
        <f>IF(ISBLANK(PedBerMedIV!$C$11),"",PedBerMedIV!$C$11)</f>
        <v>1</v>
      </c>
      <c r="C1873" s="151">
        <v>1</v>
      </c>
      <c r="D1873" s="151" t="str">
        <f t="shared" si="29"/>
        <v>_Ped_MedIV_Keuze_07##1</v>
      </c>
    </row>
    <row r="1874" spans="1:4" x14ac:dyDescent="0.2">
      <c r="A1874" s="151" t="s">
        <v>2639</v>
      </c>
      <c r="B1874" s="151">
        <f>IF(ISBLANK(PedBerMedIV!$C$12),"",PedBerMedIV!$C$12)</f>
        <v>1</v>
      </c>
      <c r="C1874" s="151">
        <v>1</v>
      </c>
      <c r="D1874" s="151" t="str">
        <f t="shared" si="29"/>
        <v>_Ped_MedIV_Keuze_08##1</v>
      </c>
    </row>
    <row r="1875" spans="1:4" x14ac:dyDescent="0.2">
      <c r="A1875" s="151" t="s">
        <v>2640</v>
      </c>
      <c r="B1875" s="151">
        <f>IF(ISBLANK(PedBerMedIV!$C$13),"",PedBerMedIV!$C$13)</f>
        <v>1</v>
      </c>
      <c r="C1875" s="151">
        <v>1</v>
      </c>
      <c r="D1875" s="151" t="str">
        <f t="shared" si="29"/>
        <v>_Ped_MedIV_Keuze_09##1</v>
      </c>
    </row>
    <row r="1876" spans="1:4" x14ac:dyDescent="0.2">
      <c r="A1876" s="151" t="s">
        <v>2641</v>
      </c>
      <c r="B1876" s="151">
        <f>IF(ISBLANK(PedBerMedIV!$C$14),"",PedBerMedIV!$C$14)</f>
        <v>1</v>
      </c>
      <c r="C1876" s="151">
        <v>1</v>
      </c>
      <c r="D1876" s="151" t="str">
        <f t="shared" si="29"/>
        <v>_Ped_MedIV_Keuze_10##1</v>
      </c>
    </row>
    <row r="1877" spans="1:4" x14ac:dyDescent="0.2">
      <c r="A1877" s="151" t="s">
        <v>2642</v>
      </c>
      <c r="B1877" s="151">
        <f>IF(ISBLANK(PedBerMedIV!$C$15),"",PedBerMedIV!$C$15)</f>
        <v>1</v>
      </c>
      <c r="C1877" s="151">
        <v>1</v>
      </c>
      <c r="D1877" s="151" t="str">
        <f t="shared" si="29"/>
        <v>_Ped_MedIV_Keuze_11##1</v>
      </c>
    </row>
    <row r="1878" spans="1:4" x14ac:dyDescent="0.2">
      <c r="A1878" s="151" t="s">
        <v>2643</v>
      </c>
      <c r="B1878">
        <f>IF(ISBLANK(PedBerMedIV!$C$16),"",PedBerMedIV!$C$16)</f>
        <v>1</v>
      </c>
      <c r="C1878">
        <v>1</v>
      </c>
      <c r="D1878" s="151" t="str">
        <f t="shared" si="29"/>
        <v>_Ped_MedIV_Keuze_12##1</v>
      </c>
    </row>
    <row r="1879" spans="1:4" x14ac:dyDescent="0.2">
      <c r="A1879" s="151" t="s">
        <v>2644</v>
      </c>
      <c r="B1879">
        <f>IF(ISBLANK(PedBerMedIV!$C$17),"",PedBerMedIV!$C$17)</f>
        <v>1</v>
      </c>
      <c r="C1879">
        <v>1</v>
      </c>
      <c r="D1879" s="151" t="str">
        <f t="shared" si="29"/>
        <v>_Ped_MedIV_Keuze_13##1</v>
      </c>
    </row>
    <row r="1880" spans="1:4" x14ac:dyDescent="0.2">
      <c r="A1880" s="151" t="s">
        <v>2645</v>
      </c>
      <c r="B1880">
        <f>IF(ISBLANK(PedBerMedIV!$C$18),"",PedBerMedIV!$C$18)</f>
        <v>1</v>
      </c>
      <c r="C1880">
        <v>1</v>
      </c>
      <c r="D1880" s="151" t="str">
        <f t="shared" si="29"/>
        <v>_Ped_MedIV_Keuze_14##1</v>
      </c>
    </row>
    <row r="1881" spans="1:4" x14ac:dyDescent="0.2">
      <c r="A1881" s="151" t="s">
        <v>2646</v>
      </c>
      <c r="B1881">
        <f>IF(ISBLANK(PedBerMedIV!$C$19),"",PedBerMedIV!$C$19)</f>
        <v>1</v>
      </c>
      <c r="C1881">
        <v>1</v>
      </c>
      <c r="D1881" s="151" t="str">
        <f t="shared" si="29"/>
        <v>_Ped_MedIV_Keuze_15##1</v>
      </c>
    </row>
    <row r="1882" spans="1:4" x14ac:dyDescent="0.2">
      <c r="A1882" s="152" t="s">
        <v>3250</v>
      </c>
      <c r="B1882" t="str">
        <f>IF(ISBLANK(PedBerMedIV!$C$21),"",PedBerMedIV!$C$21)</f>
        <v/>
      </c>
      <c r="C1882" s="44"/>
      <c r="D1882" s="151" t="str">
        <f t="shared" si="29"/>
        <v>_Ped_MedIV_Keuze_16##</v>
      </c>
    </row>
    <row r="1883" spans="1:4" x14ac:dyDescent="0.2">
      <c r="A1883" s="152" t="s">
        <v>3251</v>
      </c>
      <c r="B1883" t="str">
        <f>IF(ISBLANK(PedBerMedIV!$C$22),"",PedBerMedIV!$C$22)</f>
        <v/>
      </c>
      <c r="C1883" s="44"/>
      <c r="D1883" s="151" t="str">
        <f t="shared" si="29"/>
        <v>_Ped_MedIV_Keuze_17##</v>
      </c>
    </row>
    <row r="1884" spans="1:4" x14ac:dyDescent="0.2">
      <c r="A1884" s="152" t="s">
        <v>3252</v>
      </c>
      <c r="B1884" t="str">
        <f>IF(ISBLANK(PedBerMedIV!$C$23),"",PedBerMedIV!$C$23)</f>
        <v/>
      </c>
      <c r="C1884" s="44"/>
      <c r="D1884" s="151" t="str">
        <f t="shared" si="29"/>
        <v>_Ped_MedIV_Keuze_18##</v>
      </c>
    </row>
    <row r="1885" spans="1:4" x14ac:dyDescent="0.2">
      <c r="A1885" s="152" t="s">
        <v>3253</v>
      </c>
      <c r="B1885" t="str">
        <f>IF(ISBLANK(PedBerMedIV!$C$24),"",PedBerMedIV!$C$24)</f>
        <v/>
      </c>
      <c r="C1885" s="44"/>
      <c r="D1885" s="151" t="str">
        <f t="shared" si="29"/>
        <v>_Ped_MedIV_Keuze_19##</v>
      </c>
    </row>
    <row r="1886" spans="1:4" x14ac:dyDescent="0.2">
      <c r="A1886" s="152" t="s">
        <v>3254</v>
      </c>
      <c r="B1886" t="str">
        <f>IF(ISBLANK(PedBerMedIV!$C$25),"",PedBerMedIV!$C$25)</f>
        <v/>
      </c>
      <c r="C1886" s="44"/>
      <c r="D1886" s="151" t="str">
        <f t="shared" si="29"/>
        <v>_Ped_MedIV_Keuze_20##</v>
      </c>
    </row>
    <row r="1887" spans="1:4" x14ac:dyDescent="0.2">
      <c r="A1887" s="151" t="s">
        <v>2647</v>
      </c>
      <c r="B1887">
        <f>IF(ISBLANK(PedBerMedIV!$F$5),"",PedBerMedIV!$F$5)</f>
        <v>1</v>
      </c>
      <c r="C1887" s="151">
        <v>1</v>
      </c>
      <c r="D1887" s="151" t="str">
        <f t="shared" si="29"/>
        <v>_Ped_MedIV_OplVlst_01##1</v>
      </c>
    </row>
    <row r="1888" spans="1:4" x14ac:dyDescent="0.2">
      <c r="A1888" s="151" t="s">
        <v>2648</v>
      </c>
      <c r="B1888" s="151">
        <f>IF(ISBLANK(PedBerMedIV!$F$6),"",PedBerMedIV!$F$6)</f>
        <v>1</v>
      </c>
      <c r="C1888" s="151">
        <v>1</v>
      </c>
      <c r="D1888" s="151" t="str">
        <f t="shared" si="29"/>
        <v>_Ped_MedIV_OplVlst_02##1</v>
      </c>
    </row>
    <row r="1889" spans="1:4" x14ac:dyDescent="0.2">
      <c r="A1889" s="151" t="s">
        <v>2649</v>
      </c>
      <c r="B1889">
        <f>IF(ISBLANK(PedBerMedIV!$F$7),"",PedBerMedIV!$F$7)</f>
        <v>1</v>
      </c>
      <c r="C1889">
        <v>1</v>
      </c>
      <c r="D1889" s="151" t="str">
        <f t="shared" si="29"/>
        <v>_Ped_MedIV_OplVlst_03##1</v>
      </c>
    </row>
    <row r="1890" spans="1:4" x14ac:dyDescent="0.2">
      <c r="A1890" s="151" t="s">
        <v>2650</v>
      </c>
      <c r="B1890">
        <f>IF(ISBLANK(PedBerMedIV!$F$8),"",PedBerMedIV!$F$8)</f>
        <v>1</v>
      </c>
      <c r="C1890">
        <v>1</v>
      </c>
      <c r="D1890" s="151" t="str">
        <f t="shared" si="29"/>
        <v>_Ped_MedIV_OplVlst_04##1</v>
      </c>
    </row>
    <row r="1891" spans="1:4" x14ac:dyDescent="0.2">
      <c r="A1891" s="151" t="s">
        <v>2651</v>
      </c>
      <c r="B1891">
        <f>IF(ISBLANK(PedBerMedIV!$F$9),"",PedBerMedIV!$F$9)</f>
        <v>1</v>
      </c>
      <c r="C1891" s="151">
        <v>1</v>
      </c>
      <c r="D1891" s="151" t="str">
        <f t="shared" si="29"/>
        <v>_Ped_MedIV_OplVlst_05##1</v>
      </c>
    </row>
    <row r="1892" spans="1:4" x14ac:dyDescent="0.2">
      <c r="A1892" s="151" t="s">
        <v>2652</v>
      </c>
      <c r="B1892">
        <f>IF(ISBLANK(PedBerMedIV!$F$10),"",PedBerMedIV!$F$10)</f>
        <v>1</v>
      </c>
      <c r="C1892" s="151">
        <v>1</v>
      </c>
      <c r="D1892" s="151" t="str">
        <f t="shared" si="29"/>
        <v>_Ped_MedIV_OplVlst_06##1</v>
      </c>
    </row>
    <row r="1893" spans="1:4" x14ac:dyDescent="0.2">
      <c r="A1893" s="151" t="s">
        <v>2653</v>
      </c>
      <c r="B1893">
        <f>IF(ISBLANK(PedBerMedIV!$F$11),"",PedBerMedIV!$F$11)</f>
        <v>1</v>
      </c>
      <c r="C1893">
        <v>1</v>
      </c>
      <c r="D1893" s="151" t="str">
        <f t="shared" si="29"/>
        <v>_Ped_MedIV_OplVlst_07##1</v>
      </c>
    </row>
    <row r="1894" spans="1:4" x14ac:dyDescent="0.2">
      <c r="A1894" s="151" t="s">
        <v>2654</v>
      </c>
      <c r="B1894">
        <f>IF(ISBLANK(PedBerMedIV!$F$12),"",PedBerMedIV!$F$12)</f>
        <v>1</v>
      </c>
      <c r="C1894">
        <v>1</v>
      </c>
      <c r="D1894" s="151" t="str">
        <f t="shared" si="29"/>
        <v>_Ped_MedIV_OplVlst_08##1</v>
      </c>
    </row>
    <row r="1895" spans="1:4" x14ac:dyDescent="0.2">
      <c r="A1895" s="151" t="s">
        <v>2655</v>
      </c>
      <c r="B1895">
        <f>IF(ISBLANK(PedBerMedIV!$F$13),"",PedBerMedIV!$F$13)</f>
        <v>1</v>
      </c>
      <c r="C1895" s="151">
        <v>1</v>
      </c>
      <c r="D1895" s="151" t="str">
        <f t="shared" si="29"/>
        <v>_Ped_MedIV_OplVlst_09##1</v>
      </c>
    </row>
    <row r="1896" spans="1:4" x14ac:dyDescent="0.2">
      <c r="A1896" s="151" t="s">
        <v>2656</v>
      </c>
      <c r="B1896">
        <f>IF(ISBLANK(PedBerMedIV!$F$14),"",PedBerMedIV!$F$14)</f>
        <v>1</v>
      </c>
      <c r="C1896" s="151">
        <v>1</v>
      </c>
      <c r="D1896" s="151" t="str">
        <f t="shared" si="29"/>
        <v>_Ped_MedIV_OplVlst_10##1</v>
      </c>
    </row>
    <row r="1897" spans="1:4" x14ac:dyDescent="0.2">
      <c r="A1897" s="151" t="s">
        <v>2657</v>
      </c>
      <c r="B1897">
        <f>IF(ISBLANK(PedBerMedIV!$F$15),"",PedBerMedIV!$F$15)</f>
        <v>1</v>
      </c>
      <c r="C1897">
        <v>1</v>
      </c>
      <c r="D1897" s="151" t="str">
        <f t="shared" si="29"/>
        <v>_Ped_MedIV_OplVlst_11##1</v>
      </c>
    </row>
    <row r="1898" spans="1:4" x14ac:dyDescent="0.2">
      <c r="A1898" s="151" t="s">
        <v>2658</v>
      </c>
      <c r="B1898">
        <f>IF(ISBLANK(PedBerMedIV!$F$16),"",PedBerMedIV!$F$16)</f>
        <v>1</v>
      </c>
      <c r="C1898" s="151">
        <v>1</v>
      </c>
      <c r="D1898" s="151" t="str">
        <f t="shared" si="29"/>
        <v>_Ped_MedIV_OplVlst_12##1</v>
      </c>
    </row>
    <row r="1899" spans="1:4" x14ac:dyDescent="0.2">
      <c r="A1899" s="151" t="s">
        <v>2659</v>
      </c>
      <c r="B1899">
        <f>IF(ISBLANK(PedBerMedIV!$F$17),"",PedBerMedIV!$F$17)</f>
        <v>1</v>
      </c>
      <c r="C1899">
        <v>1</v>
      </c>
      <c r="D1899" s="151" t="str">
        <f t="shared" si="29"/>
        <v>_Ped_MedIV_OplVlst_13##1</v>
      </c>
    </row>
    <row r="1900" spans="1:4" x14ac:dyDescent="0.2">
      <c r="A1900" s="151" t="s">
        <v>2660</v>
      </c>
      <c r="B1900">
        <f>IF(ISBLANK(PedBerMedIV!$F$18),"",PedBerMedIV!$F$18)</f>
        <v>1</v>
      </c>
      <c r="C1900" s="151">
        <v>1</v>
      </c>
      <c r="D1900" s="151" t="str">
        <f t="shared" si="29"/>
        <v>_Ped_MedIV_OplVlst_14##1</v>
      </c>
    </row>
    <row r="1901" spans="1:4" x14ac:dyDescent="0.2">
      <c r="A1901" s="151" t="s">
        <v>2661</v>
      </c>
      <c r="B1901">
        <f>IF(ISBLANK(PedBerMedIV!$F$19),"",PedBerMedIV!$F$19)</f>
        <v>1</v>
      </c>
      <c r="C1901" s="151">
        <v>1</v>
      </c>
      <c r="D1901" s="151" t="str">
        <f t="shared" si="29"/>
        <v>_Ped_MedIV_OplVlst_15##1</v>
      </c>
    </row>
    <row r="1902" spans="1:4" x14ac:dyDescent="0.2">
      <c r="A1902" s="152" t="s">
        <v>3255</v>
      </c>
      <c r="B1902">
        <f>IF(ISBLANK(PedBerMedIV!$F$21),"",PedBerMedIV!$F$21)</f>
        <v>1</v>
      </c>
      <c r="C1902" s="151">
        <v>1</v>
      </c>
      <c r="D1902" s="151" t="str">
        <f t="shared" si="29"/>
        <v>_Ped_MedIV_OplVlst_16##1</v>
      </c>
    </row>
    <row r="1903" spans="1:4" x14ac:dyDescent="0.2">
      <c r="A1903" s="152" t="s">
        <v>3256</v>
      </c>
      <c r="B1903">
        <f>IF(ISBLANK(PedBerMedIV!$F$22),"",PedBerMedIV!$F$22)</f>
        <v>1</v>
      </c>
      <c r="C1903" s="151">
        <v>1</v>
      </c>
      <c r="D1903" s="151" t="str">
        <f t="shared" si="29"/>
        <v>_Ped_MedIV_OplVlst_17##1</v>
      </c>
    </row>
    <row r="1904" spans="1:4" x14ac:dyDescent="0.2">
      <c r="A1904" s="152" t="s">
        <v>3257</v>
      </c>
      <c r="B1904">
        <f>IF(ISBLANK(PedBerMedIV!$F$23),"",PedBerMedIV!$F$23)</f>
        <v>1</v>
      </c>
      <c r="C1904" s="151">
        <v>1</v>
      </c>
      <c r="D1904" s="151" t="str">
        <f t="shared" si="29"/>
        <v>_Ped_MedIV_OplVlst_18##1</v>
      </c>
    </row>
    <row r="1905" spans="1:4" x14ac:dyDescent="0.2">
      <c r="A1905" s="152" t="s">
        <v>3258</v>
      </c>
      <c r="B1905">
        <f>IF(ISBLANK(PedBerMedIV!$F$24),"",PedBerMedIV!$F$24)</f>
        <v>1</v>
      </c>
      <c r="C1905" s="151">
        <v>1</v>
      </c>
      <c r="D1905" s="151" t="str">
        <f t="shared" si="29"/>
        <v>_Ped_MedIV_OplVlst_19##1</v>
      </c>
    </row>
    <row r="1906" spans="1:4" x14ac:dyDescent="0.2">
      <c r="A1906" s="152" t="s">
        <v>3259</v>
      </c>
      <c r="B1906">
        <f>IF(ISBLANK(PedBerMedIV!$F$25),"",PedBerMedIV!$F$25)</f>
        <v>1</v>
      </c>
      <c r="C1906">
        <v>1</v>
      </c>
      <c r="D1906" s="151" t="str">
        <f t="shared" si="29"/>
        <v>_Ped_MedIV_OplVlst_20##1</v>
      </c>
    </row>
    <row r="1907" spans="1:4" x14ac:dyDescent="0.2">
      <c r="A1907" s="151" t="s">
        <v>2662</v>
      </c>
      <c r="B1907">
        <f>IF(ISBLANK(PedBerMedIV!$E$5),"",PedBerMedIV!$E$5)</f>
        <v>0</v>
      </c>
      <c r="C1907" s="153">
        <v>0</v>
      </c>
      <c r="D1907" s="151" t="str">
        <f t="shared" si="29"/>
        <v>_Ped_MedIV_OplVol_01##0</v>
      </c>
    </row>
    <row r="1908" spans="1:4" x14ac:dyDescent="0.2">
      <c r="A1908" s="151" t="s">
        <v>2663</v>
      </c>
      <c r="B1908">
        <f>IF(ISBLANK(PedBerMedIV!$E$6),"",PedBerMedIV!$E$6)</f>
        <v>0</v>
      </c>
      <c r="C1908" s="153">
        <v>0</v>
      </c>
      <c r="D1908" s="151" t="str">
        <f t="shared" si="29"/>
        <v>_Ped_MedIV_OplVol_02##0</v>
      </c>
    </row>
    <row r="1909" spans="1:4" x14ac:dyDescent="0.2">
      <c r="A1909" s="151" t="s">
        <v>2664</v>
      </c>
      <c r="B1909">
        <f>IF(ISBLANK(PedBerMedIV!$E$7),"",PedBerMedIV!$E$7)</f>
        <v>0</v>
      </c>
      <c r="C1909" s="153">
        <v>0</v>
      </c>
      <c r="D1909" s="151" t="str">
        <f t="shared" si="29"/>
        <v>_Ped_MedIV_OplVol_03##0</v>
      </c>
    </row>
    <row r="1910" spans="1:4" x14ac:dyDescent="0.2">
      <c r="A1910" s="151" t="s">
        <v>2665</v>
      </c>
      <c r="B1910">
        <f>IF(ISBLANK(PedBerMedIV!$E$8),"",PedBerMedIV!$E$8)</f>
        <v>0</v>
      </c>
      <c r="C1910" s="153">
        <v>0</v>
      </c>
      <c r="D1910" s="151" t="str">
        <f t="shared" si="29"/>
        <v>_Ped_MedIV_OplVol_04##0</v>
      </c>
    </row>
    <row r="1911" spans="1:4" x14ac:dyDescent="0.2">
      <c r="A1911" s="151" t="s">
        <v>2666</v>
      </c>
      <c r="B1911">
        <f>IF(ISBLANK(PedBerMedIV!$E$9),"",PedBerMedIV!$E$9)</f>
        <v>0</v>
      </c>
      <c r="C1911" s="153">
        <v>0</v>
      </c>
      <c r="D1911" s="151" t="str">
        <f t="shared" si="29"/>
        <v>_Ped_MedIV_OplVol_05##0</v>
      </c>
    </row>
    <row r="1912" spans="1:4" x14ac:dyDescent="0.2">
      <c r="A1912" s="151" t="s">
        <v>2667</v>
      </c>
      <c r="B1912">
        <f>IF(ISBLANK(PedBerMedIV!$E$10),"",PedBerMedIV!$E$10)</f>
        <v>0</v>
      </c>
      <c r="C1912" s="153">
        <v>0</v>
      </c>
      <c r="D1912" s="151" t="str">
        <f t="shared" si="29"/>
        <v>_Ped_MedIV_OplVol_06##0</v>
      </c>
    </row>
    <row r="1913" spans="1:4" x14ac:dyDescent="0.2">
      <c r="A1913" s="151" t="s">
        <v>2668</v>
      </c>
      <c r="B1913">
        <f>IF(ISBLANK(PedBerMedIV!$E$11),"",PedBerMedIV!$E$11)</f>
        <v>0</v>
      </c>
      <c r="C1913" s="153">
        <v>0</v>
      </c>
      <c r="D1913" s="151" t="str">
        <f t="shared" si="29"/>
        <v>_Ped_MedIV_OplVol_07##0</v>
      </c>
    </row>
    <row r="1914" spans="1:4" x14ac:dyDescent="0.2">
      <c r="A1914" s="151" t="s">
        <v>2669</v>
      </c>
      <c r="B1914">
        <f>IF(ISBLANK(PedBerMedIV!$E$12),"",PedBerMedIV!$E$12)</f>
        <v>0</v>
      </c>
      <c r="C1914" s="153">
        <v>0</v>
      </c>
      <c r="D1914" s="151" t="str">
        <f t="shared" si="29"/>
        <v>_Ped_MedIV_OplVol_08##0</v>
      </c>
    </row>
    <row r="1915" spans="1:4" x14ac:dyDescent="0.2">
      <c r="A1915" s="151" t="s">
        <v>2670</v>
      </c>
      <c r="B1915">
        <f>IF(ISBLANK(PedBerMedIV!$E$13),"",PedBerMedIV!$E$13)</f>
        <v>0</v>
      </c>
      <c r="C1915" s="153">
        <v>0</v>
      </c>
      <c r="D1915" s="151" t="str">
        <f t="shared" si="29"/>
        <v>_Ped_MedIV_OplVol_09##0</v>
      </c>
    </row>
    <row r="1916" spans="1:4" x14ac:dyDescent="0.2">
      <c r="A1916" s="151" t="s">
        <v>2671</v>
      </c>
      <c r="B1916">
        <f>IF(ISBLANK(PedBerMedIV!$E$14),"",PedBerMedIV!$E$14)</f>
        <v>0</v>
      </c>
      <c r="C1916" s="153">
        <v>0</v>
      </c>
      <c r="D1916" s="151" t="str">
        <f t="shared" si="29"/>
        <v>_Ped_MedIV_OplVol_10##0</v>
      </c>
    </row>
    <row r="1917" spans="1:4" x14ac:dyDescent="0.2">
      <c r="A1917" s="151" t="s">
        <v>2672</v>
      </c>
      <c r="B1917">
        <f>IF(ISBLANK(PedBerMedIV!$E$15),"",PedBerMedIV!$E$15)</f>
        <v>0</v>
      </c>
      <c r="C1917" s="153">
        <v>0</v>
      </c>
      <c r="D1917" s="151" t="str">
        <f t="shared" si="29"/>
        <v>_Ped_MedIV_OplVol_11##0</v>
      </c>
    </row>
    <row r="1918" spans="1:4" x14ac:dyDescent="0.2">
      <c r="A1918" s="151" t="s">
        <v>2673</v>
      </c>
      <c r="B1918">
        <f>IF(ISBLANK(PedBerMedIV!$E$16),"",PedBerMedIV!$E$16)</f>
        <v>0</v>
      </c>
      <c r="C1918" s="153">
        <v>0</v>
      </c>
      <c r="D1918" s="151" t="str">
        <f t="shared" si="29"/>
        <v>_Ped_MedIV_OplVol_12##0</v>
      </c>
    </row>
    <row r="1919" spans="1:4" x14ac:dyDescent="0.2">
      <c r="A1919" s="151" t="s">
        <v>2674</v>
      </c>
      <c r="B1919">
        <f>IF(ISBLANK(PedBerMedIV!$E$17),"",PedBerMedIV!$E$17)</f>
        <v>0</v>
      </c>
      <c r="C1919" s="153">
        <v>0</v>
      </c>
      <c r="D1919" s="151" t="str">
        <f t="shared" si="29"/>
        <v>_Ped_MedIV_OplVol_13##0</v>
      </c>
    </row>
    <row r="1920" spans="1:4" x14ac:dyDescent="0.2">
      <c r="A1920" s="151" t="s">
        <v>2675</v>
      </c>
      <c r="B1920">
        <f>IF(ISBLANK(PedBerMedIV!$E$18),"",PedBerMedIV!$E$18)</f>
        <v>0</v>
      </c>
      <c r="C1920" s="153">
        <v>0</v>
      </c>
      <c r="D1920" s="151" t="str">
        <f t="shared" si="29"/>
        <v>_Ped_MedIV_OplVol_14##0</v>
      </c>
    </row>
    <row r="1921" spans="1:4" x14ac:dyDescent="0.2">
      <c r="A1921" s="151" t="s">
        <v>2676</v>
      </c>
      <c r="B1921">
        <f>IF(ISBLANK(PedBerMedIV!$E$19),"",PedBerMedIV!$E$19)</f>
        <v>0</v>
      </c>
      <c r="C1921" s="153">
        <v>0</v>
      </c>
      <c r="D1921" s="151" t="str">
        <f t="shared" si="29"/>
        <v>_Ped_MedIV_OplVol_15##0</v>
      </c>
    </row>
    <row r="1922" spans="1:4" x14ac:dyDescent="0.2">
      <c r="A1922" s="152" t="s">
        <v>3261</v>
      </c>
      <c r="B1922">
        <f>IF(ISBLANK(PedBerMedIV!$E$21),"",PedBerMedIV!$E$21)</f>
        <v>0</v>
      </c>
      <c r="C1922" s="153">
        <v>0</v>
      </c>
      <c r="D1922" s="151" t="str">
        <f t="shared" si="29"/>
        <v>_Ped_MedIV_OplVol_16##0</v>
      </c>
    </row>
    <row r="1923" spans="1:4" x14ac:dyDescent="0.2">
      <c r="A1923" s="152" t="s">
        <v>3263</v>
      </c>
      <c r="B1923">
        <f>IF(ISBLANK(PedBerMedIV!$E$22),"",PedBerMedIV!$E$22)</f>
        <v>0</v>
      </c>
      <c r="C1923" s="153">
        <v>0</v>
      </c>
      <c r="D1923" s="151" t="str">
        <f t="shared" ref="D1923:D1986" si="30">A1923&amp;"##"&amp;B1923</f>
        <v>_Ped_MedIV_OplVol_17##0</v>
      </c>
    </row>
    <row r="1924" spans="1:4" x14ac:dyDescent="0.2">
      <c r="A1924" s="152" t="s">
        <v>3264</v>
      </c>
      <c r="B1924">
        <f>IF(ISBLANK(PedBerMedIV!$E$23),"",PedBerMedIV!$E$23)</f>
        <v>0</v>
      </c>
      <c r="C1924" s="153">
        <v>0</v>
      </c>
      <c r="D1924" s="151" t="str">
        <f t="shared" si="30"/>
        <v>_Ped_MedIV_OplVol_18##0</v>
      </c>
    </row>
    <row r="1925" spans="1:4" x14ac:dyDescent="0.2">
      <c r="A1925" s="152" t="s">
        <v>3266</v>
      </c>
      <c r="B1925">
        <f>IF(ISBLANK(PedBerMedIV!$E$24),"",PedBerMedIV!$E$24)</f>
        <v>0</v>
      </c>
      <c r="C1925" s="153">
        <v>0</v>
      </c>
      <c r="D1925" s="151" t="str">
        <f t="shared" si="30"/>
        <v>_Ped_MedIV_OplVol_19##0</v>
      </c>
    </row>
    <row r="1926" spans="1:4" x14ac:dyDescent="0.2">
      <c r="A1926" s="152" t="s">
        <v>3268</v>
      </c>
      <c r="B1926">
        <f>IF(ISBLANK(PedBerMedIV!$E$25),"",PedBerMedIV!$E$25)</f>
        <v>0</v>
      </c>
      <c r="C1926" s="153">
        <v>0</v>
      </c>
      <c r="D1926" s="151" t="str">
        <f t="shared" si="30"/>
        <v>_Ped_MedIV_OplVol_20##0</v>
      </c>
    </row>
    <row r="1927" spans="1:4" x14ac:dyDescent="0.2">
      <c r="A1927" s="151" t="s">
        <v>2677</v>
      </c>
      <c r="B1927" t="str">
        <f>IF(ISBLANK(PedBerMedIV!$C$29),"",PedBerMedIV!$C$29)</f>
        <v/>
      </c>
      <c r="C1927" s="44"/>
      <c r="D1927" s="151" t="str">
        <f t="shared" si="30"/>
        <v>_Ped_MedIV_Opm##</v>
      </c>
    </row>
    <row r="1928" spans="1:4" x14ac:dyDescent="0.2">
      <c r="A1928" s="151" t="s">
        <v>2678</v>
      </c>
      <c r="B1928">
        <f>IF(ISBLANK(PedBerMedIV!$G$5),"",PedBerMedIV!$G$5)</f>
        <v>0</v>
      </c>
      <c r="C1928" s="153">
        <v>0</v>
      </c>
      <c r="D1928" s="151" t="str">
        <f t="shared" si="30"/>
        <v>_Ped_MedIV_Stand_01##0</v>
      </c>
    </row>
    <row r="1929" spans="1:4" x14ac:dyDescent="0.2">
      <c r="A1929" s="151" t="s">
        <v>2679</v>
      </c>
      <c r="B1929">
        <f>IF(ISBLANK(PedBerMedIV!$G$6),"",PedBerMedIV!$G$6)</f>
        <v>0</v>
      </c>
      <c r="C1929" s="153">
        <v>0</v>
      </c>
      <c r="D1929" s="151" t="str">
        <f t="shared" si="30"/>
        <v>_Ped_MedIV_Stand_02##0</v>
      </c>
    </row>
    <row r="1930" spans="1:4" x14ac:dyDescent="0.2">
      <c r="A1930" s="151" t="s">
        <v>2680</v>
      </c>
      <c r="B1930">
        <f>IF(ISBLANK(PedBerMedIV!$G$7),"",PedBerMedIV!$G$7)</f>
        <v>0</v>
      </c>
      <c r="C1930" s="153">
        <v>0</v>
      </c>
      <c r="D1930" s="151" t="str">
        <f t="shared" si="30"/>
        <v>_Ped_MedIV_Stand_03##0</v>
      </c>
    </row>
    <row r="1931" spans="1:4" x14ac:dyDescent="0.2">
      <c r="A1931" s="151" t="s">
        <v>2681</v>
      </c>
      <c r="B1931">
        <f>IF(ISBLANK(PedBerMedIV!$G$8),"",PedBerMedIV!$G$8)</f>
        <v>0</v>
      </c>
      <c r="C1931" s="153">
        <v>0</v>
      </c>
      <c r="D1931" s="151" t="str">
        <f t="shared" si="30"/>
        <v>_Ped_MedIV_Stand_04##0</v>
      </c>
    </row>
    <row r="1932" spans="1:4" x14ac:dyDescent="0.2">
      <c r="A1932" s="151" t="s">
        <v>2682</v>
      </c>
      <c r="B1932">
        <f>IF(ISBLANK(PedBerMedIV!$G$9),"",PedBerMedIV!$G$9)</f>
        <v>0</v>
      </c>
      <c r="C1932" s="153">
        <v>0</v>
      </c>
      <c r="D1932" s="151" t="str">
        <f t="shared" si="30"/>
        <v>_Ped_MedIV_Stand_05##0</v>
      </c>
    </row>
    <row r="1933" spans="1:4" x14ac:dyDescent="0.2">
      <c r="A1933" s="151" t="s">
        <v>2683</v>
      </c>
      <c r="B1933">
        <f>IF(ISBLANK(PedBerMedIV!$G$10),"",PedBerMedIV!$G$10)</f>
        <v>0</v>
      </c>
      <c r="C1933" s="153">
        <v>0</v>
      </c>
      <c r="D1933" s="151" t="str">
        <f t="shared" si="30"/>
        <v>_Ped_MedIV_Stand_06##0</v>
      </c>
    </row>
    <row r="1934" spans="1:4" x14ac:dyDescent="0.2">
      <c r="A1934" s="151" t="s">
        <v>2684</v>
      </c>
      <c r="B1934">
        <f>IF(ISBLANK(PedBerMedIV!$G$11),"",PedBerMedIV!$G$11)</f>
        <v>0</v>
      </c>
      <c r="C1934" s="153">
        <v>0</v>
      </c>
      <c r="D1934" s="151" t="str">
        <f t="shared" si="30"/>
        <v>_Ped_MedIV_Stand_07##0</v>
      </c>
    </row>
    <row r="1935" spans="1:4" x14ac:dyDescent="0.2">
      <c r="A1935" s="151" t="s">
        <v>2685</v>
      </c>
      <c r="B1935">
        <f>IF(ISBLANK(PedBerMedIV!$G$12),"",PedBerMedIV!$G$12)</f>
        <v>0</v>
      </c>
      <c r="C1935" s="153">
        <v>0</v>
      </c>
      <c r="D1935" s="151" t="str">
        <f t="shared" si="30"/>
        <v>_Ped_MedIV_Stand_08##0</v>
      </c>
    </row>
    <row r="1936" spans="1:4" x14ac:dyDescent="0.2">
      <c r="A1936" s="151" t="s">
        <v>2686</v>
      </c>
      <c r="B1936">
        <f>IF(ISBLANK(PedBerMedIV!$G$13),"",PedBerMedIV!$G$13)</f>
        <v>0</v>
      </c>
      <c r="C1936" s="153">
        <v>0</v>
      </c>
      <c r="D1936" s="151" t="str">
        <f t="shared" si="30"/>
        <v>_Ped_MedIV_Stand_09##0</v>
      </c>
    </row>
    <row r="1937" spans="1:4" x14ac:dyDescent="0.2">
      <c r="A1937" s="151" t="s">
        <v>2687</v>
      </c>
      <c r="B1937">
        <f>IF(ISBLANK(PedBerMedIV!$G$14),"",PedBerMedIV!$G$14)</f>
        <v>0</v>
      </c>
      <c r="C1937" s="153">
        <v>0</v>
      </c>
      <c r="D1937" s="151" t="str">
        <f t="shared" si="30"/>
        <v>_Ped_MedIV_Stand_10##0</v>
      </c>
    </row>
    <row r="1938" spans="1:4" x14ac:dyDescent="0.2">
      <c r="A1938" s="151" t="s">
        <v>2688</v>
      </c>
      <c r="B1938">
        <f>IF(ISBLANK(PedBerMedIV!$G$15),"",PedBerMedIV!$G$15)</f>
        <v>0</v>
      </c>
      <c r="C1938" s="153">
        <v>0</v>
      </c>
      <c r="D1938" s="151" t="str">
        <f t="shared" si="30"/>
        <v>_Ped_MedIV_Stand_11##0</v>
      </c>
    </row>
    <row r="1939" spans="1:4" x14ac:dyDescent="0.2">
      <c r="A1939" s="151" t="s">
        <v>2689</v>
      </c>
      <c r="B1939">
        <f>IF(ISBLANK(PedBerMedIV!$G$16),"",PedBerMedIV!$G$16)</f>
        <v>0</v>
      </c>
      <c r="C1939" s="153">
        <v>0</v>
      </c>
      <c r="D1939" s="151" t="str">
        <f t="shared" si="30"/>
        <v>_Ped_MedIV_Stand_12##0</v>
      </c>
    </row>
    <row r="1940" spans="1:4" x14ac:dyDescent="0.2">
      <c r="A1940" s="151" t="s">
        <v>2690</v>
      </c>
      <c r="B1940">
        <f>IF(ISBLANK(PedBerMedIV!$G$17),"",PedBerMedIV!$G$17)</f>
        <v>0</v>
      </c>
      <c r="C1940" s="153">
        <v>0</v>
      </c>
      <c r="D1940" s="151" t="str">
        <f t="shared" si="30"/>
        <v>_Ped_MedIV_Stand_13##0</v>
      </c>
    </row>
    <row r="1941" spans="1:4" x14ac:dyDescent="0.2">
      <c r="A1941" s="151" t="s">
        <v>2691</v>
      </c>
      <c r="B1941">
        <f>IF(ISBLANK(PedBerMedIV!$G$18),"",PedBerMedIV!$G$18)</f>
        <v>0</v>
      </c>
      <c r="C1941" s="153">
        <v>0</v>
      </c>
      <c r="D1941" s="151" t="str">
        <f t="shared" si="30"/>
        <v>_Ped_MedIV_Stand_14##0</v>
      </c>
    </row>
    <row r="1942" spans="1:4" x14ac:dyDescent="0.2">
      <c r="A1942" s="151" t="s">
        <v>2692</v>
      </c>
      <c r="B1942">
        <f>IF(ISBLANK(PedBerMedIV!$G$19),"",PedBerMedIV!$G$19)</f>
        <v>0</v>
      </c>
      <c r="C1942" s="153">
        <v>0</v>
      </c>
      <c r="D1942" s="151" t="str">
        <f t="shared" si="30"/>
        <v>_Ped_MedIV_Stand_15##0</v>
      </c>
    </row>
    <row r="1943" spans="1:4" x14ac:dyDescent="0.2">
      <c r="A1943" s="152" t="s">
        <v>3269</v>
      </c>
      <c r="B1943">
        <f>IF(ISBLANK(PedBerMedIV!$G$21),"",PedBerMedIV!$G$21)</f>
        <v>0</v>
      </c>
      <c r="C1943" s="153">
        <v>0</v>
      </c>
      <c r="D1943" s="151" t="str">
        <f t="shared" si="30"/>
        <v>_Ped_MedIV_Stand_16##0</v>
      </c>
    </row>
    <row r="1944" spans="1:4" x14ac:dyDescent="0.2">
      <c r="A1944" s="152" t="s">
        <v>3270</v>
      </c>
      <c r="B1944">
        <f>IF(ISBLANK(PedBerMedIV!$G$22),"",PedBerMedIV!$G$22)</f>
        <v>0</v>
      </c>
      <c r="C1944" s="153">
        <v>0</v>
      </c>
      <c r="D1944" s="151" t="str">
        <f t="shared" si="30"/>
        <v>_Ped_MedIV_Stand_17##0</v>
      </c>
    </row>
    <row r="1945" spans="1:4" x14ac:dyDescent="0.2">
      <c r="A1945" s="152" t="s">
        <v>3271</v>
      </c>
      <c r="B1945">
        <f>IF(ISBLANK(PedBerMedIV!$G$23),"",PedBerMedIV!$G$23)</f>
        <v>0</v>
      </c>
      <c r="C1945" s="153">
        <v>0</v>
      </c>
      <c r="D1945" s="151" t="str">
        <f t="shared" si="30"/>
        <v>_Ped_MedIV_Stand_18##0</v>
      </c>
    </row>
    <row r="1946" spans="1:4" x14ac:dyDescent="0.2">
      <c r="A1946" s="152" t="s">
        <v>3272</v>
      </c>
      <c r="B1946">
        <f>IF(ISBLANK(PedBerMedIV!$G$24),"",PedBerMedIV!$G$24)</f>
        <v>0</v>
      </c>
      <c r="C1946" s="153">
        <v>0</v>
      </c>
      <c r="D1946" s="151" t="str">
        <f t="shared" si="30"/>
        <v>_Ped_MedIV_Stand_19##0</v>
      </c>
    </row>
    <row r="1947" spans="1:4" x14ac:dyDescent="0.2">
      <c r="A1947" s="152" t="s">
        <v>3273</v>
      </c>
      <c r="B1947">
        <f>IF(ISBLANK(PedBerMedIV!$G$25),"",PedBerMedIV!$G$25)</f>
        <v>0</v>
      </c>
      <c r="C1947" s="153">
        <v>0</v>
      </c>
      <c r="D1947" s="151" t="str">
        <f t="shared" si="30"/>
        <v>_Ped_MedIV_Stand_20##0</v>
      </c>
    </row>
    <row r="1948" spans="1:4" x14ac:dyDescent="0.2">
      <c r="A1948" s="151" t="s">
        <v>2693</v>
      </c>
      <c r="B1948">
        <f>IF(ISBLANK(PedBerMedIV!$D$5),"",PedBerMedIV!$D$5)</f>
        <v>0</v>
      </c>
      <c r="C1948" s="153">
        <v>0</v>
      </c>
      <c r="D1948" s="151" t="str">
        <f t="shared" si="30"/>
        <v>_Ped_MedIV_Sterkte_01##0</v>
      </c>
    </row>
    <row r="1949" spans="1:4" x14ac:dyDescent="0.2">
      <c r="A1949" s="151" t="s">
        <v>2694</v>
      </c>
      <c r="B1949">
        <f>IF(ISBLANK(PedBerMedIV!$D$6),"",PedBerMedIV!$D$6)</f>
        <v>0</v>
      </c>
      <c r="C1949" s="153">
        <v>0</v>
      </c>
      <c r="D1949" s="151" t="str">
        <f t="shared" si="30"/>
        <v>_Ped_MedIV_Sterkte_02##0</v>
      </c>
    </row>
    <row r="1950" spans="1:4" x14ac:dyDescent="0.2">
      <c r="A1950" s="151" t="s">
        <v>2695</v>
      </c>
      <c r="B1950">
        <f>IF(ISBLANK(PedBerMedIV!$D$7),"",PedBerMedIV!$D$7)</f>
        <v>0</v>
      </c>
      <c r="C1950" s="153">
        <v>0</v>
      </c>
      <c r="D1950" s="151" t="str">
        <f t="shared" si="30"/>
        <v>_Ped_MedIV_Sterkte_03##0</v>
      </c>
    </row>
    <row r="1951" spans="1:4" x14ac:dyDescent="0.2">
      <c r="A1951" s="151" t="s">
        <v>2696</v>
      </c>
      <c r="B1951">
        <f>IF(ISBLANK(PedBerMedIV!$D$8),"",PedBerMedIV!$D$8)</f>
        <v>0</v>
      </c>
      <c r="C1951" s="153">
        <v>0</v>
      </c>
      <c r="D1951" s="151" t="str">
        <f t="shared" si="30"/>
        <v>_Ped_MedIV_Sterkte_04##0</v>
      </c>
    </row>
    <row r="1952" spans="1:4" x14ac:dyDescent="0.2">
      <c r="A1952" s="151" t="s">
        <v>2697</v>
      </c>
      <c r="B1952">
        <f>IF(ISBLANK(PedBerMedIV!$D$9),"",PedBerMedIV!$D$9)</f>
        <v>0</v>
      </c>
      <c r="C1952" s="153">
        <v>0</v>
      </c>
      <c r="D1952" s="151" t="str">
        <f t="shared" si="30"/>
        <v>_Ped_MedIV_Sterkte_05##0</v>
      </c>
    </row>
    <row r="1953" spans="1:4" x14ac:dyDescent="0.2">
      <c r="A1953" s="151" t="s">
        <v>2698</v>
      </c>
      <c r="B1953">
        <f>IF(ISBLANK(PedBerMedIV!$D$10),"",PedBerMedIV!$D$10)</f>
        <v>0</v>
      </c>
      <c r="C1953" s="153">
        <v>0</v>
      </c>
      <c r="D1953" s="151" t="str">
        <f t="shared" si="30"/>
        <v>_Ped_MedIV_Sterkte_06##0</v>
      </c>
    </row>
    <row r="1954" spans="1:4" x14ac:dyDescent="0.2">
      <c r="A1954" s="151" t="s">
        <v>2699</v>
      </c>
      <c r="B1954">
        <f>IF(ISBLANK(PedBerMedIV!$D$11),"",PedBerMedIV!$D$11)</f>
        <v>0</v>
      </c>
      <c r="C1954" s="153">
        <v>0</v>
      </c>
      <c r="D1954" s="151" t="str">
        <f t="shared" si="30"/>
        <v>_Ped_MedIV_Sterkte_07##0</v>
      </c>
    </row>
    <row r="1955" spans="1:4" x14ac:dyDescent="0.2">
      <c r="A1955" s="151" t="s">
        <v>2700</v>
      </c>
      <c r="B1955">
        <f>IF(ISBLANK(PedBerMedIV!$D$12),"",PedBerMedIV!$D$12)</f>
        <v>0</v>
      </c>
      <c r="C1955" s="153">
        <v>0</v>
      </c>
      <c r="D1955" s="151" t="str">
        <f t="shared" si="30"/>
        <v>_Ped_MedIV_Sterkte_08##0</v>
      </c>
    </row>
    <row r="1956" spans="1:4" x14ac:dyDescent="0.2">
      <c r="A1956" s="151" t="s">
        <v>2701</v>
      </c>
      <c r="B1956">
        <f>IF(ISBLANK(PedBerMedIV!$D$13),"",PedBerMedIV!$D$13)</f>
        <v>0</v>
      </c>
      <c r="C1956" s="153">
        <v>0</v>
      </c>
      <c r="D1956" s="151" t="str">
        <f t="shared" si="30"/>
        <v>_Ped_MedIV_Sterkte_09##0</v>
      </c>
    </row>
    <row r="1957" spans="1:4" x14ac:dyDescent="0.2">
      <c r="A1957" s="151" t="s">
        <v>2702</v>
      </c>
      <c r="B1957">
        <f>IF(ISBLANK(PedBerMedIV!$D$14),"",PedBerMedIV!$D$14)</f>
        <v>0</v>
      </c>
      <c r="C1957" s="153">
        <v>0</v>
      </c>
      <c r="D1957" s="151" t="str">
        <f t="shared" si="30"/>
        <v>_Ped_MedIV_Sterkte_10##0</v>
      </c>
    </row>
    <row r="1958" spans="1:4" x14ac:dyDescent="0.2">
      <c r="A1958" s="151" t="s">
        <v>2703</v>
      </c>
      <c r="B1958">
        <f>IF(ISBLANK(PedBerMedIV!$D$15),"",PedBerMedIV!$D$15)</f>
        <v>0</v>
      </c>
      <c r="C1958" s="153">
        <v>0</v>
      </c>
      <c r="D1958" s="151" t="str">
        <f t="shared" si="30"/>
        <v>_Ped_MedIV_Sterkte_11##0</v>
      </c>
    </row>
    <row r="1959" spans="1:4" x14ac:dyDescent="0.2">
      <c r="A1959" s="151" t="s">
        <v>2704</v>
      </c>
      <c r="B1959">
        <f>IF(ISBLANK(PedBerMedIV!$D$16),"",PedBerMedIV!$D$16)</f>
        <v>0</v>
      </c>
      <c r="C1959" s="153">
        <v>0</v>
      </c>
      <c r="D1959" s="151" t="str">
        <f t="shared" si="30"/>
        <v>_Ped_MedIV_Sterkte_12##0</v>
      </c>
    </row>
    <row r="1960" spans="1:4" x14ac:dyDescent="0.2">
      <c r="A1960" s="151" t="s">
        <v>2705</v>
      </c>
      <c r="B1960">
        <f>IF(ISBLANK(PedBerMedIV!$D$17),"",PedBerMedIV!$D$17)</f>
        <v>0</v>
      </c>
      <c r="C1960" s="153">
        <v>0</v>
      </c>
      <c r="D1960" s="151" t="str">
        <f t="shared" si="30"/>
        <v>_Ped_MedIV_Sterkte_13##0</v>
      </c>
    </row>
    <row r="1961" spans="1:4" x14ac:dyDescent="0.2">
      <c r="A1961" s="151" t="s">
        <v>2706</v>
      </c>
      <c r="B1961">
        <f>IF(ISBLANK(PedBerMedIV!$D$18),"",PedBerMedIV!$D$18)</f>
        <v>0</v>
      </c>
      <c r="C1961" s="153">
        <v>0</v>
      </c>
      <c r="D1961" s="151" t="str">
        <f t="shared" si="30"/>
        <v>_Ped_MedIV_Sterkte_14##0</v>
      </c>
    </row>
    <row r="1962" spans="1:4" x14ac:dyDescent="0.2">
      <c r="A1962" s="151" t="s">
        <v>2707</v>
      </c>
      <c r="B1962">
        <f>IF(ISBLANK(PedBerMedIV!$D$19),"",PedBerMedIV!$D$19)</f>
        <v>0</v>
      </c>
      <c r="C1962" s="153">
        <v>0</v>
      </c>
      <c r="D1962" s="151" t="str">
        <f t="shared" si="30"/>
        <v>_Ped_MedIV_Sterkte_15##0</v>
      </c>
    </row>
    <row r="1963" spans="1:4" x14ac:dyDescent="0.2">
      <c r="A1963" s="152" t="s">
        <v>3275</v>
      </c>
      <c r="B1963">
        <f>IF(ISBLANK(PedBerMedIV!$D$21),"",PedBerMedIV!$D$21)</f>
        <v>0</v>
      </c>
      <c r="C1963" s="153">
        <v>0</v>
      </c>
      <c r="D1963" s="151" t="str">
        <f t="shared" si="30"/>
        <v>_Ped_MedIV_Sterkte_16##0</v>
      </c>
    </row>
    <row r="1964" spans="1:4" x14ac:dyDescent="0.2">
      <c r="A1964" s="152" t="s">
        <v>3277</v>
      </c>
      <c r="B1964">
        <f>IF(ISBLANK(PedBerMedIV!$D$22),"",PedBerMedIV!$D$22)</f>
        <v>0</v>
      </c>
      <c r="C1964" s="153">
        <v>0</v>
      </c>
      <c r="D1964" s="151" t="str">
        <f t="shared" si="30"/>
        <v>_Ped_MedIV_Sterkte_17##0</v>
      </c>
    </row>
    <row r="1965" spans="1:4" x14ac:dyDescent="0.2">
      <c r="A1965" s="152" t="s">
        <v>3278</v>
      </c>
      <c r="B1965">
        <f>IF(ISBLANK(PedBerMedIV!$D$23),"",PedBerMedIV!$D$23)</f>
        <v>0</v>
      </c>
      <c r="C1965" s="153">
        <v>0</v>
      </c>
      <c r="D1965" s="151" t="str">
        <f t="shared" si="30"/>
        <v>_Ped_MedIV_Sterkte_18##0</v>
      </c>
    </row>
    <row r="1966" spans="1:4" x14ac:dyDescent="0.2">
      <c r="A1966" s="152" t="s">
        <v>3280</v>
      </c>
      <c r="B1966">
        <f>IF(ISBLANK(PedBerMedIV!$D$24),"",PedBerMedIV!$D$24)</f>
        <v>0</v>
      </c>
      <c r="C1966" s="153">
        <v>0</v>
      </c>
      <c r="D1966" s="151" t="str">
        <f t="shared" si="30"/>
        <v>_Ped_MedIV_Sterkte_19##0</v>
      </c>
    </row>
    <row r="1967" spans="1:4" x14ac:dyDescent="0.2">
      <c r="A1967" s="152" t="s">
        <v>3282</v>
      </c>
      <c r="B1967">
        <f>IF(ISBLANK(PedBerMedIV!$D$25),"",PedBerMedIV!$D$25)</f>
        <v>0</v>
      </c>
      <c r="C1967" s="153">
        <v>0</v>
      </c>
      <c r="D1967" s="151" t="str">
        <f t="shared" si="30"/>
        <v>_Ped_MedIV_Sterkte_20##0</v>
      </c>
    </row>
    <row r="1968" spans="1:4" x14ac:dyDescent="0.2">
      <c r="A1968" s="151" t="s">
        <v>2708</v>
      </c>
      <c r="B1968">
        <f>IF(ISBLANK(PedBerIVenPM!$A$13),"",PedBerIVenPM!$A$13)</f>
        <v>1</v>
      </c>
      <c r="C1968">
        <v>1</v>
      </c>
      <c r="D1968" s="151" t="str">
        <f t="shared" si="30"/>
        <v>_Ped_PM_Actief##1</v>
      </c>
    </row>
    <row r="1969" spans="1:4" x14ac:dyDescent="0.2">
      <c r="A1969" s="151" t="s">
        <v>2709</v>
      </c>
      <c r="B1969">
        <f>IF(ISBLANK(PedBerIVenPM!$D$13),"",PedBerIVenPM!$D$13)</f>
        <v>1</v>
      </c>
      <c r="C1969">
        <v>1</v>
      </c>
      <c r="D1969" s="151" t="str">
        <f t="shared" si="30"/>
        <v>_Ped_PM_AO##1</v>
      </c>
    </row>
    <row r="1970" spans="1:4" x14ac:dyDescent="0.2">
      <c r="A1970" s="151" t="s">
        <v>2710</v>
      </c>
      <c r="B1970">
        <f>IF(ISBLANK(PedBerIVenPM!$D$16),"",PedBerIVenPM!$D$16)</f>
        <v>2</v>
      </c>
      <c r="C1970">
        <v>2</v>
      </c>
      <c r="D1970" s="151" t="str">
        <f t="shared" si="30"/>
        <v>_Ped_PM_AS##2</v>
      </c>
    </row>
    <row r="1971" spans="1:4" x14ac:dyDescent="0.2">
      <c r="A1971" s="151" t="s">
        <v>2711</v>
      </c>
      <c r="B1971">
        <f>IF(ISBLANK(PedBerIVenPM!$D$15),"",PedBerIVenPM!$D$15)</f>
        <v>20</v>
      </c>
      <c r="C1971">
        <v>20</v>
      </c>
      <c r="D1971" s="151" t="str">
        <f t="shared" si="30"/>
        <v>_Ped_PM_AV##20</v>
      </c>
    </row>
    <row r="1972" spans="1:4" x14ac:dyDescent="0.2">
      <c r="A1972" s="151" t="s">
        <v>2712</v>
      </c>
      <c r="B1972">
        <f>IF(ISBLANK(PedBerIVenPM!$D$12),"",PedBerIVenPM!$D$12)</f>
        <v>30</v>
      </c>
      <c r="C1972">
        <v>30</v>
      </c>
      <c r="D1972" s="151" t="str">
        <f t="shared" si="30"/>
        <v>_Ped_PM_Freq##30</v>
      </c>
    </row>
    <row r="1973" spans="1:4" x14ac:dyDescent="0.2">
      <c r="A1973" s="151" t="s">
        <v>2713</v>
      </c>
      <c r="B1973">
        <f>IF(ISBLANK(PedBerIVenPM!$B$13),"",PedBerIVenPM!$B$13)</f>
        <v>1</v>
      </c>
      <c r="C1973">
        <v>1</v>
      </c>
      <c r="D1973" s="151" t="str">
        <f t="shared" si="30"/>
        <v>_Ped_PM_Mod##1</v>
      </c>
    </row>
    <row r="1974" spans="1:4" x14ac:dyDescent="0.2">
      <c r="A1974" s="151" t="s">
        <v>2714</v>
      </c>
      <c r="B1974">
        <f>IF(ISBLANK(PedBerIVenPM!$D$14),"",PedBerIVenPM!$D$14)</f>
        <v>1</v>
      </c>
      <c r="C1974">
        <v>1</v>
      </c>
      <c r="D1974" s="151" t="str">
        <f t="shared" si="30"/>
        <v>_Ped_PM_VO##1</v>
      </c>
    </row>
    <row r="1975" spans="1:4" x14ac:dyDescent="0.2">
      <c r="A1975" s="151" t="s">
        <v>2715</v>
      </c>
      <c r="B1975">
        <f>IF(ISBLANK(PedBerIVenPM!$D$17),"",PedBerIVenPM!$D$17)</f>
        <v>10</v>
      </c>
      <c r="C1975">
        <v>10</v>
      </c>
      <c r="D1975" s="151" t="str">
        <f t="shared" si="30"/>
        <v>_Ped_PM_VS##10</v>
      </c>
    </row>
    <row r="1976" spans="1:4" x14ac:dyDescent="0.2">
      <c r="A1976" s="151" t="s">
        <v>2716</v>
      </c>
      <c r="B1976" t="b">
        <f>IF(ISBLANK(PedBerTPN!$B$12),"",PedBerTPN!$B$12)</f>
        <v>0</v>
      </c>
      <c r="C1976" t="b">
        <v>0</v>
      </c>
      <c r="D1976" s="151" t="str">
        <f t="shared" si="30"/>
        <v>_Ped_TPN_CaCl##ONWAAR</v>
      </c>
    </row>
    <row r="1977" spans="1:4" x14ac:dyDescent="0.2">
      <c r="A1977" s="151" t="s">
        <v>2717</v>
      </c>
      <c r="B1977">
        <f>IF(ISBLANK(PedBerTPN!$C$12),"",PedBerTPN!$C$12)</f>
        <v>0</v>
      </c>
      <c r="C1977" s="153">
        <v>0</v>
      </c>
      <c r="D1977" s="151" t="str">
        <f t="shared" si="30"/>
        <v>_Ped_TPN_CaGlucVol##0</v>
      </c>
    </row>
    <row r="1978" spans="1:4" x14ac:dyDescent="0.2">
      <c r="A1978" s="151" t="s">
        <v>4741</v>
      </c>
      <c r="B1978">
        <f>IF(ISBLANK(PedBerTPN!$B$4),"",PedBerTPN!$B$4)</f>
        <v>0</v>
      </c>
      <c r="C1978" s="7">
        <v>0</v>
      </c>
      <c r="D1978" s="151" t="str">
        <f t="shared" si="30"/>
        <v>_Ped_TPN_DagKeuze##0</v>
      </c>
    </row>
    <row r="1979" spans="1:4" x14ac:dyDescent="0.2">
      <c r="A1979" s="151" t="s">
        <v>2718</v>
      </c>
      <c r="B1979" t="b">
        <f>IF(ISBLANK(PedBerTPN!$B$10),"",PedBerTPN!$B$10)</f>
        <v>0</v>
      </c>
      <c r="C1979" t="b">
        <v>0</v>
      </c>
      <c r="D1979" s="151" t="str">
        <f t="shared" si="30"/>
        <v>_Ped_TPN_KCl1##ONWAAR</v>
      </c>
    </row>
    <row r="1980" spans="1:4" x14ac:dyDescent="0.2">
      <c r="A1980" s="151" t="s">
        <v>2719</v>
      </c>
      <c r="B1980" t="b">
        <f>IF(ISBLANK(PedBerTPN!$B$24),"",PedBerTPN!$B$24)</f>
        <v>0</v>
      </c>
      <c r="C1980" t="b">
        <v>0</v>
      </c>
      <c r="D1980" s="151" t="str">
        <f t="shared" si="30"/>
        <v>_Ped_TPN_KCl2##ONWAAR</v>
      </c>
    </row>
    <row r="1981" spans="1:4" x14ac:dyDescent="0.2">
      <c r="A1981" s="151" t="s">
        <v>2720</v>
      </c>
      <c r="B1981">
        <f>IF(ISBLANK(PedBerTPN!$C$10),"",PedBerTPN!$C$10)</f>
        <v>0</v>
      </c>
      <c r="C1981" s="153">
        <v>0</v>
      </c>
      <c r="D1981" s="151" t="str">
        <f t="shared" si="30"/>
        <v>_Ped_TPN_KClVol1##0</v>
      </c>
    </row>
    <row r="1982" spans="1:4" x14ac:dyDescent="0.2">
      <c r="A1982" s="151" t="s">
        <v>2721</v>
      </c>
      <c r="B1982">
        <f>IF(ISBLANK(PedBerTPN!$C$24),"",PedBerTPN!$C$24)</f>
        <v>0</v>
      </c>
      <c r="C1982" s="153">
        <v>0</v>
      </c>
      <c r="D1982" s="151" t="str">
        <f t="shared" si="30"/>
        <v>_Ped_TPN_KClVol2##0</v>
      </c>
    </row>
    <row r="1983" spans="1:4" x14ac:dyDescent="0.2">
      <c r="A1983" s="151" t="s">
        <v>2722</v>
      </c>
      <c r="B1983">
        <f>IF(ISBLANK(PedBerTPN!$B$5),"",PedBerTPN!$B$5)</f>
        <v>1</v>
      </c>
      <c r="C1983">
        <v>1</v>
      </c>
      <c r="D1983" s="151" t="str">
        <f t="shared" si="30"/>
        <v>_Ped_TPN_Keuze##1</v>
      </c>
    </row>
    <row r="1984" spans="1:4" x14ac:dyDescent="0.2">
      <c r="A1984" s="151" t="s">
        <v>2723</v>
      </c>
      <c r="B1984" t="b">
        <f>IF(ISBLANK(PedBerTPN!$B$15),"",PedBerTPN!$B$15)</f>
        <v>0</v>
      </c>
      <c r="C1984" t="b">
        <v>0</v>
      </c>
      <c r="D1984" s="151" t="str">
        <f t="shared" si="30"/>
        <v>_Ped_TPN_KNaFosf##ONWAAR</v>
      </c>
    </row>
    <row r="1985" spans="1:4" x14ac:dyDescent="0.2">
      <c r="A1985" s="151" t="s">
        <v>2724</v>
      </c>
      <c r="B1985">
        <f>IF(ISBLANK(PedBerTPN!$C$15),"",PedBerTPN!$C$15)</f>
        <v>0</v>
      </c>
      <c r="C1985" s="153">
        <v>0</v>
      </c>
      <c r="D1985" s="151" t="str">
        <f t="shared" si="30"/>
        <v>_Ped_TPN_KNaFosfVol##0</v>
      </c>
    </row>
    <row r="1986" spans="1:4" s="151" customFormat="1" x14ac:dyDescent="0.2">
      <c r="A1986" s="151" t="s">
        <v>7645</v>
      </c>
      <c r="B1986" s="151">
        <f>IF(ISBLANK(PedBerTPN!$B$17),"",PedBerTPN!$B$17)</f>
        <v>1</v>
      </c>
      <c r="C1986" s="151">
        <v>1</v>
      </c>
      <c r="D1986" s="151" t="str">
        <f t="shared" si="30"/>
        <v>_Ped_TPN_LipidKeuze##1</v>
      </c>
    </row>
    <row r="1987" spans="1:4" x14ac:dyDescent="0.2">
      <c r="A1987" s="151" t="s">
        <v>2725</v>
      </c>
      <c r="B1987">
        <f>IF(ISBLANK(PedBerTPN!$C$16),"",PedBerTPN!$C$16)</f>
        <v>0</v>
      </c>
      <c r="C1987" s="153">
        <v>0</v>
      </c>
      <c r="D1987" s="151" t="str">
        <f t="shared" ref="D1987:D2005" si="31">A1987&amp;"##"&amp;B1987</f>
        <v>_Ped_TPN_LipidStand##0</v>
      </c>
    </row>
    <row r="1988" spans="1:4" x14ac:dyDescent="0.2">
      <c r="A1988" s="151" t="s">
        <v>2726</v>
      </c>
      <c r="B1988" t="b">
        <f>IF(ISBLANK(PedBerTPN!$B$13),"",PedBerTPN!$B$13)</f>
        <v>0</v>
      </c>
      <c r="C1988" t="b">
        <v>0</v>
      </c>
      <c r="D1988" s="151" t="str">
        <f t="shared" si="31"/>
        <v>_Ped_TPN_MgCl##ONWAAR</v>
      </c>
    </row>
    <row r="1989" spans="1:4" x14ac:dyDescent="0.2">
      <c r="A1989" s="151" t="s">
        <v>2727</v>
      </c>
      <c r="B1989">
        <f>IF(ISBLANK(PedBerTPN!$C$13),"",PedBerTPN!$C$13)</f>
        <v>0</v>
      </c>
      <c r="C1989" s="153">
        <v>0</v>
      </c>
      <c r="D1989" s="151" t="str">
        <f t="shared" si="31"/>
        <v>_Ped_TPN_MgClVol##0</v>
      </c>
    </row>
    <row r="1990" spans="1:4" x14ac:dyDescent="0.2">
      <c r="A1990" s="151" t="s">
        <v>2728</v>
      </c>
      <c r="B1990" t="b">
        <f>IF(ISBLANK(PedBerTPN!$B$9),"",PedBerTPN!$B$9)</f>
        <v>0</v>
      </c>
      <c r="C1990" t="b">
        <v>0</v>
      </c>
      <c r="D1990" s="151" t="str">
        <f t="shared" si="31"/>
        <v>_Ped_TPN_NaCl1##ONWAAR</v>
      </c>
    </row>
    <row r="1991" spans="1:4" x14ac:dyDescent="0.2">
      <c r="A1991" s="151" t="s">
        <v>2729</v>
      </c>
      <c r="B1991" t="b">
        <f>IF(ISBLANK(PedBerTPN!$B$23),"",PedBerTPN!$B$23)</f>
        <v>0</v>
      </c>
      <c r="C1991" t="b">
        <v>0</v>
      </c>
      <c r="D1991" s="151" t="str">
        <f t="shared" si="31"/>
        <v>_Ped_TPN_NaCl2##ONWAAR</v>
      </c>
    </row>
    <row r="1992" spans="1:4" x14ac:dyDescent="0.2">
      <c r="A1992" s="151" t="s">
        <v>2730</v>
      </c>
      <c r="B1992">
        <f>IF(ISBLANK(PedBerTPN!$C$9),"",PedBerTPN!$C$9)</f>
        <v>0</v>
      </c>
      <c r="C1992" s="153">
        <v>0</v>
      </c>
      <c r="D1992" s="151" t="str">
        <f t="shared" si="31"/>
        <v>_Ped_TPN_NaClVol1##0</v>
      </c>
    </row>
    <row r="1993" spans="1:4" x14ac:dyDescent="0.2">
      <c r="A1993" s="151" t="s">
        <v>2731</v>
      </c>
      <c r="B1993">
        <f>IF(ISBLANK(PedBerTPN!$C$23),"",PedBerTPN!$C$23)</f>
        <v>0</v>
      </c>
      <c r="C1993" s="153">
        <v>0</v>
      </c>
      <c r="D1993" s="151" t="str">
        <f t="shared" si="31"/>
        <v>_Ped_TPN_NaClVol2##0</v>
      </c>
    </row>
    <row r="1994" spans="1:4" x14ac:dyDescent="0.2">
      <c r="A1994" s="151" t="s">
        <v>2732</v>
      </c>
      <c r="B1994">
        <f>IF(ISBLANK(PedBerTPN!$B$28),"",PedBerTPN!$B$28)</f>
        <v>0</v>
      </c>
      <c r="C1994" s="153">
        <v>0</v>
      </c>
      <c r="D1994" s="151" t="str">
        <f t="shared" si="31"/>
        <v>_Ped_TPN_Opm##0</v>
      </c>
    </row>
    <row r="1995" spans="1:4" x14ac:dyDescent="0.2">
      <c r="A1995" s="151" t="s">
        <v>2733</v>
      </c>
      <c r="B1995">
        <f>IF(ISBLANK(PedBerTPN!$C$6),"",PedBerTPN!$C$6)</f>
        <v>0</v>
      </c>
      <c r="C1995" s="153">
        <v>0</v>
      </c>
      <c r="D1995" s="151" t="str">
        <f t="shared" si="31"/>
        <v>_Ped_TPN_PediTrace##0</v>
      </c>
    </row>
    <row r="1996" spans="1:4" x14ac:dyDescent="0.2">
      <c r="A1996" s="151" t="s">
        <v>2734</v>
      </c>
      <c r="B1996">
        <f>IF(ISBLANK(PedBerTPN!$B$20),"",PedBerTPN!$B$20)</f>
        <v>0</v>
      </c>
      <c r="C1996" s="153">
        <v>0</v>
      </c>
      <c r="D1996" s="151" t="str">
        <f t="shared" si="31"/>
        <v>_Ped_TPN_SMOF##0</v>
      </c>
    </row>
    <row r="1997" spans="1:4" x14ac:dyDescent="0.2">
      <c r="A1997" s="151" t="s">
        <v>2735</v>
      </c>
      <c r="B1997" t="b">
        <f>IF(ISBLANK(PedBerTPN!$B$19),"",PedBerTPN!$B$19)</f>
        <v>0</v>
      </c>
      <c r="C1997" t="b">
        <v>0</v>
      </c>
      <c r="D1997" s="151" t="str">
        <f t="shared" si="31"/>
        <v>_Ped_TPN_Soluvit##ONWAAR</v>
      </c>
    </row>
    <row r="1998" spans="1:4" x14ac:dyDescent="0.2">
      <c r="A1998" s="151" t="s">
        <v>2736</v>
      </c>
      <c r="B1998">
        <f>IF(ISBLANK(PedBerTPN!$C$19),"",PedBerTPN!$C$19)</f>
        <v>1</v>
      </c>
      <c r="C1998">
        <v>1</v>
      </c>
      <c r="D1998" s="151" t="str">
        <f t="shared" si="31"/>
        <v>_Ped_TPN_SoluvitVol##1</v>
      </c>
    </row>
    <row r="1999" spans="1:4" x14ac:dyDescent="0.2">
      <c r="A1999" s="151" t="s">
        <v>2737</v>
      </c>
      <c r="B1999">
        <f>IF(ISBLANK(PedBerTPN!$B$8),"",PedBerTPN!$B$8)</f>
        <v>1</v>
      </c>
      <c r="C1999">
        <v>1</v>
      </c>
      <c r="D1999" s="151" t="str">
        <f t="shared" si="31"/>
        <v>_Ped_TPN_SST1Keuze##1</v>
      </c>
    </row>
    <row r="2000" spans="1:4" x14ac:dyDescent="0.2">
      <c r="A2000" s="151" t="s">
        <v>2738</v>
      </c>
      <c r="B2000">
        <f>IF(ISBLANK(PedBerTPN!$C$3),"",PedBerTPN!$C$3)</f>
        <v>0</v>
      </c>
      <c r="C2000" s="153">
        <v>0</v>
      </c>
      <c r="D2000" s="151" t="str">
        <f t="shared" si="31"/>
        <v>_Ped_TPN_SST1Stand##0</v>
      </c>
    </row>
    <row r="2001" spans="1:4" x14ac:dyDescent="0.2">
      <c r="A2001" s="151" t="s">
        <v>2739</v>
      </c>
      <c r="B2001">
        <f>IF(ISBLANK(PedBerTPN!$B$22),"",PedBerTPN!$B$22)</f>
        <v>1</v>
      </c>
      <c r="C2001">
        <v>1</v>
      </c>
      <c r="D2001" s="151" t="str">
        <f t="shared" si="31"/>
        <v>_Ped_TPN_SST2Keuze##1</v>
      </c>
    </row>
    <row r="2002" spans="1:4" x14ac:dyDescent="0.2">
      <c r="A2002" s="151" t="s">
        <v>2740</v>
      </c>
      <c r="B2002">
        <f>IF(ISBLANK(PedBerTPN!$C$21),"",PedBerTPN!$C$21)</f>
        <v>0</v>
      </c>
      <c r="C2002" s="153">
        <v>0</v>
      </c>
      <c r="D2002" s="151" t="str">
        <f t="shared" si="31"/>
        <v>_Ped_TPN_SST2Stand##0</v>
      </c>
    </row>
    <row r="2003" spans="1:4" x14ac:dyDescent="0.2">
      <c r="A2003" s="151" t="s">
        <v>2741</v>
      </c>
      <c r="B2003" t="b">
        <f>IF(ISBLANK(PedBerTPN!$B$18),"",PedBerTPN!$B$18)</f>
        <v>0</v>
      </c>
      <c r="C2003" t="b">
        <v>0</v>
      </c>
      <c r="D2003" s="151" t="str">
        <f t="shared" si="31"/>
        <v>_Ped_TPN_VitIntra##ONWAAR</v>
      </c>
    </row>
    <row r="2004" spans="1:4" x14ac:dyDescent="0.2">
      <c r="A2004" s="151" t="s">
        <v>2742</v>
      </c>
      <c r="B2004">
        <f>IF(ISBLANK(PedBerTPN!$C$18),"",PedBerTPN!$C$18)</f>
        <v>1</v>
      </c>
      <c r="C2004">
        <v>1</v>
      </c>
      <c r="D2004" s="151" t="str">
        <f t="shared" si="31"/>
        <v>_Ped_TPN_VitIntraVol##1</v>
      </c>
    </row>
    <row r="2005" spans="1:4" x14ac:dyDescent="0.2">
      <c r="A2005" s="151" t="s">
        <v>2743</v>
      </c>
      <c r="B2005">
        <f>IF(ISBLANK(PedBerTPN!$C$5),"",PedBerTPN!$C$5)</f>
        <v>0</v>
      </c>
      <c r="C2005" s="153">
        <v>0</v>
      </c>
      <c r="D2005" s="151" t="str">
        <f t="shared" si="31"/>
        <v>_Ped_TPN_Vol##0</v>
      </c>
    </row>
    <row r="2006" spans="1:4" x14ac:dyDescent="0.2">
      <c r="A2006" s="151"/>
    </row>
    <row r="2007" spans="1:4" x14ac:dyDescent="0.2">
      <c r="A2007" s="151"/>
    </row>
    <row r="2008" spans="1:4" x14ac:dyDescent="0.2">
      <c r="A2008" s="151"/>
    </row>
    <row r="2009" spans="1:4" x14ac:dyDescent="0.2">
      <c r="A2009" s="151"/>
    </row>
  </sheetData>
  <sortState ref="A2:C1852">
    <sortCondition ref="A2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7" type="noConversion"/>
  <printOptions gridLines="1"/>
  <pageMargins left="0.96" right="0.61" top="0.48" bottom="0.89" header="0.41" footer="0.68"/>
  <pageSetup paperSize="9" orientation="portrait" r:id="rId2"/>
  <headerFooter alignWithMargins="0">
    <oddFooter>&amp;L&amp;P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  <outlinePr showOutlineSymbols="0"/>
  </sheetPr>
  <dimension ref="A1:G38"/>
  <sheetViews>
    <sheetView showOutlineSymbols="0" workbookViewId="0">
      <selection activeCell="B16" sqref="B16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179" t="s">
        <v>292</v>
      </c>
      <c r="B1" s="44"/>
    </row>
    <row r="2" spans="1:7" x14ac:dyDescent="0.2">
      <c r="A2" s="152" t="s">
        <v>385</v>
      </c>
    </row>
    <row r="3" spans="1:7" s="151" customFormat="1" x14ac:dyDescent="0.2">
      <c r="A3" t="s">
        <v>157</v>
      </c>
      <c r="B3"/>
    </row>
    <row r="4" spans="1:7" s="151" customFormat="1" x14ac:dyDescent="0.2">
      <c r="A4" t="s">
        <v>158</v>
      </c>
      <c r="B4"/>
    </row>
    <row r="5" spans="1:7" x14ac:dyDescent="0.2">
      <c r="A5" s="152" t="s">
        <v>2808</v>
      </c>
      <c r="B5" s="11">
        <v>1462</v>
      </c>
      <c r="C5" s="2"/>
      <c r="D5" s="2"/>
      <c r="E5" s="2"/>
      <c r="G5" s="2"/>
    </row>
    <row r="6" spans="1:7" x14ac:dyDescent="0.2">
      <c r="A6" t="s">
        <v>207</v>
      </c>
      <c r="B6" s="38">
        <v>0</v>
      </c>
      <c r="C6" s="2"/>
      <c r="D6" s="2"/>
      <c r="E6" s="2"/>
      <c r="G6" s="2"/>
    </row>
    <row r="7" spans="1:7" x14ac:dyDescent="0.2">
      <c r="A7" t="s">
        <v>95</v>
      </c>
      <c r="B7">
        <v>0</v>
      </c>
    </row>
    <row r="8" spans="1:7" s="151" customFormat="1" x14ac:dyDescent="0.2">
      <c r="A8" s="151" t="s">
        <v>5160</v>
      </c>
    </row>
    <row r="9" spans="1:7" x14ac:dyDescent="0.2">
      <c r="A9" s="152" t="s">
        <v>2807</v>
      </c>
      <c r="B9">
        <v>0</v>
      </c>
    </row>
    <row r="10" spans="1:7" x14ac:dyDescent="0.2">
      <c r="A10" s="152" t="s">
        <v>2806</v>
      </c>
      <c r="B10" s="43">
        <v>1462</v>
      </c>
      <c r="E10" s="43"/>
    </row>
    <row r="11" spans="1:7" s="151" customFormat="1" x14ac:dyDescent="0.2">
      <c r="A11" s="152" t="s">
        <v>4087</v>
      </c>
      <c r="B11" s="7">
        <v>0</v>
      </c>
      <c r="E11" s="43"/>
    </row>
    <row r="12" spans="1:7" s="151" customFormat="1" x14ac:dyDescent="0.2">
      <c r="A12" s="152" t="s">
        <v>4088</v>
      </c>
      <c r="B12" s="7">
        <v>0</v>
      </c>
      <c r="E12" s="43"/>
    </row>
    <row r="13" spans="1:7" s="151" customFormat="1" x14ac:dyDescent="0.2">
      <c r="A13" s="152" t="s">
        <v>43</v>
      </c>
      <c r="B13" s="7" t="str">
        <f>IF(AND(_Pat_Gewicht&gt;0,_Pat_Lengte&gt;0),ROUND(POWER(_Pat_Gewicht,0.425)*POWER(((_Pat_Lengte/100)*100),0.725)*0.007184,2)&amp;" m2", "")</f>
        <v/>
      </c>
      <c r="E13" s="43"/>
    </row>
    <row r="14" spans="1:7" x14ac:dyDescent="0.2">
      <c r="E14" s="53"/>
    </row>
    <row r="15" spans="1:7" x14ac:dyDescent="0.2">
      <c r="A15" t="s">
        <v>156</v>
      </c>
      <c r="B15" s="11">
        <f ca="1" xml:space="preserve"> TODAY()</f>
        <v>43418</v>
      </c>
    </row>
    <row r="16" spans="1:7" x14ac:dyDescent="0.2">
      <c r="A16" t="s">
        <v>341</v>
      </c>
      <c r="B16" s="43"/>
      <c r="E16" s="53"/>
    </row>
    <row r="17" spans="1:5" s="151" customFormat="1" x14ac:dyDescent="0.2">
      <c r="B17" s="43"/>
      <c r="E17" s="53"/>
    </row>
    <row r="18" spans="1:5" s="151" customFormat="1" x14ac:dyDescent="0.2">
      <c r="A18" s="155" t="s">
        <v>4498</v>
      </c>
      <c r="B18" s="43" t="str">
        <f ca="1">DateToString(Var_AfspraakDatum)</f>
        <v>14-nov-2018</v>
      </c>
      <c r="E18" s="53"/>
    </row>
    <row r="19" spans="1:5" s="151" customFormat="1" x14ac:dyDescent="0.2">
      <c r="A19" s="152" t="s">
        <v>3299</v>
      </c>
      <c r="B19" s="43" t="str">
        <f>IF(IsEmptyDate(_Pat_OpnDatum),"",DateToString(_Pat_OpnDatum)&amp;" "&amp;B26)</f>
        <v/>
      </c>
      <c r="E19" s="53"/>
    </row>
    <row r="20" spans="1:5" s="151" customFormat="1" x14ac:dyDescent="0.2">
      <c r="A20" s="152" t="s">
        <v>2808</v>
      </c>
      <c r="B20" s="43" t="str">
        <f ca="1">IF(YEAR(NOW())-YEAR(__4_GebDatum)&gt;100,"",DateToString(__4_GebDatum))</f>
        <v/>
      </c>
      <c r="E20" s="53"/>
    </row>
    <row r="21" spans="1:5" s="151" customFormat="1" x14ac:dyDescent="0.2">
      <c r="A21" s="152" t="s">
        <v>3300</v>
      </c>
      <c r="B21" s="7" t="str">
        <f>IF(__0_PatNum&gt;0,__0_PatNum,"")</f>
        <v/>
      </c>
      <c r="E21" s="559"/>
    </row>
    <row r="22" spans="1:5" x14ac:dyDescent="0.2">
      <c r="A22" s="152" t="s">
        <v>3295</v>
      </c>
      <c r="B22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3" spans="1:5" s="151" customFormat="1" x14ac:dyDescent="0.2">
      <c r="A23" s="152" t="s">
        <v>3296</v>
      </c>
      <c r="B23" s="151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4" spans="1:5" s="151" customFormat="1" x14ac:dyDescent="0.2">
      <c r="A24" s="152" t="s">
        <v>2805</v>
      </c>
      <c r="B24" s="151" t="str">
        <f ca="1">IF(Var_AfspraakDatum-__4_GebDatum&lt;=28,B23,B22)</f>
        <v/>
      </c>
    </row>
    <row r="25" spans="1:5" x14ac:dyDescent="0.2">
      <c r="A25" s="152" t="s">
        <v>3294</v>
      </c>
      <c r="B25" t="str">
        <f>IF(__2_AchterNaam="","",IF(LEN(C25)&gt;40,LEFT(C25,40)&amp;"…",C25))</f>
        <v/>
      </c>
      <c r="C25" t="str">
        <f>__2_AchterNaam&amp;", "&amp;__3_VoorNaam</f>
        <v xml:space="preserve">, </v>
      </c>
    </row>
    <row r="26" spans="1:5" x14ac:dyDescent="0.2">
      <c r="A26" s="152" t="s">
        <v>3297</v>
      </c>
      <c r="B26" t="str">
        <f ca="1">IF(AND(__4_GebDatum&gt;0,_Pat_OpnDatum&gt;0),"(dag "&amp;ROUND(Var_AfspraakDatum-_Pat_OpnDatum+1,0)&amp;")", "")</f>
        <v>(dag 41957)</v>
      </c>
    </row>
    <row r="27" spans="1:5" x14ac:dyDescent="0.2">
      <c r="A27" s="152" t="s">
        <v>207</v>
      </c>
      <c r="B27" t="str">
        <f>IF(_Pat_Gewicht&gt;0,"Gewicht: "&amp;FixPrecision(_Pat_Gewicht, 3)&amp;" kg", "Gewicht:")</f>
        <v>Gewicht:</v>
      </c>
    </row>
    <row r="28" spans="1:5" x14ac:dyDescent="0.2">
      <c r="A28" s="152" t="s">
        <v>3298</v>
      </c>
      <c r="B28" t="str">
        <f>IF(_Pat_Lengte&gt;0,"Lengte: "&amp;_Pat_Lengte&amp;" cm","Lengte:")</f>
        <v>Lengte:</v>
      </c>
    </row>
    <row r="29" spans="1:5" x14ac:dyDescent="0.2">
      <c r="A29" s="152" t="s">
        <v>43</v>
      </c>
      <c r="B29" t="str">
        <f>IF(AND(_Pat_Gewicht&gt;0,_Pat_Lengte&gt;0),"Lichamelijk oppervlak: "&amp;ROUND(POWER(_Pat_Gewicht,0.425)*POWER(((_Pat_Lengte/100)*100),0.725)*0.007184,2)&amp;" m2", "Lichamelijk oppervlak:")</f>
        <v>Lichamelijk oppervlak:</v>
      </c>
    </row>
    <row r="30" spans="1:5" x14ac:dyDescent="0.2">
      <c r="A30" s="152" t="s">
        <v>385</v>
      </c>
      <c r="B30" t="str">
        <f>IF(OR(__1_Bed=0,__1_Bed=""),"","Bed: "&amp;__1_Bed)</f>
        <v/>
      </c>
    </row>
    <row r="31" spans="1:5" x14ac:dyDescent="0.2">
      <c r="A31" s="152" t="s">
        <v>2807</v>
      </c>
      <c r="B31" t="str">
        <f>IF(_Pat_GebGew=0,"",_Pat_GebGew&amp;" gram")</f>
        <v/>
      </c>
    </row>
    <row r="32" spans="1:5" x14ac:dyDescent="0.2">
      <c r="A32" s="152" t="s">
        <v>4500</v>
      </c>
      <c r="B32" t="str">
        <f>IF(_Pat_GestWeken=0,"",_Pat_GestWeken&amp;" Weken "&amp;(IF(_Pat_GestDagen=0,"",_Pat_GestDagen&amp;" Dag(-en)")))</f>
        <v/>
      </c>
    </row>
    <row r="33" spans="1:2" x14ac:dyDescent="0.2">
      <c r="A33" s="152" t="s">
        <v>5160</v>
      </c>
      <c r="B33" s="43" t="str">
        <f>IF(_Pat_Geslacht = 0,"onbekend",_Pat_Geslacht)</f>
        <v>onbekend</v>
      </c>
    </row>
    <row r="34" spans="1:2" x14ac:dyDescent="0.2">
      <c r="B34" s="43"/>
    </row>
    <row r="35" spans="1:2" x14ac:dyDescent="0.2">
      <c r="A35" s="152" t="s">
        <v>7248</v>
      </c>
      <c r="B35" t="s">
        <v>7252</v>
      </c>
    </row>
    <row r="36" spans="1:2" x14ac:dyDescent="0.2">
      <c r="A36" s="152" t="s">
        <v>7249</v>
      </c>
      <c r="B36" t="s">
        <v>7253</v>
      </c>
    </row>
    <row r="37" spans="1:2" x14ac:dyDescent="0.2">
      <c r="A37" s="152" t="s">
        <v>7250</v>
      </c>
      <c r="B37" t="s">
        <v>7254</v>
      </c>
    </row>
    <row r="38" spans="1:2" x14ac:dyDescent="0.2">
      <c r="A38" s="152" t="s">
        <v>7251</v>
      </c>
      <c r="B38" s="43" t="s">
        <v>7255</v>
      </c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  <outlinePr showOutlineSymbols="0"/>
  </sheetPr>
  <dimension ref="A1:CF50"/>
  <sheetViews>
    <sheetView showGridLines="0" showRowColHeaders="0" showZeros="0" showOutlineSymbols="0"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425" customWidth="1"/>
    <col min="2" max="2" width="6" style="425" customWidth="1"/>
    <col min="3" max="3" width="7.5703125" style="425" customWidth="1"/>
    <col min="4" max="4" width="4.28515625" style="425" customWidth="1"/>
    <col min="5" max="5" width="27" style="425" customWidth="1"/>
    <col min="6" max="6" width="13.42578125" style="425" customWidth="1"/>
    <col min="7" max="7" width="11.140625" style="425" customWidth="1"/>
    <col min="8" max="8" width="16.7109375" style="425" customWidth="1"/>
    <col min="9" max="9" width="16.5703125" style="425" customWidth="1"/>
    <col min="10" max="10" width="20.140625" style="425" customWidth="1"/>
    <col min="11" max="11" width="13.28515625" style="425" customWidth="1"/>
    <col min="12" max="12" width="9.140625" style="425"/>
    <col min="13" max="13" width="12.7109375" style="425" customWidth="1"/>
    <col min="14" max="15" width="9.140625" style="425"/>
    <col min="16" max="17" width="9.42578125" style="425" bestFit="1" customWidth="1"/>
    <col min="18" max="16384" width="9.140625" style="425"/>
  </cols>
  <sheetData>
    <row r="1" spans="1:84" s="296" customFormat="1" ht="17.25" customHeight="1" x14ac:dyDescent="0.2">
      <c r="A1" s="424"/>
      <c r="B1" s="820"/>
      <c r="C1" s="820"/>
      <c r="D1" s="820"/>
      <c r="E1" s="820"/>
      <c r="F1" s="820"/>
      <c r="G1" s="820"/>
      <c r="H1" s="820"/>
      <c r="I1" s="820"/>
      <c r="J1" s="820"/>
      <c r="K1" s="820"/>
      <c r="L1" s="820"/>
      <c r="M1" s="820"/>
      <c r="N1" s="820"/>
      <c r="O1" s="697"/>
      <c r="P1" s="294"/>
      <c r="Q1" s="294"/>
      <c r="R1" s="294"/>
    </row>
    <row r="2" spans="1:84" s="296" customFormat="1" ht="17.25" customHeight="1" x14ac:dyDescent="0.2">
      <c r="B2" s="697"/>
      <c r="C2" s="697" t="s">
        <v>229</v>
      </c>
      <c r="D2" s="568"/>
      <c r="E2" s="569" t="str">
        <f ca="1">Txt_Pat_AfspraakDat</f>
        <v>14-nov-2018</v>
      </c>
      <c r="F2" s="570"/>
      <c r="G2" s="571"/>
      <c r="H2" s="569" t="s">
        <v>3460</v>
      </c>
      <c r="I2" s="572" t="str">
        <f>Txt_Pat_OpnameDat</f>
        <v/>
      </c>
      <c r="J2" s="573"/>
      <c r="K2" s="697" t="str">
        <f>Txt_Pat_Gewicht</f>
        <v>Gewicht:</v>
      </c>
      <c r="L2" s="569"/>
      <c r="M2" s="569" t="str">
        <f>Txt_Pat_Bed</f>
        <v/>
      </c>
      <c r="N2" s="697"/>
      <c r="O2" s="697"/>
      <c r="P2" s="294"/>
      <c r="Q2" s="294"/>
      <c r="R2" s="294"/>
    </row>
    <row r="3" spans="1:84" s="296" customFormat="1" ht="17.25" customHeight="1" x14ac:dyDescent="0.2">
      <c r="B3" s="697"/>
      <c r="C3" s="697" t="s">
        <v>27</v>
      </c>
      <c r="D3" s="566"/>
      <c r="E3" s="569" t="str">
        <f>Txt_Pat_FullName</f>
        <v/>
      </c>
      <c r="F3" s="574"/>
      <c r="G3" s="574"/>
      <c r="H3" s="569" t="s">
        <v>3461</v>
      </c>
      <c r="I3" s="572" t="str">
        <f ca="1">Txt_Pat_GeboorteDat</f>
        <v/>
      </c>
      <c r="J3" s="573"/>
      <c r="K3" s="697" t="str">
        <f>Txt_Pat_Lengte</f>
        <v>Lengte:</v>
      </c>
      <c r="L3" s="569"/>
      <c r="M3" s="569"/>
      <c r="N3" s="697"/>
      <c r="O3" s="697"/>
      <c r="P3" s="294"/>
      <c r="Q3" s="294"/>
      <c r="R3" s="294"/>
    </row>
    <row r="4" spans="1:84" s="296" customFormat="1" ht="17.25" customHeight="1" x14ac:dyDescent="0.2">
      <c r="B4" s="697"/>
      <c r="C4" s="697" t="s">
        <v>3457</v>
      </c>
      <c r="D4" s="697"/>
      <c r="E4" s="575" t="str">
        <f>Txt_Pat_PatNo</f>
        <v/>
      </c>
      <c r="F4" s="576"/>
      <c r="G4" s="571"/>
      <c r="H4" s="569" t="s">
        <v>208</v>
      </c>
      <c r="I4" s="697" t="str">
        <f ca="1">Txt_Pat_Leeftijd</f>
        <v/>
      </c>
      <c r="J4" s="577"/>
      <c r="K4" s="697" t="str">
        <f>Txt_Pat_Oppervlak</f>
        <v>Lichamelijk oppervlak:</v>
      </c>
      <c r="L4" s="569"/>
      <c r="M4" s="569"/>
      <c r="N4" s="697"/>
      <c r="O4" s="697"/>
      <c r="P4" s="295"/>
      <c r="Q4" s="295"/>
      <c r="R4" s="295"/>
    </row>
    <row r="5" spans="1:84" s="296" customFormat="1" ht="8.1" customHeight="1" x14ac:dyDescent="0.2">
      <c r="B5" s="697"/>
      <c r="C5" s="697"/>
      <c r="D5" s="697"/>
      <c r="E5" s="569"/>
      <c r="F5" s="569"/>
      <c r="G5" s="571"/>
      <c r="H5" s="569"/>
      <c r="I5" s="697"/>
      <c r="J5" s="577"/>
      <c r="K5" s="569"/>
      <c r="L5" s="569"/>
      <c r="M5" s="569"/>
      <c r="N5" s="697"/>
      <c r="O5" s="697"/>
      <c r="P5" s="295"/>
      <c r="Q5" s="295"/>
      <c r="R5" s="295"/>
    </row>
    <row r="6" spans="1:84" ht="8.1" customHeight="1" x14ac:dyDescent="0.2">
      <c r="C6" s="297"/>
      <c r="D6" s="298"/>
      <c r="E6" s="699"/>
      <c r="F6" s="299"/>
      <c r="G6" s="300"/>
      <c r="H6" s="699"/>
      <c r="I6" s="301"/>
      <c r="J6" s="699"/>
      <c r="K6" s="699"/>
      <c r="L6" s="699"/>
      <c r="M6" s="699"/>
      <c r="N6" s="699"/>
      <c r="O6" s="298"/>
      <c r="P6" s="295"/>
      <c r="Q6" s="295"/>
      <c r="R6" s="295"/>
      <c r="S6" s="298"/>
      <c r="T6" s="298"/>
      <c r="U6" s="298"/>
      <c r="V6" s="298"/>
      <c r="W6" s="298"/>
      <c r="X6" s="298"/>
      <c r="Y6" s="298"/>
      <c r="Z6" s="298"/>
      <c r="AA6" s="298"/>
      <c r="AB6" s="302"/>
      <c r="AC6" s="302"/>
      <c r="AD6" s="302"/>
      <c r="AE6" s="302"/>
      <c r="AF6" s="302"/>
      <c r="AG6" s="302"/>
      <c r="AH6" s="302"/>
      <c r="AI6" s="302"/>
      <c r="AJ6" s="302"/>
      <c r="AK6" s="302"/>
      <c r="AL6" s="302"/>
      <c r="AM6" s="302"/>
      <c r="AN6" s="302"/>
      <c r="AO6" s="302"/>
      <c r="AP6" s="302"/>
      <c r="AQ6" s="302"/>
      <c r="AR6" s="302"/>
      <c r="AS6" s="302"/>
      <c r="AT6" s="302"/>
      <c r="AU6" s="302"/>
      <c r="AV6" s="302"/>
      <c r="AW6" s="302"/>
      <c r="AX6" s="302"/>
      <c r="AY6" s="302"/>
      <c r="AZ6" s="302"/>
      <c r="BA6" s="302"/>
      <c r="BB6" s="302"/>
      <c r="BC6" s="302"/>
      <c r="BD6" s="302"/>
      <c r="BE6" s="302"/>
      <c r="BF6" s="302"/>
      <c r="BG6" s="302"/>
      <c r="BH6" s="302"/>
      <c r="BI6" s="302"/>
      <c r="BJ6" s="302"/>
      <c r="BK6" s="302"/>
      <c r="BL6" s="302"/>
      <c r="BM6" s="302"/>
      <c r="BN6" s="302"/>
      <c r="BO6" s="302"/>
      <c r="BP6" s="302"/>
      <c r="BQ6" s="302"/>
      <c r="BR6" s="302"/>
      <c r="BS6" s="302"/>
      <c r="BT6" s="302"/>
      <c r="BU6" s="302"/>
      <c r="BV6" s="302"/>
      <c r="BW6" s="302"/>
      <c r="BX6" s="302"/>
      <c r="BY6" s="302"/>
      <c r="BZ6" s="302"/>
      <c r="CA6" s="302"/>
      <c r="CB6" s="302"/>
      <c r="CC6" s="302"/>
      <c r="CD6" s="302"/>
      <c r="CE6" s="302"/>
      <c r="CF6" s="302"/>
    </row>
    <row r="7" spans="1:84" ht="20.100000000000001" customHeight="1" x14ac:dyDescent="0.2">
      <c r="B7" s="610" t="s">
        <v>3291</v>
      </c>
      <c r="C7" s="610"/>
      <c r="D7" s="610"/>
      <c r="E7" s="611" t="s">
        <v>254</v>
      </c>
      <c r="F7" s="610" t="s">
        <v>153</v>
      </c>
      <c r="G7" s="612" t="s">
        <v>235</v>
      </c>
      <c r="H7" s="612" t="s">
        <v>110</v>
      </c>
      <c r="I7" s="612" t="s">
        <v>42</v>
      </c>
      <c r="J7" s="612" t="s">
        <v>255</v>
      </c>
      <c r="K7" s="612" t="s">
        <v>3285</v>
      </c>
      <c r="L7" s="612" t="s">
        <v>85</v>
      </c>
      <c r="M7" s="612" t="s">
        <v>251</v>
      </c>
      <c r="N7" s="612"/>
      <c r="O7" s="612"/>
      <c r="P7" s="295"/>
      <c r="Q7" s="295"/>
      <c r="R7" s="295"/>
      <c r="S7" s="303"/>
      <c r="T7" s="303"/>
      <c r="U7" s="303"/>
      <c r="V7" s="295"/>
      <c r="W7" s="295"/>
      <c r="X7" s="295"/>
      <c r="Y7" s="295"/>
      <c r="Z7" s="295"/>
      <c r="AA7" s="295"/>
      <c r="AC7" s="302"/>
      <c r="AH7" s="302"/>
      <c r="AI7" s="302"/>
      <c r="AJ7" s="302"/>
      <c r="AK7" s="302"/>
      <c r="AL7" s="302"/>
      <c r="AM7" s="302"/>
      <c r="AN7" s="302"/>
      <c r="AO7" s="302"/>
      <c r="AP7" s="302"/>
      <c r="AQ7" s="302"/>
      <c r="AR7" s="302"/>
      <c r="AS7" s="302"/>
      <c r="AT7" s="302"/>
      <c r="AU7" s="302"/>
      <c r="AV7" s="302"/>
      <c r="AW7" s="302"/>
      <c r="AX7" s="302"/>
      <c r="AY7" s="302"/>
      <c r="AZ7" s="302"/>
      <c r="BA7" s="302"/>
      <c r="BB7" s="302"/>
      <c r="BC7" s="302"/>
      <c r="BD7" s="302"/>
      <c r="BE7" s="302"/>
      <c r="BF7" s="302"/>
      <c r="BG7" s="302"/>
      <c r="BH7" s="302"/>
      <c r="BI7" s="302"/>
      <c r="BJ7" s="302"/>
      <c r="BK7" s="302"/>
      <c r="BL7" s="302"/>
      <c r="BM7" s="302"/>
      <c r="BN7" s="302"/>
      <c r="BO7" s="302"/>
      <c r="BP7" s="302"/>
      <c r="BQ7" s="302"/>
      <c r="BR7" s="302"/>
      <c r="BS7" s="302"/>
      <c r="BT7" s="302"/>
      <c r="BU7" s="302"/>
      <c r="BV7" s="302"/>
      <c r="BW7" s="302"/>
      <c r="BX7" s="302"/>
      <c r="BY7" s="302"/>
      <c r="BZ7" s="302"/>
      <c r="CA7" s="302"/>
      <c r="CB7" s="302"/>
      <c r="CC7" s="302"/>
      <c r="CD7" s="302"/>
      <c r="CE7" s="302"/>
      <c r="CF7" s="302"/>
    </row>
    <row r="8" spans="1:84" ht="8.1" customHeight="1" x14ac:dyDescent="0.2">
      <c r="C8" s="298"/>
      <c r="D8" s="298"/>
      <c r="E8" s="298"/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4"/>
      <c r="Q8" s="294"/>
      <c r="R8" s="294"/>
      <c r="S8" s="298"/>
      <c r="T8" s="298"/>
      <c r="U8" s="298"/>
      <c r="V8" s="298"/>
      <c r="W8" s="298"/>
      <c r="X8" s="298"/>
      <c r="Y8" s="298"/>
      <c r="Z8" s="298"/>
      <c r="AA8" s="298"/>
      <c r="AC8" s="302"/>
      <c r="AH8" s="302"/>
      <c r="AI8" s="302"/>
      <c r="AJ8" s="302"/>
      <c r="AK8" s="302"/>
      <c r="AL8" s="302"/>
      <c r="AM8" s="302"/>
      <c r="AN8" s="302"/>
      <c r="AO8" s="302"/>
      <c r="AP8" s="302"/>
      <c r="AQ8" s="302"/>
      <c r="AR8" s="302"/>
      <c r="AS8" s="302"/>
      <c r="AT8" s="302"/>
      <c r="AU8" s="302"/>
      <c r="AV8" s="302"/>
      <c r="AW8" s="302"/>
      <c r="AX8" s="302"/>
      <c r="AY8" s="302"/>
      <c r="AZ8" s="302"/>
      <c r="BA8" s="302"/>
      <c r="BB8" s="302"/>
      <c r="BC8" s="302"/>
      <c r="BD8" s="302"/>
      <c r="BE8" s="302"/>
      <c r="BF8" s="302"/>
      <c r="BG8" s="302"/>
      <c r="BH8" s="302"/>
      <c r="BI8" s="302"/>
      <c r="BJ8" s="302"/>
      <c r="BK8" s="302"/>
      <c r="BL8" s="302"/>
      <c r="BM8" s="302"/>
      <c r="BN8" s="302"/>
      <c r="BO8" s="302"/>
      <c r="BP8" s="302"/>
      <c r="BQ8" s="302"/>
      <c r="BR8" s="302"/>
      <c r="BS8" s="302"/>
      <c r="BT8" s="302"/>
      <c r="BU8" s="302"/>
      <c r="BV8" s="302"/>
      <c r="BW8" s="302"/>
      <c r="BX8" s="302"/>
      <c r="BY8" s="302"/>
      <c r="BZ8" s="302"/>
      <c r="CA8" s="302"/>
      <c r="CB8" s="302"/>
      <c r="CC8" s="302"/>
      <c r="CD8" s="302"/>
      <c r="CE8" s="302"/>
      <c r="CF8" s="302"/>
    </row>
    <row r="9" spans="1:84" ht="20.100000000000001" customHeight="1" thickBot="1" x14ac:dyDescent="0.25">
      <c r="B9" s="462" t="str">
        <f>PedBerMedIV!AD5</f>
        <v/>
      </c>
      <c r="C9" s="462" t="str">
        <f>PedBerMedIV!AE5</f>
        <v/>
      </c>
      <c r="D9" s="598">
        <v>1</v>
      </c>
      <c r="E9" s="466">
        <f>PedBerMedIV!C5</f>
        <v>1</v>
      </c>
      <c r="F9" s="467" t="str">
        <f>PedBerMedIV!AG5</f>
        <v/>
      </c>
      <c r="G9" s="467" t="str">
        <f>PedBerMedIV!AH5</f>
        <v/>
      </c>
      <c r="H9" s="437"/>
      <c r="I9" s="437" t="str">
        <f>PedBerMedIV!AJ5</f>
        <v/>
      </c>
      <c r="J9" s="437" t="str">
        <f>PedBerMedIV!AK5</f>
        <v/>
      </c>
      <c r="K9" s="437" t="str">
        <f>PedBerMedIV!AL5</f>
        <v/>
      </c>
      <c r="L9" s="437" t="str">
        <f>PedBerMedIV!AM5</f>
        <v/>
      </c>
      <c r="M9" s="437" t="str">
        <f>PedBerMedIV!AN5</f>
        <v/>
      </c>
      <c r="N9" s="437"/>
      <c r="O9" s="437"/>
      <c r="P9" s="295"/>
      <c r="Q9" s="295"/>
      <c r="R9" s="295"/>
      <c r="S9" s="298"/>
      <c r="T9" s="298"/>
      <c r="U9" s="298"/>
      <c r="V9" s="298"/>
      <c r="W9" s="298"/>
      <c r="X9" s="298"/>
      <c r="Y9" s="298"/>
      <c r="Z9" s="298"/>
      <c r="AA9" s="298"/>
      <c r="AC9" s="302"/>
      <c r="AD9" s="425">
        <f>IF(E9&lt;&gt;0,INDEX(Tbl_Ped_MedContIV,PedBerMedIV!$C5,6)*(PedBerMedIV!G5/10))</f>
        <v>0</v>
      </c>
      <c r="AE9" s="425">
        <f>IF(AD9&gt;=10,0,IF(AD9&gt;=1,1,IF(AD9&gt;=0,2,IF(AD9&gt;=0.1,3,IF(AD9&gt;=0.01,4,5)))))</f>
        <v>2</v>
      </c>
      <c r="AF9" s="425">
        <f>ROUND(AD9,AE9)</f>
        <v>0</v>
      </c>
      <c r="AH9" s="302"/>
      <c r="AI9" s="302"/>
      <c r="AJ9" s="302"/>
      <c r="AK9" s="302"/>
      <c r="AL9" s="302"/>
      <c r="AM9" s="302"/>
      <c r="AN9" s="302"/>
      <c r="AO9" s="302"/>
      <c r="AP9" s="302"/>
      <c r="AQ9" s="302"/>
      <c r="AR9" s="302"/>
      <c r="AS9" s="302"/>
      <c r="AT9" s="302"/>
      <c r="AU9" s="302"/>
      <c r="AV9" s="302"/>
      <c r="AW9" s="302"/>
      <c r="AX9" s="302"/>
      <c r="AY9" s="302"/>
      <c r="AZ9" s="302"/>
      <c r="BA9" s="302"/>
      <c r="BB9" s="302"/>
      <c r="BC9" s="302"/>
      <c r="BD9" s="302"/>
      <c r="BE9" s="302"/>
      <c r="BF9" s="302"/>
      <c r="BG9" s="302"/>
      <c r="BH9" s="302"/>
      <c r="BI9" s="302"/>
      <c r="BJ9" s="302"/>
      <c r="BK9" s="302"/>
      <c r="BL9" s="302"/>
      <c r="BM9" s="302"/>
      <c r="BN9" s="302"/>
      <c r="BO9" s="302"/>
      <c r="BP9" s="302"/>
      <c r="BQ9" s="302"/>
      <c r="BR9" s="302"/>
      <c r="BS9" s="302"/>
      <c r="BT9" s="302"/>
      <c r="BU9" s="302"/>
      <c r="BV9" s="302"/>
      <c r="BW9" s="302"/>
      <c r="BX9" s="302"/>
      <c r="BY9" s="302"/>
      <c r="BZ9" s="302"/>
      <c r="CA9" s="302"/>
      <c r="CB9" s="302"/>
      <c r="CC9" s="302"/>
      <c r="CD9" s="302"/>
      <c r="CE9" s="302"/>
      <c r="CF9" s="302"/>
    </row>
    <row r="10" spans="1:84" ht="20.100000000000001" customHeight="1" thickTop="1" thickBot="1" x14ac:dyDescent="0.25">
      <c r="B10" s="462" t="str">
        <f>PedBerMedIV!AD6</f>
        <v/>
      </c>
      <c r="C10" s="462" t="str">
        <f>PedBerMedIV!AE6</f>
        <v/>
      </c>
      <c r="D10" s="598">
        <v>2</v>
      </c>
      <c r="E10" s="426">
        <f>PedBerMedIV!C6</f>
        <v>1</v>
      </c>
      <c r="F10" s="428" t="str">
        <f>PedBerMedIV!AG6</f>
        <v/>
      </c>
      <c r="G10" s="428" t="str">
        <f>PedBerMedIV!AH6</f>
        <v/>
      </c>
      <c r="H10" s="430"/>
      <c r="I10" s="430" t="str">
        <f>PedBerMedIV!AJ6</f>
        <v/>
      </c>
      <c r="J10" s="430" t="str">
        <f>PedBerMedIV!AK6</f>
        <v/>
      </c>
      <c r="K10" s="430" t="str">
        <f>PedBerMedIV!AL6</f>
        <v/>
      </c>
      <c r="L10" s="430" t="str">
        <f>PedBerMedIV!AM6</f>
        <v/>
      </c>
      <c r="M10" s="430" t="str">
        <f>PedBerMedIV!AN6</f>
        <v/>
      </c>
      <c r="N10" s="430"/>
      <c r="O10" s="430"/>
      <c r="P10" s="294"/>
      <c r="Q10" s="294"/>
      <c r="R10" s="294"/>
      <c r="S10" s="298"/>
      <c r="T10" s="298"/>
      <c r="U10" s="298"/>
      <c r="V10" s="298"/>
      <c r="W10" s="298"/>
      <c r="X10" s="298"/>
      <c r="Y10" s="298"/>
      <c r="Z10" s="298"/>
      <c r="AA10" s="298"/>
      <c r="AC10" s="302"/>
      <c r="AD10" s="425">
        <f>IF(E10&lt;&gt;0,INDEX(Tbl_Ped_MedContIV,PedBerMedIV!$C6,6)*(PedBerMedIV!G6/10))</f>
        <v>0</v>
      </c>
      <c r="AE10" s="425">
        <f t="shared" ref="AE10:AE18" si="0">IF(AD10&gt;=10,0,IF(AD10&gt;=1,1,IF(AD10&gt;=0,2,IF(AD10&gt;=0.1,3,IF(AD10&gt;=0.01,4,5)))))</f>
        <v>2</v>
      </c>
      <c r="AF10" s="425">
        <f t="shared" ref="AF10:AF18" si="1">ROUND(AD10,AE10)</f>
        <v>0</v>
      </c>
      <c r="AH10" s="302"/>
      <c r="AI10" s="302"/>
      <c r="AJ10" s="302"/>
      <c r="AK10" s="302"/>
      <c r="AL10" s="302"/>
      <c r="AM10" s="302"/>
      <c r="AN10" s="302"/>
      <c r="AO10" s="302"/>
      <c r="AP10" s="302"/>
      <c r="AQ10" s="302"/>
      <c r="AR10" s="302"/>
      <c r="AS10" s="302"/>
      <c r="AT10" s="302"/>
      <c r="AU10" s="302"/>
      <c r="AV10" s="302"/>
      <c r="AW10" s="302"/>
      <c r="AX10" s="302"/>
      <c r="AY10" s="302"/>
      <c r="AZ10" s="302"/>
      <c r="BA10" s="302"/>
      <c r="BB10" s="302"/>
      <c r="BC10" s="302"/>
      <c r="BD10" s="302"/>
      <c r="BE10" s="302"/>
      <c r="BF10" s="302"/>
      <c r="BG10" s="302"/>
      <c r="BH10" s="302"/>
      <c r="BI10" s="302"/>
      <c r="BJ10" s="302"/>
      <c r="BK10" s="302"/>
      <c r="BL10" s="302"/>
      <c r="BM10" s="302"/>
      <c r="BN10" s="302"/>
      <c r="BO10" s="302"/>
      <c r="BP10" s="302"/>
      <c r="BQ10" s="302"/>
      <c r="BR10" s="302"/>
      <c r="BS10" s="302"/>
      <c r="BT10" s="302"/>
      <c r="BU10" s="302"/>
      <c r="BV10" s="302"/>
      <c r="BW10" s="302"/>
      <c r="BX10" s="302"/>
      <c r="BY10" s="302"/>
      <c r="BZ10" s="302"/>
      <c r="CA10" s="302"/>
      <c r="CB10" s="302"/>
      <c r="CC10" s="302"/>
      <c r="CD10" s="302"/>
      <c r="CE10" s="302"/>
      <c r="CF10" s="302"/>
    </row>
    <row r="11" spans="1:84" ht="20.100000000000001" customHeight="1" thickTop="1" thickBot="1" x14ac:dyDescent="0.25">
      <c r="B11" s="462" t="str">
        <f>PedBerMedIV!AD7</f>
        <v/>
      </c>
      <c r="C11" s="462" t="str">
        <f>PedBerMedIV!AE7</f>
        <v/>
      </c>
      <c r="D11" s="598">
        <v>3</v>
      </c>
      <c r="E11" s="426">
        <f>PedBerMedIV!C7</f>
        <v>1</v>
      </c>
      <c r="F11" s="428" t="str">
        <f>PedBerMedIV!AG7</f>
        <v/>
      </c>
      <c r="G11" s="428" t="str">
        <f>PedBerMedIV!AH7</f>
        <v/>
      </c>
      <c r="H11" s="430"/>
      <c r="I11" s="430" t="str">
        <f>PedBerMedIV!AJ7</f>
        <v/>
      </c>
      <c r="J11" s="430" t="str">
        <f>PedBerMedIV!AK7</f>
        <v/>
      </c>
      <c r="K11" s="430" t="str">
        <f>PedBerMedIV!AL7</f>
        <v/>
      </c>
      <c r="L11" s="430" t="str">
        <f>PedBerMedIV!AM7</f>
        <v/>
      </c>
      <c r="M11" s="430" t="str">
        <f>PedBerMedIV!AN7</f>
        <v/>
      </c>
      <c r="N11" s="430"/>
      <c r="O11" s="430"/>
      <c r="P11" s="294"/>
      <c r="Q11" s="294"/>
      <c r="R11" s="294"/>
      <c r="S11" s="298"/>
      <c r="T11" s="298"/>
      <c r="U11" s="298"/>
      <c r="V11" s="298"/>
      <c r="W11" s="298"/>
      <c r="X11" s="298"/>
      <c r="Y11" s="298"/>
      <c r="Z11" s="298"/>
      <c r="AA11" s="298"/>
      <c r="AC11" s="302"/>
      <c r="AD11" s="425">
        <f>IF(E11&lt;&gt;0,INDEX(Tbl_Ped_MedContIV,PedBerMedIV!$C7,6)*(PedBerMedIV!G7/10))</f>
        <v>0</v>
      </c>
      <c r="AE11" s="425">
        <f t="shared" si="0"/>
        <v>2</v>
      </c>
      <c r="AF11" s="425">
        <f t="shared" si="1"/>
        <v>0</v>
      </c>
      <c r="AH11" s="302"/>
      <c r="AI11" s="302"/>
      <c r="AJ11" s="302"/>
      <c r="AK11" s="302"/>
      <c r="AL11" s="302"/>
      <c r="AM11" s="302"/>
      <c r="AN11" s="302"/>
      <c r="AO11" s="302"/>
      <c r="AP11" s="302"/>
      <c r="AQ11" s="302"/>
      <c r="AR11" s="302"/>
      <c r="AS11" s="302"/>
      <c r="AT11" s="302"/>
      <c r="AU11" s="302"/>
      <c r="AV11" s="302"/>
      <c r="AW11" s="302"/>
      <c r="AX11" s="302"/>
      <c r="AY11" s="302"/>
      <c r="AZ11" s="302"/>
      <c r="BA11" s="302"/>
      <c r="BB11" s="302"/>
      <c r="BC11" s="302"/>
      <c r="BD11" s="302"/>
      <c r="BE11" s="302"/>
      <c r="BF11" s="302"/>
      <c r="BG11" s="302"/>
      <c r="BH11" s="302"/>
      <c r="BI11" s="302"/>
      <c r="BJ11" s="302"/>
      <c r="BK11" s="302"/>
      <c r="BL11" s="302"/>
      <c r="BM11" s="302"/>
      <c r="BN11" s="302"/>
      <c r="BO11" s="302"/>
      <c r="BP11" s="302"/>
      <c r="BQ11" s="302"/>
      <c r="BR11" s="302"/>
      <c r="BS11" s="302"/>
      <c r="BT11" s="302"/>
      <c r="BU11" s="302"/>
      <c r="BV11" s="302"/>
      <c r="BW11" s="302"/>
      <c r="BX11" s="302"/>
      <c r="BY11" s="302"/>
      <c r="BZ11" s="302"/>
      <c r="CA11" s="302"/>
      <c r="CB11" s="302"/>
      <c r="CC11" s="302"/>
      <c r="CD11" s="302"/>
      <c r="CE11" s="302"/>
      <c r="CF11" s="302"/>
    </row>
    <row r="12" spans="1:84" ht="20.100000000000001" customHeight="1" thickTop="1" thickBot="1" x14ac:dyDescent="0.25">
      <c r="B12" s="462" t="str">
        <f>PedBerMedIV!AD8</f>
        <v/>
      </c>
      <c r="C12" s="462" t="str">
        <f>PedBerMedIV!AE8</f>
        <v/>
      </c>
      <c r="D12" s="598">
        <v>4</v>
      </c>
      <c r="E12" s="426">
        <f>PedBerMedIV!C8</f>
        <v>1</v>
      </c>
      <c r="F12" s="428" t="str">
        <f>PedBerMedIV!AG8</f>
        <v/>
      </c>
      <c r="G12" s="428" t="str">
        <f>PedBerMedIV!AH8</f>
        <v/>
      </c>
      <c r="H12" s="430"/>
      <c r="I12" s="430" t="str">
        <f>PedBerMedIV!AJ8</f>
        <v/>
      </c>
      <c r="J12" s="430" t="str">
        <f>PedBerMedIV!AK8</f>
        <v/>
      </c>
      <c r="K12" s="430" t="str">
        <f>PedBerMedIV!AL8</f>
        <v/>
      </c>
      <c r="L12" s="430" t="str">
        <f>PedBerMedIV!AM8</f>
        <v/>
      </c>
      <c r="M12" s="430" t="str">
        <f>PedBerMedIV!AN8</f>
        <v/>
      </c>
      <c r="N12" s="430"/>
      <c r="O12" s="430"/>
      <c r="P12" s="298"/>
      <c r="Q12" s="298"/>
      <c r="R12" s="298"/>
      <c r="S12" s="298"/>
      <c r="T12" s="298"/>
      <c r="U12" s="298"/>
      <c r="V12" s="298"/>
      <c r="W12" s="298"/>
      <c r="X12" s="298"/>
      <c r="Y12" s="298"/>
      <c r="Z12" s="298"/>
      <c r="AA12" s="298"/>
      <c r="AC12" s="302"/>
      <c r="AD12" s="425">
        <f>IF(E12&lt;&gt;0,INDEX(Tbl_Ped_MedContIV,PedBerMedIV!$C8,6)*(PedBerMedIV!G8/10))</f>
        <v>0</v>
      </c>
      <c r="AE12" s="425">
        <f t="shared" si="0"/>
        <v>2</v>
      </c>
      <c r="AF12" s="425">
        <f t="shared" si="1"/>
        <v>0</v>
      </c>
      <c r="AH12" s="302"/>
      <c r="AI12" s="302"/>
      <c r="AJ12" s="302"/>
      <c r="AK12" s="302"/>
      <c r="AL12" s="302"/>
      <c r="AM12" s="302"/>
      <c r="AN12" s="302"/>
      <c r="AO12" s="302"/>
      <c r="AP12" s="302"/>
      <c r="AQ12" s="302"/>
      <c r="AR12" s="302"/>
      <c r="AS12" s="302"/>
      <c r="AT12" s="302"/>
      <c r="AU12" s="302"/>
      <c r="AV12" s="302"/>
      <c r="AW12" s="302"/>
      <c r="AX12" s="302"/>
      <c r="AY12" s="302"/>
      <c r="AZ12" s="302"/>
      <c r="BA12" s="302"/>
      <c r="BB12" s="302"/>
      <c r="BC12" s="302"/>
      <c r="BD12" s="302"/>
      <c r="BE12" s="302"/>
      <c r="BF12" s="302"/>
      <c r="BG12" s="302"/>
      <c r="BH12" s="302"/>
      <c r="BI12" s="302"/>
      <c r="BJ12" s="302"/>
      <c r="BK12" s="302"/>
      <c r="BL12" s="302"/>
      <c r="BM12" s="302"/>
      <c r="BN12" s="302"/>
      <c r="BO12" s="302"/>
      <c r="BP12" s="302"/>
      <c r="BQ12" s="302"/>
      <c r="BR12" s="302"/>
      <c r="BS12" s="302"/>
      <c r="BT12" s="302"/>
      <c r="BU12" s="302"/>
      <c r="BV12" s="302"/>
      <c r="BW12" s="302"/>
      <c r="BX12" s="302"/>
      <c r="BY12" s="302"/>
      <c r="BZ12" s="302"/>
      <c r="CA12" s="302"/>
      <c r="CB12" s="302"/>
      <c r="CC12" s="302"/>
      <c r="CD12" s="302"/>
      <c r="CE12" s="302"/>
      <c r="CF12" s="302"/>
    </row>
    <row r="13" spans="1:84" ht="20.100000000000001" customHeight="1" thickTop="1" thickBot="1" x14ac:dyDescent="0.25">
      <c r="B13" s="462" t="str">
        <f>PedBerMedIV!AD9</f>
        <v/>
      </c>
      <c r="C13" s="462" t="str">
        <f>PedBerMedIV!AE9</f>
        <v/>
      </c>
      <c r="D13" s="598">
        <v>5</v>
      </c>
      <c r="E13" s="426">
        <f>PedBerMedIV!C9</f>
        <v>1</v>
      </c>
      <c r="F13" s="428" t="str">
        <f>PedBerMedIV!AG9</f>
        <v/>
      </c>
      <c r="G13" s="428" t="str">
        <f>PedBerMedIV!AH9</f>
        <v/>
      </c>
      <c r="H13" s="430"/>
      <c r="I13" s="430" t="str">
        <f>PedBerMedIV!AJ9</f>
        <v/>
      </c>
      <c r="J13" s="430" t="str">
        <f>PedBerMedIV!AK9</f>
        <v/>
      </c>
      <c r="K13" s="430" t="str">
        <f>PedBerMedIV!AL9</f>
        <v/>
      </c>
      <c r="L13" s="430" t="str">
        <f>PedBerMedIV!AM9</f>
        <v/>
      </c>
      <c r="M13" s="430" t="str">
        <f>PedBerMedIV!AN9</f>
        <v/>
      </c>
      <c r="N13" s="430"/>
      <c r="O13" s="430"/>
      <c r="P13" s="298"/>
      <c r="Q13" s="298"/>
      <c r="R13" s="298"/>
      <c r="S13" s="298"/>
      <c r="T13" s="298"/>
      <c r="U13" s="298"/>
      <c r="V13" s="298"/>
      <c r="W13" s="298"/>
      <c r="X13" s="298"/>
      <c r="Y13" s="298"/>
      <c r="Z13" s="298"/>
      <c r="AA13" s="298"/>
      <c r="AC13" s="302"/>
      <c r="AD13" s="425">
        <f>IF(E13&lt;&gt;0,INDEX(Tbl_Ped_MedContIV,PedBerMedIV!$C9,6)*(PedBerMedIV!G9/10))</f>
        <v>0</v>
      </c>
      <c r="AE13" s="425">
        <f t="shared" si="0"/>
        <v>2</v>
      </c>
      <c r="AF13" s="425">
        <f t="shared" si="1"/>
        <v>0</v>
      </c>
      <c r="AH13" s="302"/>
      <c r="AI13" s="302"/>
      <c r="AJ13" s="302"/>
      <c r="AK13" s="302"/>
      <c r="AL13" s="302"/>
      <c r="AM13" s="302"/>
      <c r="AN13" s="302"/>
      <c r="AO13" s="302"/>
      <c r="AP13" s="302"/>
      <c r="AQ13" s="302"/>
      <c r="AR13" s="302"/>
      <c r="AS13" s="302"/>
      <c r="AT13" s="302"/>
      <c r="AU13" s="302"/>
      <c r="AV13" s="302"/>
      <c r="AW13" s="302"/>
      <c r="AX13" s="302"/>
      <c r="AY13" s="302"/>
      <c r="AZ13" s="302"/>
      <c r="BA13" s="302"/>
      <c r="BB13" s="302"/>
      <c r="BC13" s="302"/>
      <c r="BD13" s="302"/>
      <c r="BE13" s="302"/>
      <c r="BF13" s="302"/>
      <c r="BG13" s="302"/>
      <c r="BH13" s="302"/>
      <c r="BI13" s="302"/>
      <c r="BJ13" s="302"/>
      <c r="BK13" s="302"/>
      <c r="BL13" s="302"/>
      <c r="BM13" s="302"/>
      <c r="BN13" s="302"/>
      <c r="BO13" s="302"/>
      <c r="BP13" s="302"/>
      <c r="BQ13" s="302"/>
      <c r="BR13" s="302"/>
      <c r="BS13" s="302"/>
      <c r="BT13" s="302"/>
      <c r="BU13" s="302"/>
      <c r="BV13" s="302"/>
      <c r="BW13" s="302"/>
      <c r="BX13" s="302"/>
      <c r="BY13" s="302"/>
      <c r="BZ13" s="302"/>
      <c r="CA13" s="302"/>
      <c r="CB13" s="302"/>
      <c r="CC13" s="302"/>
      <c r="CD13" s="302"/>
      <c r="CE13" s="302"/>
      <c r="CF13" s="302"/>
    </row>
    <row r="14" spans="1:84" ht="20.100000000000001" customHeight="1" thickTop="1" thickBot="1" x14ac:dyDescent="0.25">
      <c r="B14" s="462" t="str">
        <f>PedBerMedIV!AD10</f>
        <v/>
      </c>
      <c r="C14" s="462" t="str">
        <f>PedBerMedIV!AE10</f>
        <v/>
      </c>
      <c r="D14" s="598">
        <v>6</v>
      </c>
      <c r="E14" s="426">
        <f>PedBerMedIV!C10</f>
        <v>1</v>
      </c>
      <c r="F14" s="428" t="str">
        <f>PedBerMedIV!AG10</f>
        <v/>
      </c>
      <c r="G14" s="428" t="str">
        <f>PedBerMedIV!AH10</f>
        <v/>
      </c>
      <c r="H14" s="430"/>
      <c r="I14" s="430" t="str">
        <f>PedBerMedIV!AJ10</f>
        <v/>
      </c>
      <c r="J14" s="430" t="str">
        <f>PedBerMedIV!AK10</f>
        <v/>
      </c>
      <c r="K14" s="430" t="str">
        <f>PedBerMedIV!AL10</f>
        <v/>
      </c>
      <c r="L14" s="430" t="str">
        <f>PedBerMedIV!AM10</f>
        <v/>
      </c>
      <c r="M14" s="430" t="str">
        <f>PedBerMedIV!AN10</f>
        <v/>
      </c>
      <c r="N14" s="430"/>
      <c r="O14" s="430"/>
      <c r="P14" s="298"/>
      <c r="Q14" s="298"/>
      <c r="R14" s="298"/>
      <c r="S14" s="298"/>
      <c r="T14" s="298"/>
      <c r="U14" s="298"/>
      <c r="V14" s="298"/>
      <c r="W14" s="298"/>
      <c r="X14" s="298"/>
      <c r="Y14" s="298"/>
      <c r="Z14" s="298"/>
      <c r="AA14" s="298"/>
      <c r="AC14" s="302"/>
      <c r="AD14" s="425">
        <f>IF(E14&lt;&gt;0,INDEX(Tbl_Ped_MedContIV,PedBerMedIV!$C10,6)*(PedBerMedIV!G10/10))</f>
        <v>0</v>
      </c>
      <c r="AE14" s="425">
        <f t="shared" si="0"/>
        <v>2</v>
      </c>
      <c r="AF14" s="425">
        <f t="shared" si="1"/>
        <v>0</v>
      </c>
      <c r="AH14" s="302"/>
      <c r="AI14" s="302"/>
      <c r="AJ14" s="302"/>
      <c r="AK14" s="302"/>
      <c r="AL14" s="302"/>
      <c r="AM14" s="302"/>
      <c r="AN14" s="302"/>
      <c r="AO14" s="302"/>
      <c r="AP14" s="302"/>
      <c r="AQ14" s="302"/>
      <c r="AR14" s="302"/>
      <c r="AS14" s="302"/>
      <c r="AT14" s="302"/>
      <c r="AU14" s="302"/>
      <c r="AV14" s="302"/>
      <c r="AW14" s="302"/>
      <c r="AX14" s="302"/>
      <c r="AY14" s="302"/>
      <c r="AZ14" s="302"/>
      <c r="BA14" s="302"/>
      <c r="BB14" s="302"/>
      <c r="BC14" s="302"/>
      <c r="BD14" s="302"/>
      <c r="BE14" s="302"/>
      <c r="BF14" s="302"/>
      <c r="BG14" s="302"/>
      <c r="BH14" s="302"/>
      <c r="BI14" s="302"/>
      <c r="BJ14" s="302"/>
      <c r="BK14" s="302"/>
      <c r="BL14" s="302"/>
      <c r="BM14" s="302"/>
      <c r="BN14" s="302"/>
      <c r="BO14" s="302"/>
      <c r="BP14" s="302"/>
      <c r="BQ14" s="302"/>
      <c r="BR14" s="302"/>
      <c r="BS14" s="302"/>
      <c r="BT14" s="302"/>
      <c r="BU14" s="302"/>
      <c r="BV14" s="302"/>
      <c r="BW14" s="302"/>
      <c r="BX14" s="302"/>
      <c r="BY14" s="302"/>
      <c r="BZ14" s="302"/>
      <c r="CA14" s="302"/>
      <c r="CB14" s="302"/>
      <c r="CC14" s="302"/>
      <c r="CD14" s="302"/>
      <c r="CE14" s="302"/>
      <c r="CF14" s="302"/>
    </row>
    <row r="15" spans="1:84" ht="20.100000000000001" customHeight="1" thickTop="1" thickBot="1" x14ac:dyDescent="0.25">
      <c r="B15" s="462" t="str">
        <f>PedBerMedIV!AD11</f>
        <v/>
      </c>
      <c r="C15" s="462" t="str">
        <f>PedBerMedIV!AE11</f>
        <v/>
      </c>
      <c r="D15" s="598">
        <v>7</v>
      </c>
      <c r="E15" s="426">
        <f>PedBerMedIV!C11</f>
        <v>1</v>
      </c>
      <c r="F15" s="428" t="str">
        <f>PedBerMedIV!AG11</f>
        <v/>
      </c>
      <c r="G15" s="428" t="str">
        <f>PedBerMedIV!AH11</f>
        <v/>
      </c>
      <c r="H15" s="430"/>
      <c r="I15" s="430" t="str">
        <f>PedBerMedIV!AJ11</f>
        <v/>
      </c>
      <c r="J15" s="430" t="str">
        <f>PedBerMedIV!AK11</f>
        <v/>
      </c>
      <c r="K15" s="430" t="str">
        <f>PedBerMedIV!AL11</f>
        <v/>
      </c>
      <c r="L15" s="430" t="str">
        <f>PedBerMedIV!AM11</f>
        <v/>
      </c>
      <c r="M15" s="430" t="str">
        <f>PedBerMedIV!AN11</f>
        <v/>
      </c>
      <c r="N15" s="430"/>
      <c r="O15" s="430"/>
      <c r="P15" s="298"/>
      <c r="Q15" s="298"/>
      <c r="R15" s="298"/>
      <c r="S15" s="298"/>
      <c r="T15" s="298"/>
      <c r="U15" s="298"/>
      <c r="V15" s="298"/>
      <c r="W15" s="298"/>
      <c r="X15" s="298"/>
      <c r="Y15" s="298"/>
      <c r="Z15" s="298"/>
      <c r="AA15" s="298"/>
      <c r="AC15" s="302"/>
      <c r="AD15" s="425">
        <f>IF(E15&lt;&gt;0,INDEX(Tbl_Ped_MedContIV,PedBerMedIV!$C11,6)*(PedBerMedIV!G11/10))</f>
        <v>0</v>
      </c>
      <c r="AE15" s="425">
        <f t="shared" si="0"/>
        <v>2</v>
      </c>
      <c r="AF15" s="425">
        <f t="shared" si="1"/>
        <v>0</v>
      </c>
      <c r="AH15" s="302"/>
      <c r="AI15" s="302"/>
      <c r="AJ15" s="302"/>
      <c r="AK15" s="302"/>
      <c r="AL15" s="302"/>
      <c r="AM15" s="302"/>
      <c r="AN15" s="302"/>
      <c r="AO15" s="302"/>
      <c r="AP15" s="302"/>
      <c r="AQ15" s="302"/>
      <c r="AR15" s="302"/>
      <c r="AS15" s="302"/>
      <c r="AT15" s="302"/>
      <c r="AU15" s="302"/>
      <c r="AV15" s="302"/>
      <c r="AW15" s="302"/>
      <c r="AX15" s="302"/>
      <c r="AY15" s="302"/>
      <c r="AZ15" s="302"/>
      <c r="BA15" s="302"/>
      <c r="BB15" s="302"/>
      <c r="BC15" s="302"/>
      <c r="BD15" s="302"/>
      <c r="BE15" s="302"/>
      <c r="BF15" s="302"/>
      <c r="BG15" s="302"/>
      <c r="BH15" s="302"/>
      <c r="BI15" s="302"/>
      <c r="BJ15" s="302"/>
      <c r="BK15" s="302"/>
      <c r="BL15" s="302"/>
      <c r="BM15" s="302"/>
      <c r="BN15" s="302"/>
      <c r="BO15" s="302"/>
      <c r="BP15" s="302"/>
      <c r="BQ15" s="302"/>
      <c r="BR15" s="302"/>
      <c r="BS15" s="302"/>
      <c r="BT15" s="302"/>
      <c r="BU15" s="302"/>
      <c r="BV15" s="302"/>
      <c r="BW15" s="302"/>
      <c r="BX15" s="302"/>
      <c r="BY15" s="302"/>
      <c r="BZ15" s="302"/>
      <c r="CA15" s="302"/>
      <c r="CB15" s="302"/>
      <c r="CC15" s="302"/>
      <c r="CD15" s="302"/>
      <c r="CE15" s="302"/>
      <c r="CF15" s="302"/>
    </row>
    <row r="16" spans="1:84" ht="20.100000000000001" customHeight="1" thickTop="1" thickBot="1" x14ac:dyDescent="0.25">
      <c r="B16" s="462" t="str">
        <f>PedBerMedIV!AD12</f>
        <v/>
      </c>
      <c r="C16" s="462" t="str">
        <f>PedBerMedIV!AE12</f>
        <v/>
      </c>
      <c r="D16" s="598">
        <v>8</v>
      </c>
      <c r="E16" s="426">
        <f>PedBerMedIV!C12</f>
        <v>1</v>
      </c>
      <c r="F16" s="428" t="str">
        <f>PedBerMedIV!AG12</f>
        <v/>
      </c>
      <c r="G16" s="428" t="str">
        <f>PedBerMedIV!AH12</f>
        <v/>
      </c>
      <c r="H16" s="430"/>
      <c r="I16" s="430" t="str">
        <f>PedBerMedIV!AJ12</f>
        <v/>
      </c>
      <c r="J16" s="430" t="str">
        <f>PedBerMedIV!AK12</f>
        <v/>
      </c>
      <c r="K16" s="430" t="str">
        <f>PedBerMedIV!AL12</f>
        <v/>
      </c>
      <c r="L16" s="430" t="str">
        <f>PedBerMedIV!AM12</f>
        <v/>
      </c>
      <c r="M16" s="430" t="str">
        <f>PedBerMedIV!AN12</f>
        <v/>
      </c>
      <c r="N16" s="430"/>
      <c r="O16" s="430"/>
      <c r="P16" s="298"/>
      <c r="Q16" s="298"/>
      <c r="R16" s="298"/>
      <c r="S16" s="298"/>
      <c r="T16" s="298"/>
      <c r="U16" s="298"/>
      <c r="V16" s="298"/>
      <c r="W16" s="298"/>
      <c r="X16" s="298"/>
      <c r="Y16" s="298"/>
      <c r="Z16" s="298"/>
      <c r="AA16" s="298"/>
      <c r="AC16" s="302"/>
      <c r="AD16" s="425">
        <f>IF(E16&lt;&gt;0,INDEX(Tbl_Ped_MedContIV,PedBerMedIV!$C12,6)*(PedBerMedIV!G12/10))</f>
        <v>0</v>
      </c>
      <c r="AE16" s="425">
        <f t="shared" si="0"/>
        <v>2</v>
      </c>
      <c r="AF16" s="425">
        <f t="shared" si="1"/>
        <v>0</v>
      </c>
      <c r="AH16" s="302"/>
      <c r="AI16" s="302"/>
      <c r="AJ16" s="302"/>
      <c r="AK16" s="302"/>
      <c r="AL16" s="302"/>
      <c r="AM16" s="302"/>
      <c r="AN16" s="302"/>
      <c r="AO16" s="302"/>
      <c r="AP16" s="302"/>
      <c r="AQ16" s="302"/>
      <c r="AR16" s="302"/>
      <c r="AS16" s="302"/>
      <c r="AT16" s="302"/>
      <c r="AU16" s="302"/>
      <c r="AV16" s="302"/>
      <c r="AW16" s="302"/>
      <c r="AX16" s="302"/>
      <c r="AY16" s="302"/>
      <c r="AZ16" s="302"/>
      <c r="BA16" s="302"/>
      <c r="BB16" s="302"/>
      <c r="BC16" s="302"/>
      <c r="BD16" s="302"/>
      <c r="BE16" s="302"/>
      <c r="BF16" s="302"/>
      <c r="BG16" s="302"/>
      <c r="BH16" s="302"/>
      <c r="BI16" s="302"/>
      <c r="BJ16" s="302"/>
      <c r="BK16" s="302"/>
      <c r="BL16" s="302"/>
      <c r="BM16" s="302"/>
      <c r="BN16" s="302"/>
      <c r="BO16" s="302"/>
      <c r="BP16" s="302"/>
      <c r="BQ16" s="302"/>
      <c r="BR16" s="302"/>
      <c r="BS16" s="302"/>
      <c r="BT16" s="302"/>
      <c r="BU16" s="302"/>
      <c r="BV16" s="302"/>
      <c r="BW16" s="302"/>
      <c r="BX16" s="302"/>
      <c r="BY16" s="302"/>
      <c r="BZ16" s="302"/>
      <c r="CA16" s="302"/>
      <c r="CB16" s="302"/>
      <c r="CC16" s="302"/>
      <c r="CD16" s="302"/>
      <c r="CE16" s="302"/>
      <c r="CF16" s="302"/>
    </row>
    <row r="17" spans="2:84" ht="20.100000000000001" customHeight="1" thickTop="1" thickBot="1" x14ac:dyDescent="0.25">
      <c r="B17" s="462" t="str">
        <f>PedBerMedIV!AD13</f>
        <v/>
      </c>
      <c r="C17" s="462" t="str">
        <f>PedBerMedIV!AE13</f>
        <v/>
      </c>
      <c r="D17" s="598">
        <v>9</v>
      </c>
      <c r="E17" s="426">
        <f>PedBerMedIV!C13</f>
        <v>1</v>
      </c>
      <c r="F17" s="428" t="str">
        <f>PedBerMedIV!AG13</f>
        <v/>
      </c>
      <c r="G17" s="428" t="str">
        <f>PedBerMedIV!AH13</f>
        <v/>
      </c>
      <c r="H17" s="430"/>
      <c r="I17" s="430" t="str">
        <f>PedBerMedIV!AJ13</f>
        <v/>
      </c>
      <c r="J17" s="430" t="str">
        <f>PedBerMedIV!AK13</f>
        <v/>
      </c>
      <c r="K17" s="430" t="str">
        <f>PedBerMedIV!AL13</f>
        <v/>
      </c>
      <c r="L17" s="430" t="str">
        <f>PedBerMedIV!AM13</f>
        <v/>
      </c>
      <c r="M17" s="430" t="str">
        <f>PedBerMedIV!AN13</f>
        <v/>
      </c>
      <c r="N17" s="430"/>
      <c r="O17" s="430"/>
      <c r="P17" s="298"/>
      <c r="Q17" s="298"/>
      <c r="R17" s="298"/>
      <c r="S17" s="298"/>
      <c r="T17" s="298"/>
      <c r="U17" s="298"/>
      <c r="V17" s="298"/>
      <c r="W17" s="298"/>
      <c r="X17" s="298"/>
      <c r="Y17" s="298"/>
      <c r="Z17" s="298"/>
      <c r="AA17" s="298"/>
      <c r="AC17" s="302"/>
      <c r="AD17" s="425">
        <f>IF(E17&lt;&gt;0,INDEX(Tbl_Ped_MedContIV,PedBerMedIV!$C13,6)*(PedBerMedIV!G13/10))</f>
        <v>0</v>
      </c>
      <c r="AE17" s="425">
        <f t="shared" si="0"/>
        <v>2</v>
      </c>
      <c r="AF17" s="425">
        <f t="shared" si="1"/>
        <v>0</v>
      </c>
      <c r="AH17" s="302"/>
      <c r="AI17" s="302"/>
      <c r="AJ17" s="302"/>
      <c r="AK17" s="302"/>
      <c r="AL17" s="302"/>
      <c r="AM17" s="302"/>
      <c r="AN17" s="302"/>
      <c r="AO17" s="302"/>
      <c r="AP17" s="302"/>
      <c r="AQ17" s="302"/>
      <c r="AR17" s="302"/>
      <c r="AS17" s="302"/>
      <c r="AT17" s="302"/>
      <c r="AU17" s="302"/>
      <c r="AV17" s="302"/>
      <c r="AW17" s="302"/>
      <c r="AX17" s="302"/>
      <c r="AY17" s="302"/>
      <c r="AZ17" s="302"/>
      <c r="BA17" s="302"/>
      <c r="BB17" s="302"/>
      <c r="BC17" s="302"/>
      <c r="BD17" s="302"/>
      <c r="BE17" s="302"/>
      <c r="BF17" s="302"/>
      <c r="BG17" s="302"/>
      <c r="BH17" s="302"/>
      <c r="BI17" s="302"/>
      <c r="BJ17" s="302"/>
      <c r="BK17" s="302"/>
      <c r="BL17" s="302"/>
      <c r="BM17" s="302"/>
      <c r="BN17" s="302"/>
      <c r="BO17" s="302"/>
      <c r="BP17" s="302"/>
      <c r="BQ17" s="302"/>
      <c r="BR17" s="302"/>
      <c r="BS17" s="302"/>
      <c r="BT17" s="302"/>
      <c r="BU17" s="302"/>
      <c r="BV17" s="302"/>
      <c r="BW17" s="302"/>
      <c r="BX17" s="302"/>
      <c r="BY17" s="302"/>
      <c r="BZ17" s="302"/>
      <c r="CA17" s="302"/>
      <c r="CB17" s="302"/>
      <c r="CC17" s="302"/>
      <c r="CD17" s="302"/>
      <c r="CE17" s="302"/>
      <c r="CF17" s="302"/>
    </row>
    <row r="18" spans="2:84" ht="20.100000000000001" customHeight="1" thickTop="1" thickBot="1" x14ac:dyDescent="0.25">
      <c r="B18" s="462" t="str">
        <f>PedBerMedIV!AD14</f>
        <v/>
      </c>
      <c r="C18" s="462" t="str">
        <f>PedBerMedIV!AE14</f>
        <v/>
      </c>
      <c r="D18" s="598">
        <v>10</v>
      </c>
      <c r="E18" s="426">
        <f>PedBerMedIV!C14</f>
        <v>1</v>
      </c>
      <c r="F18" s="428" t="str">
        <f>PedBerMedIV!AG14</f>
        <v/>
      </c>
      <c r="G18" s="428" t="str">
        <f>PedBerMedIV!AH14</f>
        <v/>
      </c>
      <c r="H18" s="430"/>
      <c r="I18" s="430" t="str">
        <f>PedBerMedIV!AJ14</f>
        <v/>
      </c>
      <c r="J18" s="430" t="str">
        <f>PedBerMedIV!AK14</f>
        <v/>
      </c>
      <c r="K18" s="430" t="str">
        <f>PedBerMedIV!AL14</f>
        <v/>
      </c>
      <c r="L18" s="430" t="str">
        <f>PedBerMedIV!AM14</f>
        <v/>
      </c>
      <c r="M18" s="430" t="str">
        <f>PedBerMedIV!AN14</f>
        <v/>
      </c>
      <c r="N18" s="430"/>
      <c r="O18" s="430"/>
      <c r="P18" s="298"/>
      <c r="Q18" s="298"/>
      <c r="R18" s="298"/>
      <c r="S18" s="298"/>
      <c r="T18" s="298"/>
      <c r="U18" s="298"/>
      <c r="V18" s="298"/>
      <c r="W18" s="298"/>
      <c r="X18" s="298"/>
      <c r="Y18" s="298"/>
      <c r="Z18" s="298"/>
      <c r="AA18" s="298"/>
      <c r="AC18" s="302"/>
      <c r="AD18" s="425">
        <f>IF(E18&lt;&gt;0,INDEX(Tbl_Ped_MedContIV,PedBerMedIV!$C14,6)*(PedBerMedIV!G14/10))</f>
        <v>0</v>
      </c>
      <c r="AE18" s="425">
        <f t="shared" si="0"/>
        <v>2</v>
      </c>
      <c r="AF18" s="425">
        <f t="shared" si="1"/>
        <v>0</v>
      </c>
      <c r="AH18" s="302"/>
      <c r="AI18" s="302"/>
      <c r="AJ18" s="302"/>
      <c r="AK18" s="302"/>
      <c r="AL18" s="302"/>
      <c r="AM18" s="302"/>
      <c r="AN18" s="302"/>
      <c r="AO18" s="302"/>
      <c r="AP18" s="302"/>
      <c r="AQ18" s="302"/>
      <c r="AR18" s="302"/>
      <c r="AS18" s="302"/>
      <c r="AT18" s="302"/>
      <c r="AU18" s="302"/>
      <c r="AV18" s="302"/>
      <c r="AW18" s="302"/>
      <c r="AX18" s="302"/>
      <c r="AY18" s="302"/>
      <c r="AZ18" s="302"/>
      <c r="BA18" s="302"/>
      <c r="BB18" s="302"/>
      <c r="BC18" s="302"/>
      <c r="BD18" s="302"/>
      <c r="BE18" s="302"/>
      <c r="BF18" s="302"/>
      <c r="BG18" s="302"/>
      <c r="BH18" s="302"/>
      <c r="BI18" s="302"/>
      <c r="BJ18" s="302"/>
      <c r="BK18" s="302"/>
      <c r="BL18" s="302"/>
      <c r="BM18" s="302"/>
      <c r="BN18" s="302"/>
      <c r="BO18" s="302"/>
      <c r="BP18" s="302"/>
      <c r="BQ18" s="302"/>
      <c r="BR18" s="302"/>
      <c r="BS18" s="302"/>
      <c r="BT18" s="302"/>
      <c r="BU18" s="302"/>
      <c r="BV18" s="302"/>
      <c r="BW18" s="302"/>
      <c r="BX18" s="302"/>
      <c r="BY18" s="302"/>
      <c r="BZ18" s="302"/>
      <c r="CA18" s="302"/>
      <c r="CB18" s="302"/>
      <c r="CC18" s="302"/>
      <c r="CD18" s="302"/>
      <c r="CE18" s="302"/>
      <c r="CF18" s="302"/>
    </row>
    <row r="19" spans="2:84" ht="20.100000000000001" customHeight="1" thickTop="1" thickBot="1" x14ac:dyDescent="0.25">
      <c r="B19" s="462" t="str">
        <f>PedBerMedIV!AD15</f>
        <v/>
      </c>
      <c r="C19" s="462" t="str">
        <f>PedBerMedIV!AE15</f>
        <v/>
      </c>
      <c r="D19" s="598">
        <v>11</v>
      </c>
      <c r="E19" s="426">
        <f>PedBerMedIV!C15</f>
        <v>1</v>
      </c>
      <c r="F19" s="428" t="str">
        <f>PedBerMedIV!AG15</f>
        <v/>
      </c>
      <c r="G19" s="428" t="str">
        <f>PedBerMedIV!AH15</f>
        <v/>
      </c>
      <c r="H19" s="430"/>
      <c r="I19" s="430" t="str">
        <f>PedBerMedIV!AJ15</f>
        <v/>
      </c>
      <c r="J19" s="430" t="str">
        <f>PedBerMedIV!AK15</f>
        <v/>
      </c>
      <c r="K19" s="430" t="str">
        <f>PedBerMedIV!AL15</f>
        <v/>
      </c>
      <c r="L19" s="430" t="str">
        <f>PedBerMedIV!AM15</f>
        <v/>
      </c>
      <c r="M19" s="430" t="str">
        <f>PedBerMedIV!AN15</f>
        <v/>
      </c>
      <c r="N19" s="430"/>
      <c r="O19" s="430"/>
      <c r="P19" s="298"/>
      <c r="Q19" s="298"/>
      <c r="R19" s="298"/>
      <c r="S19" s="298"/>
      <c r="T19" s="298"/>
      <c r="U19" s="298"/>
      <c r="V19" s="298"/>
      <c r="W19" s="298"/>
      <c r="X19" s="298"/>
      <c r="Y19" s="298"/>
      <c r="Z19" s="298"/>
      <c r="AA19" s="298"/>
      <c r="AC19" s="302"/>
      <c r="AH19" s="302"/>
      <c r="AI19" s="302"/>
      <c r="AJ19" s="302"/>
      <c r="AK19" s="302"/>
      <c r="AL19" s="302"/>
      <c r="AM19" s="302"/>
      <c r="AN19" s="302"/>
      <c r="AO19" s="302"/>
      <c r="AP19" s="302"/>
      <c r="AQ19" s="302"/>
      <c r="AR19" s="302"/>
      <c r="AS19" s="302"/>
      <c r="AT19" s="302"/>
      <c r="AU19" s="302"/>
      <c r="AV19" s="302"/>
      <c r="AW19" s="302"/>
      <c r="AX19" s="302"/>
      <c r="AY19" s="302"/>
      <c r="AZ19" s="302"/>
      <c r="BA19" s="302"/>
      <c r="BB19" s="302"/>
      <c r="BC19" s="302"/>
      <c r="BD19" s="302"/>
      <c r="BE19" s="302"/>
      <c r="BF19" s="302"/>
      <c r="BG19" s="302"/>
      <c r="BH19" s="302"/>
      <c r="BI19" s="302"/>
      <c r="BJ19" s="302"/>
      <c r="BK19" s="302"/>
      <c r="BL19" s="302"/>
      <c r="BM19" s="302"/>
      <c r="BN19" s="302"/>
      <c r="BO19" s="302"/>
      <c r="BP19" s="302"/>
      <c r="BQ19" s="302"/>
      <c r="BR19" s="302"/>
      <c r="BS19" s="302"/>
      <c r="BT19" s="302"/>
      <c r="BU19" s="302"/>
      <c r="BV19" s="302"/>
      <c r="BW19" s="302"/>
      <c r="BX19" s="302"/>
      <c r="BY19" s="302"/>
      <c r="BZ19" s="302"/>
      <c r="CA19" s="302"/>
      <c r="CB19" s="302"/>
      <c r="CC19" s="302"/>
      <c r="CD19" s="302"/>
      <c r="CE19" s="302"/>
      <c r="CF19" s="302"/>
    </row>
    <row r="20" spans="2:84" ht="20.100000000000001" customHeight="1" thickTop="1" thickBot="1" x14ac:dyDescent="0.25">
      <c r="B20" s="462" t="str">
        <f>PedBerMedIV!AD16</f>
        <v/>
      </c>
      <c r="C20" s="462" t="str">
        <f>PedBerMedIV!AE16</f>
        <v/>
      </c>
      <c r="D20" s="598">
        <v>12</v>
      </c>
      <c r="E20" s="426">
        <f>PedBerMedIV!C16</f>
        <v>1</v>
      </c>
      <c r="F20" s="428" t="str">
        <f>PedBerMedIV!AG16</f>
        <v/>
      </c>
      <c r="G20" s="428" t="str">
        <f>PedBerMedIV!AH16</f>
        <v/>
      </c>
      <c r="H20" s="430"/>
      <c r="I20" s="430" t="str">
        <f>PedBerMedIV!AJ16</f>
        <v/>
      </c>
      <c r="J20" s="430" t="str">
        <f>PedBerMedIV!AK16</f>
        <v/>
      </c>
      <c r="K20" s="430" t="str">
        <f>PedBerMedIV!AL16</f>
        <v/>
      </c>
      <c r="L20" s="430" t="str">
        <f>PedBerMedIV!AM16</f>
        <v/>
      </c>
      <c r="M20" s="430" t="str">
        <f>PedBerMedIV!AN16</f>
        <v/>
      </c>
      <c r="N20" s="430"/>
      <c r="O20" s="430"/>
      <c r="P20" s="298"/>
      <c r="Q20" s="298"/>
      <c r="R20" s="298"/>
      <c r="S20" s="298"/>
      <c r="T20" s="298"/>
      <c r="U20" s="298"/>
      <c r="V20" s="298"/>
      <c r="W20" s="298"/>
      <c r="X20" s="298"/>
      <c r="Y20" s="298"/>
      <c r="Z20" s="298"/>
      <c r="AA20" s="298"/>
      <c r="AC20" s="302"/>
      <c r="AH20" s="302"/>
      <c r="AI20" s="302"/>
      <c r="AJ20" s="302"/>
      <c r="AK20" s="302"/>
      <c r="AL20" s="302"/>
      <c r="AM20" s="302"/>
      <c r="AN20" s="302"/>
      <c r="AO20" s="302"/>
      <c r="AP20" s="302"/>
      <c r="AQ20" s="302"/>
      <c r="AR20" s="302"/>
      <c r="AS20" s="302"/>
      <c r="AT20" s="302"/>
      <c r="AU20" s="302"/>
      <c r="AV20" s="302"/>
      <c r="AW20" s="302"/>
      <c r="AX20" s="302"/>
      <c r="AY20" s="302"/>
      <c r="AZ20" s="302"/>
      <c r="BA20" s="302"/>
      <c r="BB20" s="302"/>
      <c r="BC20" s="302"/>
      <c r="BD20" s="302"/>
      <c r="BE20" s="302"/>
      <c r="BF20" s="302"/>
      <c r="BG20" s="302"/>
      <c r="BH20" s="302"/>
      <c r="BI20" s="302"/>
      <c r="BJ20" s="302"/>
      <c r="BK20" s="302"/>
      <c r="BL20" s="302"/>
      <c r="BM20" s="302"/>
      <c r="BN20" s="302"/>
      <c r="BO20" s="302"/>
      <c r="BP20" s="302"/>
      <c r="BQ20" s="302"/>
      <c r="BR20" s="302"/>
      <c r="BS20" s="302"/>
      <c r="BT20" s="302"/>
      <c r="BU20" s="302"/>
      <c r="BV20" s="302"/>
      <c r="BW20" s="302"/>
      <c r="BX20" s="302"/>
      <c r="BY20" s="302"/>
      <c r="BZ20" s="302"/>
      <c r="CA20" s="302"/>
      <c r="CB20" s="302"/>
      <c r="CC20" s="302"/>
      <c r="CD20" s="302"/>
      <c r="CE20" s="302"/>
      <c r="CF20" s="302"/>
    </row>
    <row r="21" spans="2:84" ht="20.100000000000001" customHeight="1" thickTop="1" thickBot="1" x14ac:dyDescent="0.25">
      <c r="B21" s="462" t="str">
        <f>PedBerMedIV!AD17</f>
        <v/>
      </c>
      <c r="C21" s="462" t="str">
        <f>PedBerMedIV!AE17</f>
        <v/>
      </c>
      <c r="D21" s="598">
        <v>13</v>
      </c>
      <c r="E21" s="426">
        <f>PedBerMedIV!C17</f>
        <v>1</v>
      </c>
      <c r="F21" s="428" t="str">
        <f>PedBerMedIV!AG17</f>
        <v/>
      </c>
      <c r="G21" s="428" t="str">
        <f>PedBerMedIV!AH17</f>
        <v/>
      </c>
      <c r="H21" s="430"/>
      <c r="I21" s="430" t="str">
        <f>PedBerMedIV!AJ17</f>
        <v/>
      </c>
      <c r="J21" s="430" t="str">
        <f>PedBerMedIV!AK17</f>
        <v/>
      </c>
      <c r="K21" s="430" t="str">
        <f>PedBerMedIV!AL17</f>
        <v/>
      </c>
      <c r="L21" s="430" t="str">
        <f>PedBerMedIV!AM17</f>
        <v/>
      </c>
      <c r="M21" s="430" t="str">
        <f>PedBerMedIV!AN17</f>
        <v/>
      </c>
      <c r="N21" s="430"/>
      <c r="O21" s="430"/>
      <c r="P21" s="298"/>
      <c r="Q21" s="298"/>
      <c r="R21" s="298"/>
      <c r="S21" s="298"/>
      <c r="T21" s="298"/>
      <c r="U21" s="298"/>
      <c r="V21" s="298"/>
      <c r="W21" s="298"/>
      <c r="X21" s="298"/>
      <c r="Y21" s="298"/>
      <c r="Z21" s="298"/>
      <c r="AA21" s="298"/>
      <c r="AC21" s="302"/>
      <c r="AH21" s="302"/>
      <c r="AI21" s="302"/>
      <c r="AJ21" s="302"/>
      <c r="AK21" s="302"/>
      <c r="AL21" s="302"/>
      <c r="AM21" s="302"/>
      <c r="AN21" s="302"/>
      <c r="AO21" s="302"/>
      <c r="AP21" s="302"/>
      <c r="AQ21" s="302"/>
      <c r="AR21" s="302"/>
      <c r="AS21" s="302"/>
      <c r="AT21" s="302"/>
      <c r="AU21" s="302"/>
      <c r="AV21" s="302"/>
      <c r="AW21" s="302"/>
      <c r="AX21" s="302"/>
      <c r="AY21" s="302"/>
      <c r="AZ21" s="302"/>
      <c r="BA21" s="302"/>
      <c r="BB21" s="302"/>
      <c r="BC21" s="302"/>
      <c r="BD21" s="302"/>
      <c r="BE21" s="302"/>
      <c r="BF21" s="302"/>
      <c r="BG21" s="302"/>
      <c r="BH21" s="302"/>
      <c r="BI21" s="302"/>
      <c r="BJ21" s="302"/>
      <c r="BK21" s="302"/>
      <c r="BL21" s="302"/>
      <c r="BM21" s="302"/>
      <c r="BN21" s="302"/>
      <c r="BO21" s="302"/>
      <c r="BP21" s="302"/>
      <c r="BQ21" s="302"/>
      <c r="BR21" s="302"/>
      <c r="BS21" s="302"/>
      <c r="BT21" s="302"/>
      <c r="BU21" s="302"/>
      <c r="BV21" s="302"/>
      <c r="BW21" s="302"/>
      <c r="BX21" s="302"/>
      <c r="BY21" s="302"/>
      <c r="BZ21" s="302"/>
      <c r="CA21" s="302"/>
      <c r="CB21" s="302"/>
      <c r="CC21" s="302"/>
      <c r="CD21" s="302"/>
      <c r="CE21" s="302"/>
      <c r="CF21" s="302"/>
    </row>
    <row r="22" spans="2:84" ht="20.100000000000001" customHeight="1" thickTop="1" thickBot="1" x14ac:dyDescent="0.25">
      <c r="B22" s="462" t="str">
        <f>PedBerMedIV!AD18</f>
        <v/>
      </c>
      <c r="C22" s="462" t="str">
        <f>PedBerMedIV!AE18</f>
        <v/>
      </c>
      <c r="D22" s="598">
        <v>14</v>
      </c>
      <c r="E22" s="426">
        <f>PedBerMedIV!C18</f>
        <v>1</v>
      </c>
      <c r="F22" s="428" t="str">
        <f>PedBerMedIV!AG18</f>
        <v/>
      </c>
      <c r="G22" s="428" t="str">
        <f>PedBerMedIV!AH18</f>
        <v/>
      </c>
      <c r="H22" s="430"/>
      <c r="I22" s="430" t="str">
        <f>PedBerMedIV!AJ18</f>
        <v/>
      </c>
      <c r="J22" s="430" t="str">
        <f>PedBerMedIV!AK18</f>
        <v/>
      </c>
      <c r="K22" s="430" t="str">
        <f>PedBerMedIV!AL18</f>
        <v/>
      </c>
      <c r="L22" s="430" t="str">
        <f>PedBerMedIV!AM18</f>
        <v/>
      </c>
      <c r="M22" s="430" t="str">
        <f>PedBerMedIV!AN18</f>
        <v/>
      </c>
      <c r="N22" s="430"/>
      <c r="O22" s="430"/>
      <c r="P22" s="298"/>
      <c r="Q22" s="298"/>
      <c r="R22" s="298"/>
      <c r="S22" s="298"/>
      <c r="T22" s="298"/>
      <c r="U22" s="298"/>
      <c r="V22" s="298"/>
      <c r="W22" s="298"/>
      <c r="X22" s="298"/>
      <c r="Y22" s="298"/>
      <c r="Z22" s="298"/>
      <c r="AA22" s="298"/>
      <c r="AC22" s="302"/>
      <c r="AH22" s="302"/>
      <c r="AI22" s="302"/>
      <c r="AJ22" s="302"/>
      <c r="AK22" s="302"/>
      <c r="AL22" s="302"/>
      <c r="AM22" s="302"/>
      <c r="AN22" s="302"/>
      <c r="AO22" s="302"/>
      <c r="AP22" s="302"/>
      <c r="AQ22" s="302"/>
      <c r="AR22" s="302"/>
      <c r="AS22" s="302"/>
      <c r="AT22" s="302"/>
      <c r="AU22" s="302"/>
      <c r="AV22" s="302"/>
      <c r="AW22" s="302"/>
      <c r="AX22" s="302"/>
      <c r="AY22" s="302"/>
      <c r="AZ22" s="302"/>
      <c r="BA22" s="302"/>
      <c r="BB22" s="302"/>
      <c r="BC22" s="302"/>
      <c r="BD22" s="302"/>
      <c r="BE22" s="302"/>
      <c r="BF22" s="302"/>
      <c r="BG22" s="302"/>
      <c r="BH22" s="302"/>
      <c r="BI22" s="302"/>
      <c r="BJ22" s="302"/>
      <c r="BK22" s="302"/>
      <c r="BL22" s="302"/>
      <c r="BM22" s="302"/>
      <c r="BN22" s="302"/>
      <c r="BO22" s="302"/>
      <c r="BP22" s="302"/>
      <c r="BQ22" s="302"/>
      <c r="BR22" s="302"/>
      <c r="BS22" s="302"/>
      <c r="BT22" s="302"/>
      <c r="BU22" s="302"/>
      <c r="BV22" s="302"/>
      <c r="BW22" s="302"/>
      <c r="BX22" s="302"/>
      <c r="BY22" s="302"/>
      <c r="BZ22" s="302"/>
      <c r="CA22" s="302"/>
      <c r="CB22" s="302"/>
      <c r="CC22" s="302"/>
      <c r="CD22" s="302"/>
      <c r="CE22" s="302"/>
      <c r="CF22" s="302"/>
    </row>
    <row r="23" spans="2:84" ht="20.100000000000001" customHeight="1" thickTop="1" thickBot="1" x14ac:dyDescent="0.25">
      <c r="B23" s="462" t="str">
        <f>PedBerMedIV!AD19</f>
        <v/>
      </c>
      <c r="C23" s="462" t="str">
        <f>PedBerMedIV!AE19</f>
        <v/>
      </c>
      <c r="D23" s="598">
        <v>15</v>
      </c>
      <c r="E23" s="427">
        <f>PedBerMedIV!C19</f>
        <v>1</v>
      </c>
      <c r="F23" s="429" t="str">
        <f>PedBerMedIV!AG19</f>
        <v/>
      </c>
      <c r="G23" s="429" t="str">
        <f>PedBerMedIV!AH19</f>
        <v/>
      </c>
      <c r="H23" s="415"/>
      <c r="I23" s="415" t="str">
        <f>PedBerMedIV!AJ19</f>
        <v/>
      </c>
      <c r="J23" s="415" t="str">
        <f>PedBerMedIV!AK19</f>
        <v/>
      </c>
      <c r="K23" s="415" t="str">
        <f>PedBerMedIV!AL19</f>
        <v/>
      </c>
      <c r="L23" s="415" t="str">
        <f>PedBerMedIV!AM19</f>
        <v/>
      </c>
      <c r="M23" s="415" t="str">
        <f>PedBerMedIV!AN19</f>
        <v/>
      </c>
      <c r="N23" s="415"/>
      <c r="O23" s="415"/>
      <c r="P23" s="298"/>
      <c r="Q23" s="298"/>
      <c r="R23" s="298"/>
      <c r="S23" s="298"/>
      <c r="T23" s="298"/>
      <c r="U23" s="298"/>
      <c r="V23" s="298"/>
      <c r="W23" s="298"/>
      <c r="X23" s="298"/>
      <c r="Y23" s="298"/>
      <c r="Z23" s="298"/>
      <c r="AA23" s="298"/>
      <c r="AC23" s="302"/>
      <c r="AH23" s="302"/>
      <c r="AI23" s="302"/>
      <c r="AJ23" s="302"/>
      <c r="AK23" s="302"/>
      <c r="AL23" s="302"/>
      <c r="AM23" s="302"/>
      <c r="AN23" s="302"/>
      <c r="AO23" s="302"/>
      <c r="AP23" s="302"/>
      <c r="AQ23" s="302"/>
      <c r="AR23" s="302"/>
      <c r="AS23" s="302"/>
      <c r="AT23" s="302"/>
      <c r="AU23" s="302"/>
      <c r="AV23" s="302"/>
      <c r="AW23" s="302"/>
      <c r="AX23" s="302"/>
      <c r="AY23" s="302"/>
      <c r="AZ23" s="302"/>
      <c r="BA23" s="302"/>
      <c r="BB23" s="302"/>
      <c r="BC23" s="302"/>
      <c r="BD23" s="302"/>
      <c r="BE23" s="302"/>
      <c r="BF23" s="302"/>
      <c r="BG23" s="302"/>
      <c r="BH23" s="302"/>
      <c r="BI23" s="302"/>
      <c r="BJ23" s="302"/>
      <c r="BK23" s="302"/>
      <c r="BL23" s="302"/>
      <c r="BM23" s="302"/>
      <c r="BN23" s="302"/>
      <c r="BO23" s="302"/>
      <c r="BP23" s="302"/>
      <c r="BQ23" s="302"/>
      <c r="BR23" s="302"/>
      <c r="BS23" s="302"/>
      <c r="BT23" s="302"/>
      <c r="BU23" s="302"/>
      <c r="BV23" s="302"/>
      <c r="BW23" s="302"/>
      <c r="BX23" s="302"/>
      <c r="BY23" s="302"/>
      <c r="BZ23" s="302"/>
      <c r="CA23" s="302"/>
      <c r="CB23" s="302"/>
      <c r="CC23" s="302"/>
      <c r="CD23" s="302"/>
      <c r="CE23" s="302"/>
      <c r="CF23" s="302"/>
    </row>
    <row r="24" spans="2:84" ht="20.100000000000001" customHeight="1" thickTop="1" x14ac:dyDescent="0.2">
      <c r="B24" s="463"/>
      <c r="C24" s="463"/>
      <c r="D24" s="304"/>
      <c r="E24" s="305"/>
      <c r="F24" s="305"/>
      <c r="G24" s="295"/>
      <c r="H24" s="295"/>
      <c r="I24" s="295"/>
      <c r="J24" s="295"/>
      <c r="K24" s="295"/>
      <c r="L24" s="298"/>
      <c r="M24" s="306"/>
      <c r="N24" s="298"/>
      <c r="O24" s="298"/>
      <c r="P24" s="298"/>
      <c r="Q24" s="298"/>
      <c r="R24" s="298"/>
      <c r="S24" s="298"/>
      <c r="T24" s="298"/>
      <c r="U24" s="298"/>
      <c r="V24" s="298"/>
      <c r="W24" s="298"/>
      <c r="X24" s="298"/>
      <c r="Y24" s="298"/>
      <c r="Z24" s="298"/>
      <c r="AA24" s="298"/>
      <c r="AC24" s="302"/>
      <c r="AH24" s="302"/>
      <c r="AI24" s="302"/>
      <c r="AJ24" s="302"/>
      <c r="AK24" s="302"/>
      <c r="AL24" s="302"/>
      <c r="AM24" s="302"/>
      <c r="AN24" s="302"/>
      <c r="AO24" s="302"/>
      <c r="AP24" s="302"/>
      <c r="AQ24" s="302"/>
      <c r="AR24" s="302"/>
      <c r="AS24" s="302"/>
      <c r="AT24" s="302"/>
      <c r="AU24" s="302"/>
      <c r="AV24" s="302"/>
      <c r="AW24" s="302"/>
      <c r="AX24" s="302"/>
      <c r="AY24" s="302"/>
      <c r="AZ24" s="302"/>
      <c r="BA24" s="302"/>
      <c r="BB24" s="302"/>
      <c r="BC24" s="302"/>
      <c r="BD24" s="302"/>
      <c r="BE24" s="302"/>
      <c r="BF24" s="302"/>
      <c r="BG24" s="302"/>
      <c r="BH24" s="302"/>
      <c r="BI24" s="302"/>
      <c r="BJ24" s="302"/>
      <c r="BK24" s="302"/>
      <c r="BL24" s="302"/>
      <c r="BM24" s="302"/>
      <c r="BN24" s="302"/>
      <c r="BO24" s="302"/>
      <c r="BP24" s="302"/>
      <c r="BQ24" s="302"/>
      <c r="BR24" s="302"/>
      <c r="BS24" s="302"/>
      <c r="BT24" s="302"/>
      <c r="BU24" s="302"/>
      <c r="BV24" s="302"/>
      <c r="BW24" s="302"/>
      <c r="BX24" s="302"/>
      <c r="BY24" s="302"/>
      <c r="BZ24" s="302"/>
      <c r="CA24" s="302"/>
      <c r="CB24" s="302"/>
      <c r="CC24" s="302"/>
      <c r="CD24" s="302"/>
      <c r="CE24" s="302"/>
      <c r="CF24" s="302"/>
    </row>
    <row r="25" spans="2:84" ht="20.100000000000001" customHeight="1" thickBot="1" x14ac:dyDescent="0.25">
      <c r="B25" s="462" t="str">
        <f>PedBerMedIV!AD21</f>
        <v/>
      </c>
      <c r="C25" s="463"/>
      <c r="D25" s="598">
        <v>16</v>
      </c>
      <c r="E25" s="468" t="str">
        <f>PedBerMedIV!AF21</f>
        <v/>
      </c>
      <c r="F25" s="468">
        <f>PedBerMedIV!AG21</f>
        <v>0</v>
      </c>
      <c r="G25" s="437" t="str">
        <f>PedBerMedIV!AH21</f>
        <v/>
      </c>
      <c r="H25" s="437"/>
      <c r="I25" s="437" t="str">
        <f>PedBerMedIV!AJ21</f>
        <v/>
      </c>
      <c r="J25" s="437" t="str">
        <f>PedBerMedIV!AK21</f>
        <v/>
      </c>
      <c r="K25" s="437"/>
      <c r="L25" s="437" t="str">
        <f>IF(PedBerMedIV!M21&lt;&gt;0,PedBerMedIV!M21&amp;" ml","")</f>
        <v/>
      </c>
      <c r="M25" s="437"/>
      <c r="N25" s="437"/>
      <c r="O25" s="437"/>
      <c r="P25" s="298"/>
      <c r="Q25" s="298"/>
      <c r="R25" s="298"/>
      <c r="S25" s="298"/>
      <c r="T25" s="298"/>
      <c r="U25" s="298"/>
      <c r="V25" s="298"/>
      <c r="W25" s="298"/>
      <c r="X25" s="298"/>
      <c r="Y25" s="298"/>
      <c r="Z25" s="298"/>
      <c r="AA25" s="298"/>
      <c r="AC25" s="302"/>
      <c r="AD25" s="302"/>
      <c r="AE25" s="302"/>
      <c r="AF25" s="302"/>
      <c r="AG25" s="302"/>
      <c r="AH25" s="302"/>
      <c r="AI25" s="302"/>
      <c r="AJ25" s="302"/>
      <c r="AK25" s="302"/>
      <c r="AL25" s="302"/>
      <c r="AM25" s="302"/>
      <c r="AN25" s="302"/>
      <c r="AO25" s="302"/>
      <c r="AP25" s="302"/>
      <c r="AQ25" s="302"/>
      <c r="AR25" s="302"/>
      <c r="AS25" s="302"/>
      <c r="AT25" s="302"/>
      <c r="AU25" s="302"/>
      <c r="AV25" s="302"/>
      <c r="AW25" s="302"/>
      <c r="AX25" s="302"/>
      <c r="AY25" s="302"/>
      <c r="AZ25" s="302"/>
      <c r="BA25" s="302"/>
      <c r="BB25" s="302"/>
      <c r="BC25" s="302"/>
      <c r="BD25" s="302"/>
      <c r="BE25" s="302"/>
      <c r="BF25" s="302"/>
      <c r="BG25" s="302"/>
      <c r="BH25" s="302"/>
      <c r="BI25" s="302"/>
      <c r="BJ25" s="302"/>
      <c r="BK25" s="302"/>
      <c r="BL25" s="302"/>
      <c r="BM25" s="302"/>
      <c r="BN25" s="302"/>
      <c r="BO25" s="302"/>
      <c r="BP25" s="302"/>
      <c r="BQ25" s="302"/>
      <c r="BR25" s="302"/>
      <c r="BS25" s="302"/>
      <c r="BT25" s="302"/>
      <c r="BU25" s="302"/>
      <c r="BV25" s="302"/>
      <c r="BW25" s="302"/>
      <c r="BX25" s="302"/>
      <c r="BY25" s="302"/>
      <c r="BZ25" s="302"/>
      <c r="CA25" s="302"/>
      <c r="CB25" s="302"/>
      <c r="CC25" s="302"/>
      <c r="CD25" s="302"/>
      <c r="CE25" s="302"/>
      <c r="CF25" s="302"/>
    </row>
    <row r="26" spans="2:84" ht="20.100000000000001" customHeight="1" thickTop="1" thickBot="1" x14ac:dyDescent="0.25">
      <c r="B26" s="462" t="str">
        <f>PedBerMedIV!AD22</f>
        <v/>
      </c>
      <c r="C26" s="463"/>
      <c r="D26" s="598">
        <v>17</v>
      </c>
      <c r="E26" s="431" t="str">
        <f>PedBerMedIV!AF22</f>
        <v/>
      </c>
      <c r="F26" s="431">
        <f>PedBerMedIV!AG22</f>
        <v>0</v>
      </c>
      <c r="G26" s="430" t="str">
        <f>PedBerMedIV!AH22</f>
        <v/>
      </c>
      <c r="H26" s="430"/>
      <c r="I26" s="430" t="str">
        <f>PedBerMedIV!AJ22</f>
        <v/>
      </c>
      <c r="J26" s="430" t="str">
        <f>PedBerMedIV!AK22</f>
        <v/>
      </c>
      <c r="K26" s="430"/>
      <c r="L26" s="430" t="str">
        <f>IF(PedBerMedIV!M22&lt;&gt;0,PedBerMedIV!M22&amp;" ml","")</f>
        <v/>
      </c>
      <c r="M26" s="430"/>
      <c r="N26" s="430"/>
      <c r="O26" s="430"/>
      <c r="P26" s="298"/>
      <c r="Q26" s="298"/>
      <c r="R26" s="298"/>
      <c r="S26" s="298"/>
      <c r="T26" s="298"/>
      <c r="U26" s="298"/>
      <c r="V26" s="298"/>
      <c r="W26" s="298"/>
      <c r="X26" s="298"/>
      <c r="Y26" s="298"/>
      <c r="Z26" s="298"/>
      <c r="AA26" s="298"/>
      <c r="AC26" s="302"/>
      <c r="AD26" s="302"/>
      <c r="AE26" s="302"/>
      <c r="AF26" s="302"/>
      <c r="AG26" s="302"/>
      <c r="AH26" s="302"/>
      <c r="AI26" s="302"/>
      <c r="AJ26" s="302"/>
      <c r="AK26" s="302"/>
      <c r="AL26" s="302"/>
      <c r="AM26" s="302"/>
      <c r="AN26" s="302"/>
      <c r="AO26" s="302"/>
      <c r="AP26" s="302"/>
      <c r="AQ26" s="302"/>
      <c r="AR26" s="302"/>
      <c r="AS26" s="302"/>
      <c r="AT26" s="302"/>
      <c r="AU26" s="302"/>
      <c r="AV26" s="302"/>
      <c r="AW26" s="302"/>
      <c r="AX26" s="302"/>
      <c r="AY26" s="302"/>
      <c r="AZ26" s="302"/>
      <c r="BA26" s="302"/>
      <c r="BB26" s="302"/>
      <c r="BC26" s="302"/>
      <c r="BD26" s="302"/>
      <c r="BE26" s="302"/>
      <c r="BF26" s="302"/>
      <c r="BG26" s="302"/>
      <c r="BH26" s="302"/>
      <c r="BI26" s="302"/>
      <c r="BJ26" s="302"/>
      <c r="BK26" s="302"/>
      <c r="BL26" s="302"/>
      <c r="BM26" s="302"/>
      <c r="BN26" s="302"/>
      <c r="BO26" s="302"/>
      <c r="BP26" s="302"/>
      <c r="BQ26" s="302"/>
      <c r="BR26" s="302"/>
      <c r="BS26" s="302"/>
      <c r="BT26" s="302"/>
      <c r="BU26" s="302"/>
      <c r="BV26" s="302"/>
      <c r="BW26" s="302"/>
      <c r="BX26" s="302"/>
      <c r="BY26" s="302"/>
      <c r="BZ26" s="302"/>
      <c r="CA26" s="302"/>
      <c r="CB26" s="302"/>
      <c r="CC26" s="302"/>
      <c r="CD26" s="302"/>
      <c r="CE26" s="302"/>
      <c r="CF26" s="302"/>
    </row>
    <row r="27" spans="2:84" ht="20.100000000000001" customHeight="1" thickTop="1" thickBot="1" x14ac:dyDescent="0.25">
      <c r="B27" s="462" t="str">
        <f>PedBerMedIV!AD23</f>
        <v/>
      </c>
      <c r="C27" s="463"/>
      <c r="D27" s="598">
        <v>18</v>
      </c>
      <c r="E27" s="431" t="str">
        <f>PedBerMedIV!AF23</f>
        <v/>
      </c>
      <c r="F27" s="431">
        <f>PedBerMedIV!AG23</f>
        <v>0</v>
      </c>
      <c r="G27" s="430" t="str">
        <f>PedBerMedIV!AH23</f>
        <v/>
      </c>
      <c r="H27" s="430"/>
      <c r="I27" s="430" t="str">
        <f>PedBerMedIV!AJ23</f>
        <v/>
      </c>
      <c r="J27" s="430" t="str">
        <f>PedBerMedIV!AK23</f>
        <v/>
      </c>
      <c r="K27" s="430"/>
      <c r="L27" s="430" t="str">
        <f>IF(PedBerMedIV!M23&lt;&gt;0,PedBerMedIV!M23&amp;" ml","")</f>
        <v/>
      </c>
      <c r="M27" s="430"/>
      <c r="N27" s="430"/>
      <c r="O27" s="430"/>
      <c r="P27" s="298"/>
      <c r="Q27" s="298"/>
      <c r="R27" s="298"/>
      <c r="S27" s="298"/>
      <c r="T27" s="298"/>
      <c r="U27" s="298"/>
      <c r="V27" s="298"/>
      <c r="W27" s="298"/>
      <c r="X27" s="298"/>
      <c r="Y27" s="298"/>
      <c r="Z27" s="298"/>
      <c r="AA27" s="298"/>
      <c r="AC27" s="302"/>
      <c r="AD27" s="302"/>
      <c r="AE27" s="302"/>
      <c r="AF27" s="302"/>
      <c r="AG27" s="302"/>
      <c r="AH27" s="302"/>
      <c r="AI27" s="302"/>
      <c r="AJ27" s="302"/>
      <c r="AK27" s="302"/>
      <c r="AL27" s="302"/>
      <c r="AM27" s="302"/>
      <c r="AN27" s="302"/>
      <c r="AO27" s="302"/>
      <c r="AP27" s="302"/>
      <c r="AQ27" s="302"/>
      <c r="AR27" s="302"/>
      <c r="AS27" s="302"/>
      <c r="AT27" s="302"/>
      <c r="AU27" s="302"/>
      <c r="AV27" s="302"/>
      <c r="AW27" s="302"/>
      <c r="AX27" s="302"/>
      <c r="AY27" s="302"/>
      <c r="AZ27" s="302"/>
      <c r="BA27" s="302"/>
      <c r="BB27" s="302"/>
      <c r="BC27" s="302"/>
      <c r="BD27" s="302"/>
      <c r="BE27" s="302"/>
      <c r="BF27" s="302"/>
      <c r="BG27" s="302"/>
      <c r="BH27" s="302"/>
      <c r="BI27" s="302"/>
      <c r="BJ27" s="302"/>
      <c r="BK27" s="302"/>
      <c r="BL27" s="302"/>
      <c r="BM27" s="302"/>
      <c r="BN27" s="302"/>
      <c r="BO27" s="302"/>
      <c r="BP27" s="302"/>
      <c r="BQ27" s="302"/>
      <c r="BR27" s="302"/>
      <c r="BS27" s="302"/>
      <c r="BT27" s="302"/>
      <c r="BU27" s="302"/>
      <c r="BV27" s="302"/>
      <c r="BW27" s="302"/>
      <c r="BX27" s="302"/>
      <c r="BY27" s="302"/>
      <c r="BZ27" s="302"/>
      <c r="CA27" s="302"/>
      <c r="CB27" s="302"/>
      <c r="CC27" s="302"/>
      <c r="CD27" s="302"/>
      <c r="CE27" s="302"/>
      <c r="CF27" s="302"/>
    </row>
    <row r="28" spans="2:84" ht="20.100000000000001" customHeight="1" thickTop="1" thickBot="1" x14ac:dyDescent="0.25">
      <c r="B28" s="462" t="str">
        <f>PedBerMedIV!AD24</f>
        <v/>
      </c>
      <c r="C28" s="463"/>
      <c r="D28" s="598">
        <v>19</v>
      </c>
      <c r="E28" s="431" t="str">
        <f>PedBerMedIV!AF24</f>
        <v/>
      </c>
      <c r="F28" s="431">
        <f>PedBerMedIV!AG24</f>
        <v>0</v>
      </c>
      <c r="G28" s="430" t="str">
        <f>PedBerMedIV!AH24</f>
        <v/>
      </c>
      <c r="H28" s="430"/>
      <c r="I28" s="430" t="str">
        <f>PedBerMedIV!AJ24</f>
        <v/>
      </c>
      <c r="J28" s="430" t="str">
        <f>PedBerMedIV!AK24</f>
        <v/>
      </c>
      <c r="K28" s="430"/>
      <c r="L28" s="430" t="str">
        <f>IF(PedBerMedIV!M24&lt;&gt;0,PedBerMedIV!M24&amp;" ml","")</f>
        <v/>
      </c>
      <c r="M28" s="430"/>
      <c r="N28" s="430"/>
      <c r="O28" s="430"/>
      <c r="P28" s="298"/>
      <c r="Q28" s="298"/>
      <c r="R28" s="298"/>
      <c r="S28" s="298"/>
      <c r="T28" s="298"/>
      <c r="U28" s="298"/>
      <c r="V28" s="298"/>
      <c r="W28" s="298"/>
      <c r="X28" s="298"/>
      <c r="Y28" s="298"/>
      <c r="Z28" s="298"/>
      <c r="AA28" s="298"/>
      <c r="AC28" s="302"/>
      <c r="AD28" s="302"/>
      <c r="AE28" s="302"/>
      <c r="AF28" s="302"/>
      <c r="AG28" s="302"/>
      <c r="AH28" s="302"/>
      <c r="AI28" s="302"/>
      <c r="AJ28" s="302"/>
      <c r="AK28" s="302"/>
      <c r="AL28" s="302"/>
      <c r="AM28" s="302"/>
      <c r="AN28" s="302"/>
      <c r="AO28" s="302"/>
      <c r="AP28" s="302"/>
      <c r="AQ28" s="302"/>
      <c r="AR28" s="302"/>
      <c r="AS28" s="302"/>
      <c r="AT28" s="302"/>
      <c r="AU28" s="302"/>
      <c r="AV28" s="302"/>
      <c r="AW28" s="302"/>
      <c r="AX28" s="302"/>
      <c r="AY28" s="302"/>
      <c r="AZ28" s="302"/>
      <c r="BA28" s="302"/>
      <c r="BB28" s="302"/>
      <c r="BC28" s="302"/>
      <c r="BD28" s="302"/>
      <c r="BE28" s="302"/>
      <c r="BF28" s="302"/>
      <c r="BG28" s="302"/>
      <c r="BH28" s="302"/>
      <c r="BI28" s="302"/>
      <c r="BJ28" s="302"/>
      <c r="BK28" s="302"/>
      <c r="BL28" s="302"/>
      <c r="BM28" s="302"/>
      <c r="BN28" s="302"/>
      <c r="BO28" s="302"/>
      <c r="BP28" s="302"/>
      <c r="BQ28" s="302"/>
      <c r="BR28" s="302"/>
      <c r="BS28" s="302"/>
      <c r="BT28" s="302"/>
      <c r="BU28" s="302"/>
      <c r="BV28" s="302"/>
      <c r="BW28" s="302"/>
      <c r="BX28" s="302"/>
      <c r="BY28" s="302"/>
      <c r="BZ28" s="302"/>
      <c r="CA28" s="302"/>
      <c r="CB28" s="302"/>
      <c r="CC28" s="302"/>
      <c r="CD28" s="302"/>
      <c r="CE28" s="302"/>
      <c r="CF28" s="302"/>
    </row>
    <row r="29" spans="2:84" ht="20.100000000000001" customHeight="1" thickTop="1" thickBot="1" x14ac:dyDescent="0.25">
      <c r="B29" s="462" t="str">
        <f>PedBerMedIV!AD25</f>
        <v/>
      </c>
      <c r="C29" s="463"/>
      <c r="D29" s="598">
        <v>20</v>
      </c>
      <c r="E29" s="432" t="str">
        <f>PedBerMedIV!AF25</f>
        <v/>
      </c>
      <c r="F29" s="432">
        <f>PedBerMedIV!AG25</f>
        <v>0</v>
      </c>
      <c r="G29" s="415" t="str">
        <f>PedBerMedIV!AH25</f>
        <v/>
      </c>
      <c r="H29" s="415"/>
      <c r="I29" s="415" t="str">
        <f>PedBerMedIV!AJ25</f>
        <v/>
      </c>
      <c r="J29" s="415" t="str">
        <f>PedBerMedIV!AK25</f>
        <v/>
      </c>
      <c r="K29" s="415"/>
      <c r="L29" s="415" t="str">
        <f>IF(PedBerMedIV!M25&lt;&gt;0,PedBerMedIV!M25&amp;" ml","")</f>
        <v/>
      </c>
      <c r="M29" s="415"/>
      <c r="N29" s="415"/>
      <c r="O29" s="430"/>
      <c r="P29" s="298"/>
      <c r="Q29" s="298"/>
      <c r="R29" s="298"/>
      <c r="S29" s="298"/>
      <c r="T29" s="298"/>
      <c r="U29" s="298"/>
      <c r="V29" s="298"/>
      <c r="W29" s="298"/>
      <c r="X29" s="298"/>
      <c r="Y29" s="298"/>
      <c r="Z29" s="298"/>
      <c r="AA29" s="298"/>
      <c r="AC29" s="302"/>
      <c r="AD29" s="302"/>
      <c r="AE29" s="302"/>
      <c r="AF29" s="302"/>
      <c r="AG29" s="302"/>
      <c r="AH29" s="302"/>
      <c r="AI29" s="302"/>
      <c r="AJ29" s="302"/>
      <c r="AK29" s="302"/>
      <c r="AL29" s="302"/>
      <c r="AM29" s="302"/>
      <c r="AN29" s="302"/>
      <c r="AO29" s="302"/>
      <c r="AP29" s="302"/>
      <c r="AQ29" s="302"/>
      <c r="AR29" s="302"/>
      <c r="AS29" s="302"/>
      <c r="AT29" s="302"/>
      <c r="AU29" s="302"/>
      <c r="AV29" s="302"/>
      <c r="AW29" s="302"/>
      <c r="AX29" s="302"/>
      <c r="AY29" s="302"/>
      <c r="AZ29" s="302"/>
      <c r="BA29" s="302"/>
      <c r="BB29" s="302"/>
      <c r="BC29" s="302"/>
      <c r="BD29" s="302"/>
      <c r="BE29" s="302"/>
      <c r="BF29" s="302"/>
      <c r="BG29" s="302"/>
      <c r="BH29" s="302"/>
      <c r="BI29" s="302"/>
      <c r="BJ29" s="302"/>
      <c r="BK29" s="302"/>
      <c r="BL29" s="302"/>
      <c r="BM29" s="302"/>
      <c r="BN29" s="302"/>
      <c r="BO29" s="302"/>
      <c r="BP29" s="302"/>
      <c r="BQ29" s="302"/>
      <c r="BR29" s="302"/>
      <c r="BS29" s="302"/>
      <c r="BT29" s="302"/>
      <c r="BU29" s="302"/>
      <c r="BV29" s="302"/>
      <c r="BW29" s="302"/>
      <c r="BX29" s="302"/>
      <c r="BY29" s="302"/>
      <c r="BZ29" s="302"/>
      <c r="CA29" s="302"/>
      <c r="CB29" s="302"/>
      <c r="CC29" s="302"/>
      <c r="CD29" s="302"/>
      <c r="CE29" s="302"/>
      <c r="CF29" s="302"/>
    </row>
    <row r="30" spans="2:84" ht="13.5" thickTop="1" x14ac:dyDescent="0.2">
      <c r="B30" s="463"/>
      <c r="C30" s="463"/>
      <c r="D30" s="298"/>
      <c r="E30" s="298"/>
      <c r="F30" s="298"/>
      <c r="G30" s="298"/>
      <c r="H30" s="298"/>
      <c r="I30" s="298"/>
      <c r="J30" s="298"/>
      <c r="K30" s="298"/>
      <c r="L30" s="298"/>
      <c r="M30" s="298"/>
      <c r="N30" s="298"/>
      <c r="O30" s="298"/>
      <c r="P30" s="298"/>
      <c r="Q30" s="298"/>
      <c r="R30" s="298"/>
      <c r="S30" s="298"/>
      <c r="T30" s="298"/>
      <c r="U30" s="298"/>
      <c r="V30" s="298"/>
      <c r="W30" s="298"/>
      <c r="X30" s="298"/>
      <c r="Y30" s="298"/>
      <c r="Z30" s="298"/>
      <c r="AA30" s="298"/>
      <c r="AC30" s="302"/>
      <c r="AD30" s="302"/>
      <c r="AE30" s="302"/>
      <c r="AF30" s="302"/>
      <c r="AG30" s="302"/>
      <c r="AH30" s="302"/>
      <c r="AI30" s="302"/>
      <c r="AJ30" s="302"/>
      <c r="AK30" s="302"/>
      <c r="AL30" s="302"/>
      <c r="AM30" s="302"/>
      <c r="AN30" s="302"/>
      <c r="AO30" s="302"/>
      <c r="AP30" s="302"/>
      <c r="AQ30" s="302"/>
      <c r="AR30" s="302"/>
      <c r="AS30" s="302"/>
      <c r="AT30" s="302"/>
      <c r="AU30" s="302"/>
      <c r="AV30" s="302"/>
      <c r="AW30" s="302"/>
      <c r="AX30" s="302"/>
      <c r="AY30" s="302"/>
      <c r="AZ30" s="302"/>
      <c r="BA30" s="302"/>
      <c r="BB30" s="302"/>
      <c r="BC30" s="302"/>
      <c r="BD30" s="302"/>
      <c r="BE30" s="302"/>
      <c r="BF30" s="302"/>
      <c r="BG30" s="302"/>
      <c r="BH30" s="302"/>
      <c r="BI30" s="302"/>
      <c r="BJ30" s="302"/>
      <c r="BK30" s="302"/>
      <c r="BL30" s="302"/>
      <c r="BM30" s="302"/>
      <c r="BN30" s="302"/>
      <c r="BO30" s="302"/>
      <c r="BP30" s="302"/>
      <c r="BQ30" s="302"/>
      <c r="BR30" s="302"/>
      <c r="BS30" s="302"/>
      <c r="BT30" s="302"/>
      <c r="BU30" s="302"/>
      <c r="BV30" s="302"/>
      <c r="BW30" s="302"/>
      <c r="BX30" s="302"/>
      <c r="BY30" s="302"/>
      <c r="BZ30" s="302"/>
      <c r="CA30" s="302"/>
      <c r="CB30" s="302"/>
      <c r="CC30" s="302"/>
      <c r="CD30" s="302"/>
      <c r="CE30" s="302"/>
      <c r="CF30" s="302"/>
    </row>
    <row r="31" spans="2:84" x14ac:dyDescent="0.2">
      <c r="B31" s="316" t="str">
        <f>PedBerMedIV!AD29</f>
        <v/>
      </c>
      <c r="C31" s="463"/>
      <c r="D31" s="598" t="s">
        <v>181</v>
      </c>
      <c r="E31" s="597"/>
      <c r="F31" s="821">
        <f>PedBerMedIV!C29</f>
        <v>0</v>
      </c>
      <c r="G31" s="821"/>
      <c r="H31" s="821"/>
      <c r="I31" s="821"/>
      <c r="J31" s="821"/>
      <c r="K31" s="821"/>
      <c r="L31" s="821"/>
      <c r="M31" s="821"/>
      <c r="N31" s="821"/>
      <c r="O31" s="821"/>
      <c r="P31" s="307"/>
      <c r="Q31" s="298"/>
      <c r="R31" s="298"/>
      <c r="S31" s="298"/>
      <c r="T31" s="298"/>
      <c r="U31" s="298"/>
      <c r="V31" s="298"/>
      <c r="W31" s="298"/>
      <c r="X31" s="298"/>
      <c r="Y31" s="298"/>
      <c r="Z31" s="298"/>
      <c r="AA31" s="302"/>
      <c r="AB31" s="302"/>
      <c r="AC31" s="302"/>
      <c r="AD31" s="302"/>
      <c r="AE31" s="302"/>
      <c r="AF31" s="302"/>
      <c r="AG31" s="302"/>
      <c r="AH31" s="302"/>
      <c r="AI31" s="302"/>
      <c r="AJ31" s="302"/>
      <c r="AK31" s="302"/>
      <c r="AL31" s="302"/>
      <c r="AM31" s="302"/>
      <c r="AN31" s="302"/>
      <c r="AO31" s="302"/>
      <c r="AP31" s="302"/>
      <c r="AQ31" s="302"/>
      <c r="AR31" s="302"/>
      <c r="AS31" s="302"/>
      <c r="AT31" s="302"/>
      <c r="AU31" s="302"/>
      <c r="AV31" s="302"/>
      <c r="AW31" s="302"/>
      <c r="AX31" s="302"/>
      <c r="AY31" s="302"/>
      <c r="AZ31" s="302"/>
      <c r="BA31" s="302"/>
      <c r="BB31" s="302"/>
      <c r="BC31" s="302"/>
      <c r="BD31" s="302"/>
      <c r="BE31" s="302"/>
      <c r="BF31" s="302"/>
      <c r="BG31" s="302"/>
      <c r="BH31" s="302"/>
      <c r="BI31" s="302"/>
      <c r="BJ31" s="302"/>
      <c r="BK31" s="302"/>
      <c r="BL31" s="302"/>
      <c r="BM31" s="302"/>
      <c r="BN31" s="302"/>
      <c r="BO31" s="302"/>
      <c r="BP31" s="302"/>
      <c r="BQ31" s="302"/>
      <c r="BR31" s="302"/>
      <c r="BS31" s="302"/>
      <c r="BT31" s="302"/>
      <c r="BU31" s="302"/>
      <c r="BV31" s="302"/>
      <c r="BW31" s="302"/>
      <c r="BX31" s="302"/>
      <c r="BY31" s="302"/>
      <c r="BZ31" s="302"/>
      <c r="CA31" s="302"/>
      <c r="CB31" s="302"/>
      <c r="CC31" s="302"/>
      <c r="CD31" s="302"/>
      <c r="CE31" s="302"/>
    </row>
    <row r="32" spans="2:84" x14ac:dyDescent="0.2">
      <c r="B32" s="463"/>
      <c r="C32" s="463"/>
      <c r="D32" s="598"/>
      <c r="E32" s="599"/>
      <c r="F32" s="821"/>
      <c r="G32" s="821"/>
      <c r="H32" s="821"/>
      <c r="I32" s="821"/>
      <c r="J32" s="821"/>
      <c r="K32" s="821"/>
      <c r="L32" s="821"/>
      <c r="M32" s="821"/>
      <c r="N32" s="821"/>
      <c r="O32" s="821"/>
      <c r="P32" s="307"/>
      <c r="Q32" s="298"/>
      <c r="R32" s="298"/>
      <c r="S32" s="298"/>
      <c r="T32" s="298"/>
      <c r="U32" s="298"/>
      <c r="V32" s="298"/>
      <c r="W32" s="298"/>
      <c r="X32" s="298"/>
      <c r="Y32" s="298"/>
      <c r="Z32" s="298"/>
      <c r="AA32" s="302"/>
      <c r="AB32" s="302"/>
      <c r="AC32" s="302"/>
      <c r="AD32" s="302"/>
      <c r="AE32" s="302"/>
      <c r="AF32" s="302"/>
      <c r="AG32" s="302"/>
      <c r="AH32" s="302"/>
      <c r="AI32" s="302"/>
      <c r="AJ32" s="302"/>
      <c r="AK32" s="302"/>
      <c r="AL32" s="302"/>
      <c r="AM32" s="302"/>
      <c r="AN32" s="302"/>
      <c r="AO32" s="302"/>
      <c r="AP32" s="302"/>
      <c r="AQ32" s="302"/>
      <c r="AR32" s="302"/>
      <c r="AS32" s="302"/>
      <c r="AT32" s="302"/>
      <c r="AU32" s="302"/>
      <c r="AV32" s="302"/>
      <c r="AW32" s="302"/>
      <c r="AX32" s="302"/>
      <c r="AY32" s="302"/>
      <c r="AZ32" s="302"/>
      <c r="BA32" s="302"/>
      <c r="BB32" s="302"/>
      <c r="BC32" s="302"/>
      <c r="BD32" s="302"/>
      <c r="BE32" s="302"/>
      <c r="BF32" s="302"/>
      <c r="BG32" s="302"/>
      <c r="BH32" s="302"/>
      <c r="BI32" s="302"/>
      <c r="BJ32" s="302"/>
      <c r="BK32" s="302"/>
      <c r="BL32" s="302"/>
      <c r="BM32" s="302"/>
      <c r="BN32" s="302"/>
      <c r="BO32" s="302"/>
      <c r="BP32" s="302"/>
      <c r="BQ32" s="302"/>
      <c r="BR32" s="302"/>
      <c r="BS32" s="302"/>
      <c r="BT32" s="302"/>
      <c r="BU32" s="302"/>
      <c r="BV32" s="302"/>
      <c r="BW32" s="302"/>
      <c r="BX32" s="302"/>
      <c r="BY32" s="302"/>
      <c r="BZ32" s="302"/>
      <c r="CA32" s="302"/>
      <c r="CB32" s="302"/>
      <c r="CC32" s="302"/>
      <c r="CD32" s="302"/>
      <c r="CE32" s="302"/>
    </row>
    <row r="33" spans="2:84" x14ac:dyDescent="0.2">
      <c r="B33" s="463"/>
      <c r="C33" s="463"/>
      <c r="D33" s="598"/>
      <c r="E33" s="599"/>
      <c r="F33" s="821"/>
      <c r="G33" s="821"/>
      <c r="H33" s="821"/>
      <c r="I33" s="821"/>
      <c r="J33" s="821"/>
      <c r="K33" s="821"/>
      <c r="L33" s="821"/>
      <c r="M33" s="821"/>
      <c r="N33" s="821"/>
      <c r="O33" s="821"/>
      <c r="P33" s="307"/>
      <c r="Q33" s="298"/>
      <c r="R33" s="298"/>
      <c r="S33" s="298"/>
      <c r="T33" s="298"/>
      <c r="U33" s="298"/>
      <c r="V33" s="298"/>
      <c r="W33" s="298"/>
      <c r="X33" s="298"/>
      <c r="Y33" s="298"/>
      <c r="Z33" s="298"/>
      <c r="AA33" s="302"/>
      <c r="AB33" s="302"/>
      <c r="AC33" s="302"/>
      <c r="AD33" s="302"/>
      <c r="AE33" s="302"/>
      <c r="AF33" s="302"/>
      <c r="AG33" s="302"/>
      <c r="AH33" s="302"/>
      <c r="AI33" s="302"/>
      <c r="AJ33" s="302"/>
      <c r="AK33" s="302"/>
      <c r="AL33" s="302"/>
      <c r="AM33" s="302"/>
      <c r="AN33" s="302"/>
      <c r="AO33" s="302"/>
      <c r="AP33" s="302"/>
      <c r="AQ33" s="302"/>
      <c r="AR33" s="302"/>
      <c r="AS33" s="302"/>
      <c r="AT33" s="302"/>
      <c r="AU33" s="302"/>
      <c r="AV33" s="302"/>
      <c r="AW33" s="302"/>
      <c r="AX33" s="302"/>
      <c r="AY33" s="302"/>
      <c r="AZ33" s="302"/>
      <c r="BA33" s="302"/>
      <c r="BB33" s="302"/>
      <c r="BC33" s="302"/>
      <c r="BD33" s="302"/>
      <c r="BE33" s="302"/>
      <c r="BF33" s="302"/>
      <c r="BG33" s="302"/>
      <c r="BH33" s="302"/>
      <c r="BI33" s="302"/>
      <c r="BJ33" s="302"/>
      <c r="BK33" s="302"/>
      <c r="BL33" s="302"/>
      <c r="BM33" s="302"/>
      <c r="BN33" s="302"/>
      <c r="BO33" s="302"/>
      <c r="BP33" s="302"/>
      <c r="BQ33" s="302"/>
      <c r="BR33" s="302"/>
      <c r="BS33" s="302"/>
      <c r="BT33" s="302"/>
      <c r="BU33" s="302"/>
      <c r="BV33" s="302"/>
      <c r="BW33" s="302"/>
      <c r="BX33" s="302"/>
      <c r="BY33" s="302"/>
      <c r="BZ33" s="302"/>
      <c r="CA33" s="302"/>
      <c r="CB33" s="302"/>
      <c r="CC33" s="302"/>
      <c r="CD33" s="302"/>
      <c r="CE33" s="302"/>
    </row>
    <row r="34" spans="2:84" x14ac:dyDescent="0.2">
      <c r="P34" s="307"/>
      <c r="Q34" s="298"/>
      <c r="R34" s="298"/>
      <c r="S34" s="298"/>
      <c r="T34" s="298"/>
      <c r="U34" s="298"/>
      <c r="V34" s="298"/>
      <c r="W34" s="298"/>
      <c r="X34" s="298"/>
      <c r="Y34" s="298"/>
      <c r="Z34" s="298"/>
      <c r="AA34" s="302"/>
      <c r="AB34" s="302"/>
      <c r="AC34" s="302"/>
      <c r="AD34" s="302"/>
      <c r="AE34" s="302"/>
      <c r="AF34" s="302"/>
      <c r="AG34" s="302"/>
      <c r="AH34" s="302"/>
      <c r="AI34" s="302"/>
      <c r="AJ34" s="302"/>
      <c r="AK34" s="302"/>
      <c r="AL34" s="302"/>
      <c r="AM34" s="302"/>
      <c r="AN34" s="302"/>
      <c r="AO34" s="302"/>
      <c r="AP34" s="302"/>
      <c r="AQ34" s="302"/>
      <c r="AR34" s="302"/>
      <c r="AS34" s="302"/>
      <c r="AT34" s="302"/>
      <c r="AU34" s="302"/>
      <c r="AV34" s="302"/>
      <c r="AW34" s="302"/>
      <c r="AX34" s="302"/>
      <c r="AY34" s="302"/>
      <c r="AZ34" s="302"/>
      <c r="BA34" s="302"/>
      <c r="BB34" s="302"/>
      <c r="BC34" s="302"/>
      <c r="BD34" s="302"/>
      <c r="BE34" s="302"/>
      <c r="BF34" s="302"/>
      <c r="BG34" s="302"/>
      <c r="BH34" s="302"/>
      <c r="BI34" s="302"/>
      <c r="BJ34" s="302"/>
      <c r="BK34" s="302"/>
      <c r="BL34" s="302"/>
      <c r="BM34" s="302"/>
      <c r="BN34" s="302"/>
      <c r="BO34" s="302"/>
      <c r="BP34" s="302"/>
      <c r="BQ34" s="302"/>
      <c r="BR34" s="302"/>
      <c r="BS34" s="302"/>
      <c r="BT34" s="302"/>
      <c r="BU34" s="302"/>
      <c r="BV34" s="302"/>
      <c r="BW34" s="302"/>
      <c r="BX34" s="302"/>
      <c r="BY34" s="302"/>
      <c r="BZ34" s="302"/>
      <c r="CA34" s="302"/>
      <c r="CB34" s="302"/>
      <c r="CC34" s="302"/>
      <c r="CD34" s="302"/>
      <c r="CE34" s="302"/>
    </row>
    <row r="35" spans="2:84" x14ac:dyDescent="0.2">
      <c r="B35" s="630"/>
      <c r="C35" s="630"/>
      <c r="D35" s="631"/>
      <c r="E35" s="631" t="s">
        <v>4761</v>
      </c>
      <c r="F35" s="631" t="s">
        <v>85</v>
      </c>
      <c r="G35" s="631"/>
      <c r="H35" s="631" t="s">
        <v>418</v>
      </c>
      <c r="I35" s="631"/>
      <c r="J35" s="631" t="s">
        <v>4761</v>
      </c>
      <c r="K35" s="631" t="s">
        <v>85</v>
      </c>
      <c r="L35" s="631"/>
      <c r="M35" s="631" t="s">
        <v>418</v>
      </c>
      <c r="N35" s="631"/>
      <c r="O35" s="631"/>
      <c r="P35" s="307"/>
      <c r="Q35" s="298"/>
      <c r="R35" s="298"/>
      <c r="S35" s="298"/>
      <c r="T35" s="298"/>
      <c r="U35" s="298"/>
      <c r="V35" s="298"/>
      <c r="W35" s="298"/>
      <c r="X35" s="298"/>
      <c r="Y35" s="298"/>
      <c r="Z35" s="298"/>
      <c r="AA35" s="302"/>
      <c r="AB35" s="302"/>
      <c r="AC35" s="302"/>
      <c r="AD35" s="302"/>
      <c r="AE35" s="302"/>
      <c r="AF35" s="302"/>
      <c r="AG35" s="302"/>
      <c r="AH35" s="302"/>
      <c r="AI35" s="302"/>
      <c r="AJ35" s="302"/>
      <c r="AK35" s="302"/>
      <c r="AL35" s="302"/>
      <c r="AM35" s="302"/>
      <c r="AN35" s="302"/>
      <c r="AO35" s="302"/>
      <c r="AP35" s="302"/>
      <c r="AQ35" s="302"/>
      <c r="AR35" s="302"/>
      <c r="AS35" s="302"/>
      <c r="AT35" s="302"/>
      <c r="AU35" s="302"/>
      <c r="AV35" s="302"/>
      <c r="AW35" s="302"/>
      <c r="AX35" s="302"/>
      <c r="AY35" s="302"/>
      <c r="AZ35" s="302"/>
      <c r="BA35" s="302"/>
      <c r="BB35" s="302"/>
      <c r="BC35" s="302"/>
      <c r="BD35" s="302"/>
      <c r="BE35" s="302"/>
      <c r="BF35" s="302"/>
      <c r="BG35" s="302"/>
      <c r="BH35" s="302"/>
      <c r="BI35" s="302"/>
      <c r="BJ35" s="302"/>
      <c r="BK35" s="302"/>
      <c r="BL35" s="302"/>
      <c r="BM35" s="302"/>
      <c r="BN35" s="302"/>
      <c r="BO35" s="302"/>
      <c r="BP35" s="302"/>
      <c r="BQ35" s="302"/>
      <c r="BR35" s="302"/>
      <c r="BS35" s="302"/>
      <c r="BT35" s="302"/>
      <c r="BU35" s="302"/>
      <c r="BV35" s="302"/>
      <c r="BW35" s="302"/>
      <c r="BX35" s="302"/>
      <c r="BY35" s="302"/>
      <c r="BZ35" s="302"/>
      <c r="CA35" s="302"/>
      <c r="CB35" s="302"/>
      <c r="CC35" s="302"/>
      <c r="CD35" s="302"/>
      <c r="CE35" s="302"/>
    </row>
    <row r="36" spans="2:84" x14ac:dyDescent="0.2">
      <c r="B36" s="630"/>
      <c r="C36" s="630"/>
      <c r="D36" s="631"/>
      <c r="E36" s="632" t="s">
        <v>259</v>
      </c>
      <c r="F36" s="632" t="str">
        <f t="shared" ref="F36:F42" si="2">VLOOKUP($E36,Tbl_Ped_Totalen, 13,FALSE)</f>
        <v>0 ml/kg</v>
      </c>
      <c r="G36" s="632"/>
      <c r="H36" s="632" t="str">
        <f t="shared" ref="H36:H42" ca="1" si="3">VLOOKUP($E36,Tbl_Ped_Totalen, 10,FALSE)</f>
        <v>150 ml/kg</v>
      </c>
      <c r="I36" s="632"/>
      <c r="J36" s="632"/>
      <c r="K36" s="632"/>
      <c r="L36" s="632"/>
      <c r="M36" s="632"/>
      <c r="N36" s="632"/>
      <c r="O36" s="631"/>
      <c r="P36" s="298"/>
      <c r="Q36" s="298"/>
      <c r="R36" s="298"/>
      <c r="S36" s="298"/>
      <c r="T36" s="298"/>
      <c r="U36" s="298"/>
      <c r="V36" s="298"/>
      <c r="W36" s="298"/>
      <c r="X36" s="298"/>
      <c r="Y36" s="298"/>
      <c r="Z36" s="298"/>
      <c r="AA36" s="298"/>
      <c r="AB36" s="302"/>
      <c r="AC36" s="302"/>
      <c r="AD36" s="302"/>
      <c r="AE36" s="302"/>
      <c r="AF36" s="302"/>
      <c r="AG36" s="302"/>
      <c r="AH36" s="302"/>
      <c r="AI36" s="302"/>
      <c r="AJ36" s="302"/>
      <c r="AK36" s="302"/>
      <c r="AL36" s="302"/>
      <c r="AM36" s="302"/>
      <c r="AN36" s="302"/>
      <c r="AO36" s="302"/>
      <c r="AP36" s="302"/>
      <c r="AQ36" s="302"/>
      <c r="AR36" s="302"/>
      <c r="AS36" s="302"/>
      <c r="AT36" s="302"/>
      <c r="AU36" s="302"/>
      <c r="AV36" s="302"/>
      <c r="AW36" s="302"/>
      <c r="AX36" s="302"/>
      <c r="AY36" s="302"/>
      <c r="AZ36" s="302"/>
      <c r="BA36" s="302"/>
      <c r="BB36" s="302"/>
      <c r="BC36" s="302"/>
      <c r="BD36" s="302"/>
      <c r="BE36" s="302"/>
      <c r="BF36" s="302"/>
      <c r="BG36" s="302"/>
      <c r="BH36" s="302"/>
      <c r="BI36" s="302"/>
      <c r="BJ36" s="302"/>
      <c r="BK36" s="302"/>
      <c r="BL36" s="302"/>
      <c r="BM36" s="302"/>
      <c r="BN36" s="302"/>
      <c r="BO36" s="302"/>
      <c r="BP36" s="302"/>
      <c r="BQ36" s="302"/>
      <c r="BR36" s="302"/>
      <c r="BS36" s="302"/>
      <c r="BT36" s="302"/>
      <c r="BU36" s="302"/>
      <c r="BV36" s="302"/>
      <c r="BW36" s="302"/>
      <c r="BX36" s="302"/>
      <c r="BY36" s="302"/>
      <c r="BZ36" s="302"/>
      <c r="CA36" s="302"/>
      <c r="CB36" s="302"/>
      <c r="CC36" s="302"/>
      <c r="CD36" s="302"/>
      <c r="CE36" s="302"/>
      <c r="CF36" s="302"/>
    </row>
    <row r="37" spans="2:84" x14ac:dyDescent="0.2">
      <c r="B37" s="630"/>
      <c r="C37" s="630"/>
      <c r="D37" s="631"/>
      <c r="E37" s="632" t="s">
        <v>175</v>
      </c>
      <c r="F37" s="632" t="str">
        <f t="shared" si="2"/>
        <v>0 kcal/kg</v>
      </c>
      <c r="G37" s="632"/>
      <c r="H37" s="632" t="str">
        <f t="shared" si="3"/>
        <v xml:space="preserve"> kcal/kg</v>
      </c>
      <c r="I37" s="632"/>
      <c r="J37" s="632" t="s">
        <v>260</v>
      </c>
      <c r="K37" s="632" t="str">
        <f t="shared" ref="K37:K42" si="4">VLOOKUP($J37,Tbl_Ped_Totalen, 13,FALSE)</f>
        <v>0 mmol/kg</v>
      </c>
      <c r="L37" s="632"/>
      <c r="M37" s="632" t="str">
        <f t="shared" ref="M37:M42" si="5">VLOOKUP($J37,Tbl_Ped_Totalen, 10,FALSE)</f>
        <v>2-4 mmol/kg</v>
      </c>
      <c r="N37" s="632"/>
      <c r="O37" s="631"/>
      <c r="P37" s="298"/>
      <c r="Q37" s="298"/>
      <c r="R37" s="298"/>
      <c r="S37" s="298"/>
      <c r="T37" s="298"/>
      <c r="U37" s="298"/>
      <c r="V37" s="298"/>
      <c r="W37" s="298"/>
      <c r="X37" s="298"/>
      <c r="Y37" s="298"/>
      <c r="Z37" s="298"/>
      <c r="AA37" s="298"/>
      <c r="AB37" s="302"/>
      <c r="AC37" s="302"/>
      <c r="AD37" s="302"/>
      <c r="AE37" s="302"/>
      <c r="AF37" s="302"/>
      <c r="AG37" s="302"/>
      <c r="AH37" s="302"/>
      <c r="AI37" s="302"/>
      <c r="AJ37" s="302"/>
      <c r="AK37" s="302"/>
      <c r="AL37" s="302"/>
      <c r="AM37" s="302"/>
      <c r="AN37" s="302"/>
      <c r="AO37" s="302"/>
      <c r="AP37" s="302"/>
      <c r="AQ37" s="302"/>
      <c r="AR37" s="302"/>
      <c r="AS37" s="302"/>
      <c r="AT37" s="302"/>
      <c r="AU37" s="302"/>
      <c r="AV37" s="302"/>
      <c r="AW37" s="302"/>
      <c r="AX37" s="302"/>
      <c r="AY37" s="302"/>
      <c r="AZ37" s="302"/>
      <c r="BA37" s="302"/>
      <c r="BB37" s="302"/>
      <c r="BC37" s="302"/>
      <c r="BD37" s="302"/>
      <c r="BE37" s="302"/>
      <c r="BF37" s="302"/>
      <c r="BG37" s="302"/>
      <c r="BH37" s="302"/>
      <c r="BI37" s="302"/>
      <c r="BJ37" s="302"/>
      <c r="BK37" s="302"/>
      <c r="BL37" s="302"/>
      <c r="BM37" s="302"/>
      <c r="BN37" s="302"/>
      <c r="BO37" s="302"/>
      <c r="BP37" s="302"/>
      <c r="BQ37" s="302"/>
      <c r="BR37" s="302"/>
      <c r="BS37" s="302"/>
      <c r="BT37" s="302"/>
      <c r="BU37" s="302"/>
      <c r="BV37" s="302"/>
      <c r="BW37" s="302"/>
      <c r="BX37" s="302"/>
      <c r="BY37" s="302"/>
      <c r="BZ37" s="302"/>
      <c r="CA37" s="302"/>
      <c r="CB37" s="302"/>
      <c r="CC37" s="302"/>
      <c r="CD37" s="302"/>
      <c r="CE37" s="302"/>
      <c r="CF37" s="302"/>
    </row>
    <row r="38" spans="2:84" x14ac:dyDescent="0.2">
      <c r="B38" s="630"/>
      <c r="C38" s="630"/>
      <c r="D38" s="631"/>
      <c r="E38" s="632" t="s">
        <v>140</v>
      </c>
      <c r="F38" s="632" t="str">
        <f t="shared" si="2"/>
        <v>0 gram/kg</v>
      </c>
      <c r="G38" s="632"/>
      <c r="H38" s="632" t="str">
        <f t="shared" si="3"/>
        <v xml:space="preserve"> gram/kg</v>
      </c>
      <c r="I38" s="632"/>
      <c r="J38" s="632" t="s">
        <v>261</v>
      </c>
      <c r="K38" s="632" t="str">
        <f t="shared" si="4"/>
        <v>0 mmol/kg</v>
      </c>
      <c r="L38" s="632"/>
      <c r="M38" s="632" t="str">
        <f t="shared" si="5"/>
        <v>1-2 mmol/kg</v>
      </c>
      <c r="N38" s="632"/>
      <c r="O38" s="631"/>
      <c r="P38" s="298"/>
      <c r="Q38" s="298"/>
      <c r="R38" s="298"/>
      <c r="S38" s="298"/>
      <c r="T38" s="298"/>
      <c r="U38" s="298"/>
      <c r="V38" s="298"/>
      <c r="W38" s="298"/>
      <c r="X38" s="298"/>
      <c r="Y38" s="298"/>
      <c r="Z38" s="298"/>
      <c r="AA38" s="298"/>
      <c r="AB38" s="302"/>
      <c r="AC38" s="302"/>
      <c r="AD38" s="302"/>
      <c r="AE38" s="302"/>
      <c r="AF38" s="302"/>
      <c r="AG38" s="302"/>
      <c r="AH38" s="302"/>
      <c r="AI38" s="302"/>
      <c r="AJ38" s="302"/>
      <c r="AK38" s="302"/>
      <c r="AL38" s="302"/>
      <c r="AM38" s="302"/>
      <c r="AN38" s="302"/>
      <c r="AO38" s="302"/>
      <c r="AP38" s="302"/>
      <c r="AQ38" s="302"/>
      <c r="AR38" s="302"/>
      <c r="AS38" s="302"/>
      <c r="AT38" s="302"/>
      <c r="AU38" s="302"/>
      <c r="AV38" s="302"/>
      <c r="AW38" s="302"/>
      <c r="AX38" s="302"/>
      <c r="AY38" s="302"/>
      <c r="AZ38" s="302"/>
      <c r="BA38" s="302"/>
      <c r="BB38" s="302"/>
      <c r="BC38" s="302"/>
      <c r="BD38" s="302"/>
      <c r="BE38" s="302"/>
      <c r="BF38" s="302"/>
      <c r="BG38" s="302"/>
      <c r="BH38" s="302"/>
      <c r="BI38" s="302"/>
      <c r="BJ38" s="302"/>
      <c r="BK38" s="302"/>
      <c r="BL38" s="302"/>
      <c r="BM38" s="302"/>
      <c r="BN38" s="302"/>
      <c r="BO38" s="302"/>
      <c r="BP38" s="302"/>
      <c r="BQ38" s="302"/>
      <c r="BR38" s="302"/>
      <c r="BS38" s="302"/>
      <c r="BT38" s="302"/>
      <c r="BU38" s="302"/>
      <c r="BV38" s="302"/>
      <c r="BW38" s="302"/>
      <c r="BX38" s="302"/>
      <c r="BY38" s="302"/>
      <c r="BZ38" s="302"/>
      <c r="CA38" s="302"/>
      <c r="CB38" s="302"/>
      <c r="CC38" s="302"/>
      <c r="CD38" s="302"/>
      <c r="CE38" s="302"/>
      <c r="CF38" s="302"/>
    </row>
    <row r="39" spans="2:84" x14ac:dyDescent="0.2">
      <c r="B39" s="630"/>
      <c r="C39" s="630"/>
      <c r="D39" s="631"/>
      <c r="E39" s="632" t="s">
        <v>144</v>
      </c>
      <c r="F39" s="632" t="str">
        <f t="shared" si="2"/>
        <v>0 gram/kg</v>
      </c>
      <c r="G39" s="632"/>
      <c r="H39" s="632" t="str">
        <f t="shared" si="3"/>
        <v xml:space="preserve"> gram/kg</v>
      </c>
      <c r="I39" s="632"/>
      <c r="J39" s="632" t="s">
        <v>806</v>
      </c>
      <c r="K39" s="632" t="str">
        <f t="shared" si="4"/>
        <v>0 mmol/kg</v>
      </c>
      <c r="L39" s="632"/>
      <c r="M39" s="632" t="str">
        <f t="shared" si="5"/>
        <v/>
      </c>
      <c r="N39" s="632"/>
      <c r="O39" s="631"/>
      <c r="P39" s="298"/>
      <c r="Q39" s="298"/>
      <c r="R39" s="298"/>
      <c r="S39" s="298"/>
      <c r="T39" s="298"/>
      <c r="U39" s="298"/>
      <c r="V39" s="298"/>
      <c r="W39" s="298"/>
      <c r="X39" s="298"/>
      <c r="Y39" s="298"/>
      <c r="Z39" s="298"/>
      <c r="AA39" s="298"/>
      <c r="AB39" s="302"/>
      <c r="AC39" s="302"/>
      <c r="AD39" s="302"/>
      <c r="AE39" s="302"/>
      <c r="AF39" s="302"/>
      <c r="AG39" s="302"/>
      <c r="AH39" s="302"/>
      <c r="AI39" s="302"/>
      <c r="AJ39" s="302"/>
      <c r="AK39" s="302"/>
      <c r="AL39" s="302"/>
      <c r="AM39" s="302"/>
      <c r="AN39" s="302"/>
      <c r="AO39" s="302"/>
      <c r="AP39" s="302"/>
      <c r="AQ39" s="302"/>
      <c r="AR39" s="302"/>
      <c r="AS39" s="302"/>
      <c r="AT39" s="302"/>
      <c r="AU39" s="302"/>
      <c r="AV39" s="302"/>
      <c r="AW39" s="302"/>
      <c r="AX39" s="302"/>
      <c r="AY39" s="302"/>
      <c r="AZ39" s="302"/>
      <c r="BA39" s="302"/>
      <c r="BB39" s="302"/>
      <c r="BC39" s="302"/>
      <c r="BD39" s="302"/>
      <c r="BE39" s="302"/>
      <c r="BF39" s="302"/>
      <c r="BG39" s="302"/>
      <c r="BH39" s="302"/>
      <c r="BI39" s="302"/>
      <c r="BJ39" s="302"/>
      <c r="BK39" s="302"/>
      <c r="BL39" s="302"/>
      <c r="BM39" s="302"/>
      <c r="BN39" s="302"/>
      <c r="BO39" s="302"/>
      <c r="BP39" s="302"/>
      <c r="BQ39" s="302"/>
      <c r="BR39" s="302"/>
      <c r="BS39" s="302"/>
      <c r="BT39" s="302"/>
      <c r="BU39" s="302"/>
      <c r="BV39" s="302"/>
      <c r="BW39" s="302"/>
      <c r="BX39" s="302"/>
      <c r="BY39" s="302"/>
      <c r="BZ39" s="302"/>
      <c r="CA39" s="302"/>
      <c r="CB39" s="302"/>
      <c r="CC39" s="302"/>
      <c r="CD39" s="302"/>
      <c r="CE39" s="302"/>
      <c r="CF39" s="302"/>
    </row>
    <row r="40" spans="2:84" x14ac:dyDescent="0.2">
      <c r="B40" s="630"/>
      <c r="C40" s="630"/>
      <c r="D40" s="631"/>
      <c r="E40" s="632" t="s">
        <v>145</v>
      </c>
      <c r="F40" s="632" t="str">
        <f t="shared" si="2"/>
        <v>0 gram/kg</v>
      </c>
      <c r="G40" s="632"/>
      <c r="H40" s="632" t="str">
        <f t="shared" si="3"/>
        <v xml:space="preserve"> gram/kg</v>
      </c>
      <c r="I40" s="632"/>
      <c r="J40" s="632" t="s">
        <v>141</v>
      </c>
      <c r="K40" s="632" t="str">
        <f t="shared" si="4"/>
        <v>0 mmol/kg</v>
      </c>
      <c r="L40" s="632"/>
      <c r="M40" s="632" t="str">
        <f t="shared" si="5"/>
        <v>0,8 mmol/kg</v>
      </c>
      <c r="N40" s="632"/>
      <c r="O40" s="631"/>
      <c r="P40" s="298"/>
      <c r="Q40" s="298"/>
      <c r="R40" s="298"/>
      <c r="S40" s="298"/>
      <c r="T40" s="298"/>
      <c r="U40" s="298"/>
      <c r="V40" s="298"/>
      <c r="W40" s="298"/>
      <c r="X40" s="298"/>
      <c r="Y40" s="298"/>
      <c r="Z40" s="298"/>
      <c r="AA40" s="298"/>
      <c r="AB40" s="302"/>
      <c r="AC40" s="302"/>
      <c r="AD40" s="302"/>
      <c r="AE40" s="302"/>
      <c r="AF40" s="302"/>
      <c r="AG40" s="302"/>
      <c r="AH40" s="302"/>
      <c r="AI40" s="302"/>
      <c r="AJ40" s="302"/>
      <c r="AK40" s="302"/>
      <c r="AL40" s="302"/>
      <c r="AM40" s="302"/>
      <c r="AN40" s="302"/>
      <c r="AO40" s="302"/>
      <c r="AP40" s="302"/>
      <c r="AQ40" s="302"/>
      <c r="AR40" s="302"/>
      <c r="AS40" s="302"/>
      <c r="AT40" s="302"/>
      <c r="AU40" s="302"/>
      <c r="AV40" s="302"/>
      <c r="AW40" s="302"/>
      <c r="AX40" s="302"/>
      <c r="AY40" s="302"/>
      <c r="AZ40" s="302"/>
      <c r="BA40" s="302"/>
      <c r="BB40" s="302"/>
      <c r="BC40" s="302"/>
      <c r="BD40" s="302"/>
      <c r="BE40" s="302"/>
      <c r="BF40" s="302"/>
      <c r="BG40" s="302"/>
      <c r="BH40" s="302"/>
      <c r="BI40" s="302"/>
      <c r="BJ40" s="302"/>
      <c r="BK40" s="302"/>
      <c r="BL40" s="302"/>
      <c r="BM40" s="302"/>
      <c r="BN40" s="302"/>
      <c r="BO40" s="302"/>
      <c r="BP40" s="302"/>
      <c r="BQ40" s="302"/>
      <c r="BR40" s="302"/>
      <c r="BS40" s="302"/>
      <c r="BT40" s="302"/>
      <c r="BU40" s="302"/>
      <c r="BV40" s="302"/>
      <c r="BW40" s="302"/>
      <c r="BX40" s="302"/>
      <c r="BY40" s="302"/>
      <c r="BZ40" s="302"/>
      <c r="CA40" s="302"/>
      <c r="CB40" s="302"/>
      <c r="CC40" s="302"/>
      <c r="CD40" s="302"/>
      <c r="CE40" s="302"/>
      <c r="CF40" s="302"/>
    </row>
    <row r="41" spans="2:84" x14ac:dyDescent="0.2">
      <c r="B41" s="631"/>
      <c r="C41" s="631"/>
      <c r="D41" s="631"/>
      <c r="E41" s="632" t="s">
        <v>807</v>
      </c>
      <c r="F41" s="632" t="str">
        <f t="shared" si="2"/>
        <v>0 IE</v>
      </c>
      <c r="G41" s="632"/>
      <c r="H41" s="632" t="str">
        <f t="shared" si="3"/>
        <v/>
      </c>
      <c r="I41" s="632"/>
      <c r="J41" s="632" t="s">
        <v>143</v>
      </c>
      <c r="K41" s="632" t="str">
        <f t="shared" si="4"/>
        <v>0 mmol/kg</v>
      </c>
      <c r="L41" s="632"/>
      <c r="M41" s="632" t="str">
        <f t="shared" si="5"/>
        <v>0,1-0,3 mmol/kg</v>
      </c>
      <c r="N41" s="632"/>
      <c r="O41" s="631"/>
      <c r="P41" s="298"/>
      <c r="Q41" s="298"/>
      <c r="R41" s="298"/>
      <c r="S41" s="298"/>
      <c r="T41" s="298"/>
      <c r="U41" s="298"/>
      <c r="V41" s="298"/>
      <c r="W41" s="298"/>
      <c r="X41" s="298"/>
      <c r="Y41" s="298"/>
      <c r="Z41" s="298"/>
      <c r="AA41" s="298"/>
      <c r="AB41" s="302"/>
      <c r="AC41" s="302"/>
      <c r="AD41" s="302"/>
      <c r="AE41" s="302"/>
      <c r="AF41" s="302"/>
      <c r="AG41" s="302"/>
      <c r="AH41" s="302"/>
      <c r="AI41" s="302"/>
      <c r="AJ41" s="302"/>
      <c r="AK41" s="302"/>
      <c r="AL41" s="302"/>
      <c r="AM41" s="302"/>
      <c r="AN41" s="302"/>
      <c r="AO41" s="302"/>
      <c r="AP41" s="302"/>
      <c r="AQ41" s="302"/>
      <c r="AR41" s="302"/>
      <c r="AS41" s="302"/>
      <c r="AT41" s="302"/>
      <c r="AU41" s="302"/>
      <c r="AV41" s="302"/>
      <c r="AW41" s="302"/>
      <c r="AX41" s="302"/>
      <c r="AY41" s="302"/>
      <c r="AZ41" s="302"/>
      <c r="BA41" s="302"/>
      <c r="BB41" s="302"/>
      <c r="BC41" s="302"/>
      <c r="BD41" s="302"/>
      <c r="BE41" s="302"/>
      <c r="BF41" s="302"/>
      <c r="BG41" s="302"/>
      <c r="BH41" s="302"/>
      <c r="BI41" s="302"/>
      <c r="BJ41" s="302"/>
      <c r="BK41" s="302"/>
      <c r="BL41" s="302"/>
      <c r="BM41" s="302"/>
      <c r="BN41" s="302"/>
      <c r="BO41" s="302"/>
      <c r="BP41" s="302"/>
      <c r="BQ41" s="302"/>
      <c r="BR41" s="302"/>
      <c r="BS41" s="302"/>
      <c r="BT41" s="302"/>
      <c r="BU41" s="302"/>
      <c r="BV41" s="302"/>
      <c r="BW41" s="302"/>
      <c r="BX41" s="302"/>
      <c r="BY41" s="302"/>
      <c r="BZ41" s="302"/>
      <c r="CA41" s="302"/>
      <c r="CB41" s="302"/>
      <c r="CC41" s="302"/>
      <c r="CD41" s="302"/>
      <c r="CE41" s="302"/>
      <c r="CF41" s="302"/>
    </row>
    <row r="42" spans="2:84" x14ac:dyDescent="0.2">
      <c r="B42" s="631"/>
      <c r="C42" s="631"/>
      <c r="D42" s="631"/>
      <c r="E42" s="632" t="s">
        <v>808</v>
      </c>
      <c r="F42" s="632" t="str">
        <f t="shared" si="2"/>
        <v>0 mmol/kg</v>
      </c>
      <c r="G42" s="632"/>
      <c r="H42" s="632" t="str">
        <f t="shared" si="3"/>
        <v/>
      </c>
      <c r="I42" s="632"/>
      <c r="J42" s="632" t="s">
        <v>142</v>
      </c>
      <c r="K42" s="632" t="str">
        <f t="shared" si="4"/>
        <v>0 mmol/kg</v>
      </c>
      <c r="L42" s="632"/>
      <c r="M42" s="632" t="str">
        <f t="shared" si="5"/>
        <v>0,75 mmol/kg</v>
      </c>
      <c r="N42" s="632"/>
      <c r="O42" s="631"/>
      <c r="P42" s="298"/>
      <c r="Q42" s="298"/>
      <c r="R42" s="298"/>
      <c r="S42" s="298"/>
      <c r="T42" s="298"/>
      <c r="U42" s="298"/>
      <c r="V42" s="298"/>
      <c r="W42" s="298"/>
      <c r="X42" s="298"/>
      <c r="Y42" s="298"/>
      <c r="Z42" s="298"/>
      <c r="AA42" s="298"/>
      <c r="AB42" s="302"/>
      <c r="AC42" s="302"/>
      <c r="AD42" s="302"/>
      <c r="AE42" s="302"/>
      <c r="AF42" s="302"/>
      <c r="AG42" s="302"/>
      <c r="AH42" s="302"/>
      <c r="AI42" s="302"/>
      <c r="AJ42" s="302"/>
      <c r="AK42" s="302"/>
      <c r="AL42" s="302"/>
      <c r="AM42" s="302"/>
      <c r="AN42" s="302"/>
      <c r="AO42" s="302"/>
      <c r="AP42" s="302"/>
      <c r="AQ42" s="302"/>
      <c r="AR42" s="302"/>
      <c r="AS42" s="302"/>
      <c r="AT42" s="302"/>
      <c r="AU42" s="302"/>
      <c r="AV42" s="302"/>
      <c r="AW42" s="302"/>
      <c r="AX42" s="302"/>
      <c r="AY42" s="302"/>
      <c r="AZ42" s="302"/>
      <c r="BA42" s="302"/>
      <c r="BB42" s="302"/>
      <c r="BC42" s="302"/>
      <c r="BD42" s="302"/>
      <c r="BE42" s="302"/>
      <c r="BF42" s="302"/>
      <c r="BG42" s="302"/>
      <c r="BH42" s="302"/>
      <c r="BI42" s="302"/>
      <c r="BJ42" s="302"/>
      <c r="BK42" s="302"/>
      <c r="BL42" s="302"/>
      <c r="BM42" s="302"/>
      <c r="BN42" s="302"/>
      <c r="BO42" s="302"/>
      <c r="BP42" s="302"/>
      <c r="BQ42" s="302"/>
      <c r="BR42" s="302"/>
      <c r="BS42" s="302"/>
      <c r="BT42" s="302"/>
      <c r="BU42" s="302"/>
      <c r="BV42" s="302"/>
      <c r="BW42" s="302"/>
      <c r="BX42" s="302"/>
      <c r="BY42" s="302"/>
      <c r="BZ42" s="302"/>
      <c r="CA42" s="302"/>
      <c r="CB42" s="302"/>
      <c r="CC42" s="302"/>
      <c r="CD42" s="302"/>
      <c r="CE42" s="302"/>
      <c r="CF42" s="302"/>
    </row>
    <row r="43" spans="2:84" x14ac:dyDescent="0.2">
      <c r="P43" s="298"/>
      <c r="Q43" s="298"/>
      <c r="R43" s="298"/>
      <c r="S43" s="298"/>
      <c r="T43" s="298"/>
      <c r="U43" s="298"/>
      <c r="V43" s="298"/>
      <c r="W43" s="298"/>
      <c r="X43" s="298"/>
      <c r="Y43" s="298"/>
      <c r="Z43" s="298"/>
      <c r="AA43" s="298"/>
      <c r="AB43" s="302"/>
      <c r="AC43" s="302"/>
      <c r="AD43" s="302"/>
      <c r="AE43" s="302"/>
      <c r="AF43" s="302"/>
      <c r="AG43" s="302"/>
      <c r="AH43" s="302"/>
      <c r="AI43" s="302"/>
      <c r="AJ43" s="302"/>
      <c r="AK43" s="302"/>
      <c r="AL43" s="302"/>
      <c r="AM43" s="302"/>
      <c r="AN43" s="302"/>
      <c r="AO43" s="302"/>
      <c r="AP43" s="302"/>
      <c r="AQ43" s="302"/>
      <c r="AR43" s="302"/>
      <c r="AS43" s="302"/>
      <c r="AT43" s="302"/>
      <c r="AU43" s="302"/>
      <c r="AV43" s="302"/>
      <c r="AW43" s="302"/>
      <c r="AX43" s="302"/>
      <c r="AY43" s="302"/>
      <c r="AZ43" s="302"/>
      <c r="BA43" s="302"/>
      <c r="BB43" s="302"/>
      <c r="BC43" s="302"/>
      <c r="BD43" s="302"/>
      <c r="BE43" s="302"/>
      <c r="BF43" s="302"/>
      <c r="BG43" s="302"/>
      <c r="BH43" s="302"/>
      <c r="BI43" s="302"/>
      <c r="BJ43" s="302"/>
      <c r="BK43" s="302"/>
      <c r="BL43" s="302"/>
      <c r="BM43" s="302"/>
      <c r="BN43" s="302"/>
      <c r="BO43" s="302"/>
      <c r="BP43" s="302"/>
      <c r="BQ43" s="302"/>
      <c r="BR43" s="302"/>
      <c r="BS43" s="302"/>
      <c r="BT43" s="302"/>
      <c r="BU43" s="302"/>
      <c r="BV43" s="302"/>
      <c r="BW43" s="302"/>
      <c r="BX43" s="302"/>
      <c r="BY43" s="302"/>
      <c r="BZ43" s="302"/>
      <c r="CA43" s="302"/>
      <c r="CB43" s="302"/>
      <c r="CC43" s="302"/>
      <c r="CD43" s="302"/>
      <c r="CE43" s="302"/>
      <c r="CF43" s="302"/>
    </row>
    <row r="44" spans="2:84" x14ac:dyDescent="0.2">
      <c r="C44" s="298"/>
      <c r="D44" s="298"/>
      <c r="E44" s="298"/>
      <c r="F44" s="298"/>
      <c r="G44" s="298"/>
      <c r="H44" s="298"/>
      <c r="I44" s="298"/>
      <c r="J44" s="298"/>
      <c r="K44" s="298"/>
      <c r="L44" s="298"/>
      <c r="M44" s="298"/>
      <c r="N44" s="298"/>
      <c r="O44" s="298"/>
      <c r="P44" s="298"/>
      <c r="Q44" s="298"/>
      <c r="R44" s="298"/>
      <c r="S44" s="298"/>
      <c r="T44" s="298"/>
      <c r="U44" s="298"/>
      <c r="V44" s="298"/>
      <c r="W44" s="298"/>
      <c r="X44" s="298"/>
      <c r="Y44" s="298"/>
      <c r="Z44" s="298"/>
      <c r="AA44" s="298"/>
      <c r="AB44" s="302"/>
      <c r="AC44" s="302"/>
      <c r="AD44" s="302"/>
      <c r="AE44" s="302"/>
      <c r="AF44" s="302"/>
      <c r="AG44" s="302"/>
      <c r="AH44" s="302"/>
      <c r="AI44" s="302"/>
      <c r="AJ44" s="302"/>
      <c r="AK44" s="302"/>
      <c r="AL44" s="302"/>
      <c r="AM44" s="302"/>
      <c r="AN44" s="302"/>
      <c r="AO44" s="302"/>
      <c r="AP44" s="302"/>
      <c r="AQ44" s="302"/>
      <c r="AR44" s="302"/>
      <c r="AS44" s="302"/>
      <c r="AT44" s="302"/>
      <c r="AU44" s="302"/>
      <c r="AV44" s="302"/>
      <c r="AW44" s="302"/>
      <c r="AX44" s="302"/>
      <c r="AY44" s="302"/>
      <c r="AZ44" s="302"/>
      <c r="BA44" s="302"/>
      <c r="BB44" s="302"/>
      <c r="BC44" s="302"/>
      <c r="BD44" s="302"/>
      <c r="BE44" s="302"/>
      <c r="BF44" s="302"/>
      <c r="BG44" s="302"/>
      <c r="BH44" s="302"/>
      <c r="BI44" s="302"/>
      <c r="BJ44" s="302"/>
      <c r="BK44" s="302"/>
      <c r="BL44" s="302"/>
      <c r="BM44" s="302"/>
      <c r="BN44" s="302"/>
      <c r="BO44" s="302"/>
      <c r="BP44" s="302"/>
      <c r="BQ44" s="302"/>
      <c r="BR44" s="302"/>
      <c r="BS44" s="302"/>
      <c r="BT44" s="302"/>
      <c r="BU44" s="302"/>
      <c r="BV44" s="302"/>
      <c r="BW44" s="302"/>
      <c r="BX44" s="302"/>
      <c r="BY44" s="302"/>
      <c r="BZ44" s="302"/>
      <c r="CA44" s="302"/>
      <c r="CB44" s="302"/>
      <c r="CC44" s="302"/>
      <c r="CD44" s="302"/>
      <c r="CE44" s="302"/>
      <c r="CF44" s="302"/>
    </row>
    <row r="45" spans="2:84" x14ac:dyDescent="0.2">
      <c r="C45" s="298"/>
      <c r="D45" s="298"/>
      <c r="E45" s="298"/>
      <c r="F45" s="298"/>
      <c r="G45" s="298"/>
      <c r="H45" s="298"/>
      <c r="I45" s="298"/>
      <c r="J45" s="298"/>
      <c r="K45" s="298"/>
      <c r="L45" s="298"/>
      <c r="M45" s="298"/>
      <c r="N45" s="298"/>
      <c r="O45" s="298"/>
      <c r="P45" s="298"/>
      <c r="Q45" s="298"/>
      <c r="R45" s="298"/>
      <c r="S45" s="298"/>
      <c r="T45" s="298"/>
      <c r="U45" s="298"/>
      <c r="V45" s="298"/>
      <c r="W45" s="298"/>
      <c r="X45" s="298"/>
      <c r="Y45" s="298"/>
      <c r="Z45" s="298"/>
      <c r="AA45" s="298"/>
    </row>
    <row r="46" spans="2:84" x14ac:dyDescent="0.2">
      <c r="C46" s="298"/>
      <c r="D46" s="298"/>
      <c r="E46" s="298"/>
      <c r="F46" s="298"/>
      <c r="G46" s="298"/>
      <c r="H46" s="298"/>
      <c r="I46" s="298"/>
      <c r="J46" s="298"/>
      <c r="K46" s="298"/>
      <c r="L46" s="298"/>
      <c r="M46" s="298"/>
      <c r="N46" s="298"/>
      <c r="O46" s="298"/>
      <c r="P46" s="298"/>
      <c r="Q46" s="298"/>
      <c r="R46" s="298"/>
      <c r="S46" s="298"/>
      <c r="T46" s="298"/>
      <c r="U46" s="298"/>
      <c r="V46" s="298"/>
      <c r="W46" s="298"/>
      <c r="X46" s="298"/>
      <c r="Y46" s="298"/>
      <c r="Z46" s="298"/>
      <c r="AA46" s="298"/>
    </row>
    <row r="47" spans="2:84" x14ac:dyDescent="0.2">
      <c r="C47" s="298"/>
      <c r="D47" s="298"/>
      <c r="E47" s="298"/>
      <c r="F47" s="298"/>
      <c r="G47" s="298"/>
      <c r="H47" s="298"/>
      <c r="I47" s="298"/>
      <c r="J47" s="298"/>
      <c r="K47" s="298"/>
      <c r="L47" s="298"/>
      <c r="M47" s="298"/>
      <c r="N47" s="298"/>
      <c r="O47" s="298"/>
      <c r="P47" s="298"/>
      <c r="Q47" s="298"/>
      <c r="R47" s="298"/>
      <c r="S47" s="298"/>
      <c r="T47" s="298"/>
      <c r="U47" s="298"/>
      <c r="V47" s="298"/>
      <c r="W47" s="298"/>
      <c r="X47" s="298"/>
      <c r="Y47" s="298"/>
      <c r="Z47" s="298"/>
      <c r="AA47" s="298"/>
    </row>
    <row r="48" spans="2:84" x14ac:dyDescent="0.2"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M48" s="298"/>
      <c r="N48" s="298"/>
      <c r="O48" s="298"/>
      <c r="P48" s="298"/>
      <c r="Q48" s="298"/>
      <c r="R48" s="298"/>
      <c r="S48" s="298"/>
      <c r="T48" s="298"/>
      <c r="U48" s="298"/>
      <c r="V48" s="298"/>
      <c r="W48" s="298"/>
      <c r="X48" s="298"/>
      <c r="Y48" s="298"/>
      <c r="Z48" s="298"/>
      <c r="AA48" s="298"/>
    </row>
    <row r="49" spans="3:27" x14ac:dyDescent="0.2"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298"/>
      <c r="Q49" s="298"/>
      <c r="R49" s="298"/>
      <c r="S49" s="298"/>
      <c r="T49" s="298"/>
      <c r="U49" s="298"/>
      <c r="V49" s="298"/>
      <c r="W49" s="298"/>
      <c r="X49" s="298"/>
      <c r="Y49" s="298"/>
      <c r="Z49" s="298"/>
      <c r="AA49" s="298"/>
    </row>
    <row r="50" spans="3:27" x14ac:dyDescent="0.2">
      <c r="C50" s="298"/>
      <c r="D50" s="298"/>
      <c r="E50" s="298"/>
      <c r="F50" s="298"/>
      <c r="G50" s="298"/>
      <c r="H50" s="298"/>
      <c r="I50" s="298"/>
      <c r="J50" s="298"/>
      <c r="K50" s="298"/>
      <c r="L50" s="298"/>
      <c r="M50" s="298"/>
      <c r="N50" s="298"/>
      <c r="O50" s="298"/>
      <c r="P50" s="298"/>
      <c r="Q50" s="298"/>
      <c r="R50" s="298"/>
      <c r="S50" s="298"/>
      <c r="T50" s="298"/>
      <c r="U50" s="298"/>
      <c r="V50" s="298"/>
      <c r="W50" s="298"/>
      <c r="X50" s="298"/>
      <c r="Y50" s="298"/>
      <c r="Z50" s="298"/>
      <c r="AA50" s="298"/>
    </row>
  </sheetData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O33"/>
  </mergeCells>
  <phoneticPr fontId="27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 macro="[0]!PedContIV_CheckOplVlst_01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 macro="[0]!PedContIV_CheckOplVlst_02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 macro="[0]!PedContIV_CheckOplVlst_03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 macro="[0]!PedContIV_CheckOplVlst_04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 macro="[0]!PedContIV_CheckOplVlst_05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 macro="[0]!PedContIV_CheckOplVlst_06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 macro="[0]!PedContIV_CheckOplVlst_07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 macro="[0]!PedContIV_CheckOplVlst_08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 macro="[0]!PedContIV_CheckOplVlst_09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 macro="[0]!PedContIV_CheckOplVlst_1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 macro="[0]!PedContIV_CheckOplVlst_11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 macro="[0]!PedContIV_CheckOplVlst_12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 macro="[0]!PedContIV_CheckOplVlst_13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 macro="[0]!PedContIV_CheckOplVlst_14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 macro="[0]!PedContIV_CheckOplVlst_15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8" sqref="A8"/>
    </sheetView>
  </sheetViews>
  <sheetFormatPr defaultColWidth="9.140625" defaultRowHeight="12.75" x14ac:dyDescent="0.2"/>
  <cols>
    <col min="1" max="1" width="8" customWidth="1"/>
    <col min="2" max="2" width="8" style="151" customWidth="1"/>
    <col min="3" max="5" width="7.7109375" customWidth="1"/>
    <col min="6" max="7" width="7.7109375" style="151" customWidth="1"/>
    <col min="8" max="9" width="10.28515625" style="151" customWidth="1"/>
    <col min="10" max="12" width="7.7109375" style="151" customWidth="1"/>
    <col min="13" max="16" width="7.7109375" customWidth="1"/>
    <col min="17" max="17" width="6.85546875" customWidth="1"/>
    <col min="18" max="18" width="7.7109375" style="151" customWidth="1"/>
    <col min="19" max="21" width="7.7109375" customWidth="1"/>
    <col min="22" max="22" width="10.28515625" style="151" customWidth="1"/>
    <col min="23" max="29" width="9.28515625" style="151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151" customFormat="1" x14ac:dyDescent="0.2">
      <c r="C1" s="152" t="s">
        <v>4067</v>
      </c>
      <c r="H1" s="152" t="s">
        <v>4068</v>
      </c>
      <c r="V1" s="152" t="s">
        <v>4070</v>
      </c>
      <c r="AD1" s="152" t="s">
        <v>4069</v>
      </c>
    </row>
    <row r="2" spans="1:40" s="369" customFormat="1" x14ac:dyDescent="0.2">
      <c r="A2" s="195" t="s">
        <v>4081</v>
      </c>
      <c r="C2" s="195">
        <v>1</v>
      </c>
      <c r="D2" s="369">
        <v>2</v>
      </c>
      <c r="E2" s="369">
        <v>3</v>
      </c>
      <c r="H2" s="195">
        <v>20</v>
      </c>
      <c r="I2" s="369">
        <v>21</v>
      </c>
      <c r="J2" s="369">
        <v>23</v>
      </c>
      <c r="V2" s="195">
        <v>14</v>
      </c>
      <c r="X2" s="369">
        <v>20</v>
      </c>
      <c r="Y2" s="369">
        <v>21</v>
      </c>
      <c r="Z2" s="369">
        <v>15</v>
      </c>
      <c r="AB2" s="369">
        <v>15</v>
      </c>
      <c r="AC2" s="369">
        <v>16</v>
      </c>
      <c r="AD2" s="195"/>
      <c r="AF2" s="369">
        <v>1</v>
      </c>
      <c r="AG2" s="369">
        <v>2</v>
      </c>
      <c r="AL2" s="369">
        <v>3</v>
      </c>
      <c r="AN2" s="369">
        <v>19</v>
      </c>
    </row>
    <row r="3" spans="1:40" s="9" customFormat="1" ht="25.5" x14ac:dyDescent="0.2">
      <c r="A3" s="186" t="s">
        <v>368</v>
      </c>
      <c r="B3" s="9" t="s">
        <v>364</v>
      </c>
      <c r="C3" s="9" t="s">
        <v>180</v>
      </c>
      <c r="D3" s="9" t="s">
        <v>153</v>
      </c>
      <c r="E3" s="51" t="s">
        <v>3286</v>
      </c>
      <c r="F3" s="51" t="s">
        <v>4066</v>
      </c>
      <c r="G3" s="51" t="s">
        <v>42</v>
      </c>
      <c r="H3" s="51" t="s">
        <v>4064</v>
      </c>
      <c r="I3" s="51" t="s">
        <v>4065</v>
      </c>
      <c r="J3" s="51" t="s">
        <v>860</v>
      </c>
      <c r="K3" s="286" t="s">
        <v>3287</v>
      </c>
      <c r="M3" s="51" t="s">
        <v>365</v>
      </c>
      <c r="N3" s="51" t="s">
        <v>366</v>
      </c>
      <c r="O3" s="51" t="s">
        <v>367</v>
      </c>
      <c r="P3" s="51" t="s">
        <v>210</v>
      </c>
      <c r="Q3" s="9" t="s">
        <v>170</v>
      </c>
      <c r="R3" s="51" t="s">
        <v>449</v>
      </c>
      <c r="S3" s="9" t="s">
        <v>171</v>
      </c>
      <c r="T3" s="9" t="s">
        <v>303</v>
      </c>
      <c r="U3" s="9" t="s">
        <v>165</v>
      </c>
      <c r="V3" s="51" t="s">
        <v>3477</v>
      </c>
      <c r="W3" s="51" t="s">
        <v>3476</v>
      </c>
      <c r="X3" s="51" t="s">
        <v>3478</v>
      </c>
      <c r="Y3" s="51" t="s">
        <v>3479</v>
      </c>
      <c r="Z3" s="51" t="s">
        <v>4245</v>
      </c>
      <c r="AA3" s="51" t="s">
        <v>4859</v>
      </c>
      <c r="AB3" s="51" t="s">
        <v>4857</v>
      </c>
      <c r="AC3" s="51" t="s">
        <v>4856</v>
      </c>
      <c r="AD3" s="51" t="s">
        <v>3284</v>
      </c>
      <c r="AE3" s="51" t="s">
        <v>3283</v>
      </c>
      <c r="AF3" s="9" t="s">
        <v>254</v>
      </c>
      <c r="AG3" s="9" t="s">
        <v>153</v>
      </c>
      <c r="AH3" s="9" t="s">
        <v>235</v>
      </c>
      <c r="AI3" s="9" t="s">
        <v>110</v>
      </c>
      <c r="AJ3" s="9" t="s">
        <v>42</v>
      </c>
      <c r="AK3" s="9" t="s">
        <v>255</v>
      </c>
      <c r="AL3" s="9" t="s">
        <v>3285</v>
      </c>
      <c r="AM3" s="9" t="s">
        <v>235</v>
      </c>
      <c r="AN3" s="51" t="s">
        <v>418</v>
      </c>
    </row>
    <row r="4" spans="1:40" x14ac:dyDescent="0.2">
      <c r="A4">
        <v>0</v>
      </c>
      <c r="B4" s="161">
        <v>1</v>
      </c>
      <c r="C4" s="161"/>
      <c r="D4" s="161"/>
      <c r="E4" s="161"/>
      <c r="F4"/>
      <c r="G4"/>
      <c r="H4" s="161"/>
      <c r="I4" s="161"/>
      <c r="J4" s="161"/>
      <c r="K4"/>
      <c r="L4"/>
      <c r="V4"/>
      <c r="W4"/>
      <c r="X4"/>
      <c r="Y4"/>
    </row>
    <row r="5" spans="1:40" x14ac:dyDescent="0.2">
      <c r="A5">
        <v>1</v>
      </c>
      <c r="B5" s="161">
        <v>2</v>
      </c>
      <c r="C5" s="161">
        <v>1</v>
      </c>
      <c r="D5" s="161">
        <v>0</v>
      </c>
      <c r="E5" s="161">
        <v>0</v>
      </c>
      <c r="F5">
        <v>1</v>
      </c>
      <c r="G5">
        <v>0</v>
      </c>
      <c r="H5" s="161" t="str">
        <f>IF(C5&gt;1,IF(D5&gt;0,D5,IF(Medicatie_IsEpiduraal(AF5),Medicatie_CalcEpiQty(_Pat_Gewicht),INDEX(Tbl_Ped_MedContIV,C5,H$2))),"")</f>
        <v/>
      </c>
      <c r="I5" s="161" t="str">
        <f>IF(C5&gt;1,IF(E5&gt;0,E5,IF(Medicatie_IsEpiduraal(AF5),Medicatie_CalcEpiVol(_Pat_Gewicht), INDEX(Tbl_Ped_MedContIV,C5,I$2))),"")</f>
        <v/>
      </c>
      <c r="J5" s="161" t="str">
        <f t="shared" ref="J5:J19" si="0">IF(AND(C5&gt;1,_Pat_Gewicht&gt;0),IF(ContainsCaseInsensitive(INDEX(Tbl_Ped_MedContIV,C5,1),"EPI "),G5/10,FixPrecision(INDEX(Tbl_Ped_MedContIV,C5,J$2)*(G5/10)*(H5/I5)/(_Pat_Gewicht),2)),"")</f>
        <v/>
      </c>
      <c r="K5"/>
      <c r="L5"/>
      <c r="M5">
        <f>IF(PedGuiMedIV!E9&lt;&gt;0,24*G5/10,0)</f>
        <v>0</v>
      </c>
      <c r="N5">
        <f t="shared" ref="N5:N19" si="1">IF($F5=3,M5*0.05,0)</f>
        <v>0</v>
      </c>
      <c r="O5">
        <f t="shared" ref="O5:O19" si="2">IF($F5=4,M5*0.1,0)</f>
        <v>0</v>
      </c>
      <c r="P5" s="151">
        <f>IF($F5=2,M5*0.155,0)</f>
        <v>0</v>
      </c>
      <c r="Q5">
        <f t="shared" ref="Q5:Q19" si="3">IFERROR( VLOOKUP(AF5,Tbl_Glob_ParEnt,6,FALSE),0)*M5</f>
        <v>0</v>
      </c>
      <c r="R5" s="151">
        <f>SUM(P5:Q5)</f>
        <v>0</v>
      </c>
      <c r="S5">
        <f>IF(OR($C5=19),0,0)</f>
        <v>0</v>
      </c>
      <c r="T5">
        <f t="shared" ref="T5:T19" si="4">IFERROR( VLOOKUP(AF5,Tbl_Glob_ParEnt,3,FALSE),0)*M5</f>
        <v>0</v>
      </c>
      <c r="U5">
        <f>IF((C5=28),0.1*M5,IF((C5=29),0.2*M5,0))</f>
        <v>0</v>
      </c>
      <c r="V5" t="b">
        <f t="shared" ref="V5:V19" si="5">AND(C5&gt;1,(AK5&gt;=INDEX(Tbl_Ped_MedContIV,C5,V$2)))</f>
        <v>0</v>
      </c>
      <c r="W5" t="b">
        <f t="shared" ref="W5:W19" si="6">AND(C5&gt;1,NOT(AND(AK5&gt;=INDEX(Tbl_Ped_MedContIV,C5,12),AK5&lt;=INDEX(Tbl_Ped_MedContIV,C5,13))))</f>
        <v>0</v>
      </c>
      <c r="X5" s="152" t="b">
        <f>AND(C5&gt;1,AND(H5&lt;&gt;INDEX(Tbl_Ped_MedContIV,C5,X$2),INDEX(Tbl_Ped_MedContIV,C5,X$2)&lt;&gt;0))</f>
        <v>0</v>
      </c>
      <c r="Y5" t="b">
        <f t="shared" ref="Y5:Y19" si="7">AND(C5&gt;1,I5&lt;&gt;INDEX(Tbl_Ped_MedContIV,C5,Y$2))</f>
        <v>0</v>
      </c>
      <c r="Z5" s="151" t="b">
        <f t="shared" ref="Z5:Z19" si="8">AND(F5&gt;1,INDEX(Tbl_Ped_MedContIV,C5,Z$2)&gt;1,INDEX(Tbl_Ped_MedContIV,C5,Z$2)&lt;&gt;F5)</f>
        <v>0</v>
      </c>
      <c r="AA5" s="151" t="b">
        <f>OR(AB5,AC5)</f>
        <v>0</v>
      </c>
      <c r="AB5" s="151" t="b">
        <f t="shared" ref="AB5:AB19" si="9">IF(AND($C5&gt;1,$H5&gt;0,$I5&gt;0),($H5/$I5)&lt;INDEX(Tbl_Ped_MedContIV,$C5,AB$2),FALSE)</f>
        <v>0</v>
      </c>
      <c r="AC5" s="151" t="b">
        <f t="shared" ref="AC5:AC19" si="10">IF(AND($C5&gt;1,$H5&gt;0,$I5&gt;0),AND(INDEX(Tbl_Ped_MedContIV,$C5,AC$2)&lt;&gt;0,($H5/$I5)&gt;INDEX(Tbl_Ped_MedContIV,$C5,AC$2)),FALSE)</f>
        <v>0</v>
      </c>
      <c r="AD5" t="str">
        <f t="shared" ref="AD5:AD19" si="11">IF(C5&gt;1,"verw","")</f>
        <v/>
      </c>
      <c r="AE5" t="str">
        <f>IF(NOT(OR(X5,Y5,Z5)),"","stand")</f>
        <v/>
      </c>
      <c r="AF5" t="str">
        <f t="shared" ref="AF5:AF19" si="12">IF(C5&gt;1,INDEX(Tbl_Ped_MedContIV,C5,AF$2),"")</f>
        <v/>
      </c>
      <c r="AG5" t="str">
        <f t="shared" ref="AG5:AG19" si="13">IF(C5&gt;1,H5&amp;" "&amp;INDEX(Tbl_Ped_MedContIV,$C5,AG$2), "")</f>
        <v/>
      </c>
      <c r="AH5" t="str">
        <f t="shared" ref="AH5:AH19" si="14">IF(AND(C5&gt;1,I5&gt;0),I5&amp;" ml","")</f>
        <v/>
      </c>
      <c r="AI5" t="str">
        <f t="shared" ref="AI5:AI19" si="15">IF((INDEX(Tbl_Ped_MedContIV_OplVl,F5,1)=0),"",INDEX(Tbl_Ped_MedContIV_OplVl,F5,1))</f>
        <v/>
      </c>
      <c r="AJ5" t="str">
        <f t="shared" ref="AJ5:AJ19" si="16">IF(C5&gt;1,G5/10&amp;" ml/uur","")</f>
        <v/>
      </c>
      <c r="AK5" t="str">
        <f>IF(AND(C5&gt;1,J5&lt;&gt;""),J5*1,"")</f>
        <v/>
      </c>
      <c r="AL5" t="str">
        <f t="shared" ref="AL5:AL19" si="17">IF(C5&gt;1,INDEX(Tbl_Ped_MedContIV,C5,AL$2), "")</f>
        <v/>
      </c>
      <c r="AM5" t="str">
        <f t="shared" ref="AM5:AM19" si="18">IF(C5&gt;1,24*G5/10&amp;" ml","")</f>
        <v/>
      </c>
      <c r="AN5" t="str">
        <f t="shared" ref="AN5:AN19" si="19">IF(C5&gt;1,INDEX(Tbl_Ped_MedContIV,C5,AN$2),"")</f>
        <v/>
      </c>
    </row>
    <row r="6" spans="1:40" x14ac:dyDescent="0.2">
      <c r="A6">
        <v>2</v>
      </c>
      <c r="B6" s="161">
        <v>3</v>
      </c>
      <c r="C6" s="161">
        <v>1</v>
      </c>
      <c r="D6" s="161">
        <v>0</v>
      </c>
      <c r="E6" s="161">
        <v>0</v>
      </c>
      <c r="F6">
        <v>1</v>
      </c>
      <c r="G6">
        <v>0</v>
      </c>
      <c r="H6" s="161" t="str">
        <f>IF(C6&gt;1,IF(D6&gt;0,D6,IF(Medicatie_IsEpiduraal(AF6),Medicatie_CalcEpiQty(_Pat_Gewicht),INDEX(Tbl_Ped_MedContIV,C6,H$2))),"")</f>
        <v/>
      </c>
      <c r="I6" s="161" t="str">
        <f>IF(C6&gt;1,IF(E6&gt;0,E6,IF(Medicatie_IsEpiduraal(AF6),Medicatie_CalcEpiVol(_Pat_Gewicht), INDEX(Tbl_Ped_MedContIV,C6,I$2))),"")</f>
        <v/>
      </c>
      <c r="J6" s="161" t="str">
        <f t="shared" si="0"/>
        <v/>
      </c>
      <c r="K6"/>
      <c r="L6"/>
      <c r="M6">
        <f>IF(PedGuiMedIV!E10&lt;&gt;0,24*G6/10,0)</f>
        <v>0</v>
      </c>
      <c r="N6">
        <f t="shared" si="1"/>
        <v>0</v>
      </c>
      <c r="O6">
        <f t="shared" si="2"/>
        <v>0</v>
      </c>
      <c r="P6" s="151">
        <f t="shared" ref="P6:P19" si="20">IF($F6=2,M6*0.155,0)</f>
        <v>0</v>
      </c>
      <c r="Q6" s="151">
        <f t="shared" si="3"/>
        <v>0</v>
      </c>
      <c r="R6" s="151">
        <f t="shared" ref="R6:R19" si="21">SUM(P6:Q6)</f>
        <v>0</v>
      </c>
      <c r="S6">
        <f t="shared" ref="S6:S25" si="22">IF(OR($C6=19),0,0)</f>
        <v>0</v>
      </c>
      <c r="T6" s="151">
        <f t="shared" si="4"/>
        <v>0</v>
      </c>
      <c r="U6" s="151">
        <f t="shared" ref="U6:U19" si="23">IF((C6=28),0.1*M6,IF((C6=29),0.2*M6,0))</f>
        <v>0</v>
      </c>
      <c r="V6" s="151" t="b">
        <f t="shared" si="5"/>
        <v>0</v>
      </c>
      <c r="W6" s="151" t="b">
        <f t="shared" si="6"/>
        <v>0</v>
      </c>
      <c r="X6" s="152" t="b">
        <f t="shared" ref="X6:X19" si="24">AND(C6&gt;1,AND(H6&lt;&gt;INDEX(Tbl_Ped_MedContIV,C6,X$2),INDEX(Tbl_Ped_MedContIV,C6,X$2)&lt;&gt;0))</f>
        <v>0</v>
      </c>
      <c r="Y6" s="151" t="b">
        <f t="shared" si="7"/>
        <v>0</v>
      </c>
      <c r="Z6" s="151" t="b">
        <f t="shared" si="8"/>
        <v>0</v>
      </c>
      <c r="AA6" s="151" t="b">
        <f t="shared" ref="AA6:AA19" si="25">OR(AB6,AC6)</f>
        <v>0</v>
      </c>
      <c r="AB6" s="151" t="b">
        <f t="shared" si="9"/>
        <v>0</v>
      </c>
      <c r="AC6" s="151" t="b">
        <f t="shared" si="10"/>
        <v>0</v>
      </c>
      <c r="AD6" s="151" t="str">
        <f t="shared" si="11"/>
        <v/>
      </c>
      <c r="AE6" s="151" t="str">
        <f t="shared" ref="AE6:AE19" si="26">IF(NOT(OR(X6,Y6,Z6)),"","stand")</f>
        <v/>
      </c>
      <c r="AF6" s="151" t="str">
        <f t="shared" si="12"/>
        <v/>
      </c>
      <c r="AG6" s="151" t="str">
        <f t="shared" si="13"/>
        <v/>
      </c>
      <c r="AH6" s="151" t="str">
        <f t="shared" si="14"/>
        <v/>
      </c>
      <c r="AI6" s="151" t="str">
        <f t="shared" si="15"/>
        <v/>
      </c>
      <c r="AJ6" s="151" t="str">
        <f t="shared" si="16"/>
        <v/>
      </c>
      <c r="AK6" s="151" t="str">
        <f t="shared" ref="AK6:AK19" si="27">IF(AND(C6&gt;1,J6&lt;&gt;""),J6*1,"")</f>
        <v/>
      </c>
      <c r="AL6" s="151" t="str">
        <f t="shared" si="17"/>
        <v/>
      </c>
      <c r="AM6" s="151" t="str">
        <f t="shared" si="18"/>
        <v/>
      </c>
      <c r="AN6" s="151" t="str">
        <f t="shared" si="19"/>
        <v/>
      </c>
    </row>
    <row r="7" spans="1:40" x14ac:dyDescent="0.2">
      <c r="A7">
        <v>3</v>
      </c>
      <c r="B7" s="161">
        <v>4</v>
      </c>
      <c r="C7" s="161">
        <v>1</v>
      </c>
      <c r="D7" s="161">
        <v>0</v>
      </c>
      <c r="E7" s="161">
        <v>0</v>
      </c>
      <c r="F7">
        <v>1</v>
      </c>
      <c r="G7">
        <v>0</v>
      </c>
      <c r="H7" s="161" t="str">
        <f>IF(C7&gt;1,IF(D7&gt;0,D7,IF(Medicatie_IsEpiduraal(AF7),Medicatie_CalcEpiQty(_Pat_Gewicht),INDEX(Tbl_Ped_MedContIV,C7,H$2))),"")</f>
        <v/>
      </c>
      <c r="I7" s="161" t="str">
        <f>IF(C7&gt;1,IF(E7&gt;0,E7,IF(Medicatie_IsEpiduraal(AF7),Medicatie_CalcEpiVol(_Pat_Gewicht), INDEX(Tbl_Ped_MedContIV,C7,I$2))),"")</f>
        <v/>
      </c>
      <c r="J7" s="161" t="str">
        <f t="shared" si="0"/>
        <v/>
      </c>
      <c r="K7"/>
      <c r="L7"/>
      <c r="M7">
        <f>IF(PedGuiMedIV!E11&lt;&gt;0,24*G7/10,0)</f>
        <v>0</v>
      </c>
      <c r="N7">
        <f t="shared" si="1"/>
        <v>0</v>
      </c>
      <c r="O7">
        <f t="shared" si="2"/>
        <v>0</v>
      </c>
      <c r="P7" s="151">
        <f t="shared" si="20"/>
        <v>0</v>
      </c>
      <c r="Q7" s="151">
        <f t="shared" si="3"/>
        <v>0</v>
      </c>
      <c r="R7" s="151">
        <f t="shared" si="21"/>
        <v>0</v>
      </c>
      <c r="S7">
        <f t="shared" si="22"/>
        <v>0</v>
      </c>
      <c r="T7" s="151">
        <f t="shared" si="4"/>
        <v>0</v>
      </c>
      <c r="U7" s="151">
        <f t="shared" si="23"/>
        <v>0</v>
      </c>
      <c r="V7" s="151" t="b">
        <f t="shared" si="5"/>
        <v>0</v>
      </c>
      <c r="W7" s="151" t="b">
        <f t="shared" si="6"/>
        <v>0</v>
      </c>
      <c r="X7" s="152" t="b">
        <f t="shared" si="24"/>
        <v>0</v>
      </c>
      <c r="Y7" s="151" t="b">
        <f t="shared" si="7"/>
        <v>0</v>
      </c>
      <c r="Z7" s="151" t="b">
        <f t="shared" si="8"/>
        <v>0</v>
      </c>
      <c r="AA7" s="151" t="b">
        <f t="shared" si="25"/>
        <v>0</v>
      </c>
      <c r="AB7" s="151" t="b">
        <f t="shared" si="9"/>
        <v>0</v>
      </c>
      <c r="AC7" s="151" t="b">
        <f t="shared" si="10"/>
        <v>0</v>
      </c>
      <c r="AD7" s="151" t="str">
        <f t="shared" si="11"/>
        <v/>
      </c>
      <c r="AE7" s="151" t="str">
        <f t="shared" si="26"/>
        <v/>
      </c>
      <c r="AF7" s="151" t="str">
        <f t="shared" si="12"/>
        <v/>
      </c>
      <c r="AG7" s="151" t="str">
        <f t="shared" si="13"/>
        <v/>
      </c>
      <c r="AH7" s="151" t="str">
        <f t="shared" si="14"/>
        <v/>
      </c>
      <c r="AI7" s="151" t="str">
        <f t="shared" si="15"/>
        <v/>
      </c>
      <c r="AJ7" s="151" t="str">
        <f t="shared" si="16"/>
        <v/>
      </c>
      <c r="AK7" s="151" t="str">
        <f t="shared" si="27"/>
        <v/>
      </c>
      <c r="AL7" s="151" t="str">
        <f t="shared" si="17"/>
        <v/>
      </c>
      <c r="AM7" s="151" t="str">
        <f t="shared" si="18"/>
        <v/>
      </c>
      <c r="AN7" s="151" t="str">
        <f t="shared" si="19"/>
        <v/>
      </c>
    </row>
    <row r="8" spans="1:40" x14ac:dyDescent="0.2">
      <c r="A8" s="179">
        <v>4</v>
      </c>
      <c r="B8" s="161">
        <v>5</v>
      </c>
      <c r="C8" s="161">
        <v>1</v>
      </c>
      <c r="D8" s="161">
        <v>0</v>
      </c>
      <c r="E8" s="161">
        <v>0</v>
      </c>
      <c r="F8">
        <v>1</v>
      </c>
      <c r="G8">
        <v>0</v>
      </c>
      <c r="H8" s="161" t="str">
        <f>IF(C8&gt;1,IF(D8&gt;0,D8,IF(Medicatie_IsEpiduraal(AF8),Medicatie_CalcEpiQty(_Pat_Gewicht),INDEX(Tbl_Ped_MedContIV,C8,H$2))),"")</f>
        <v/>
      </c>
      <c r="I8" s="161" t="str">
        <f>IF(C8&gt;1,IF(E8&gt;0,E8,IF(Medicatie_IsEpiduraal(AF8),Medicatie_CalcEpiVol(_Pat_Gewicht), INDEX(Tbl_Ped_MedContIV,C8,I$2))),"")</f>
        <v/>
      </c>
      <c r="J8" s="161" t="str">
        <f>IF(AND(C8&gt;1,_Pat_Gewicht&gt;0,I8&gt;0),IF(ContainsCaseInsensitive(INDEX(Tbl_Ped_MedContIV,C8,1),"EPI "),G8/10,FixPrecision(INDEX(Tbl_Ped_MedContIV,C8,J$2)*(G8/10)*(H8/I8)/(_Pat_Gewicht),2)),"")</f>
        <v/>
      </c>
      <c r="K8"/>
      <c r="L8"/>
      <c r="M8">
        <f>IF(PedGuiMedIV!E12&lt;&gt;0,24*G8/10,0)</f>
        <v>0</v>
      </c>
      <c r="N8">
        <f t="shared" si="1"/>
        <v>0</v>
      </c>
      <c r="O8">
        <f t="shared" si="2"/>
        <v>0</v>
      </c>
      <c r="P8" s="151">
        <f t="shared" si="20"/>
        <v>0</v>
      </c>
      <c r="Q8" s="151">
        <f t="shared" si="3"/>
        <v>0</v>
      </c>
      <c r="R8" s="151">
        <f t="shared" si="21"/>
        <v>0</v>
      </c>
      <c r="S8">
        <f t="shared" si="22"/>
        <v>0</v>
      </c>
      <c r="T8" s="151">
        <f t="shared" si="4"/>
        <v>0</v>
      </c>
      <c r="U8" s="151">
        <f t="shared" si="23"/>
        <v>0</v>
      </c>
      <c r="V8" s="151" t="b">
        <f t="shared" si="5"/>
        <v>0</v>
      </c>
      <c r="W8" s="151" t="b">
        <f t="shared" si="6"/>
        <v>0</v>
      </c>
      <c r="X8" s="152" t="b">
        <f t="shared" si="24"/>
        <v>0</v>
      </c>
      <c r="Y8" s="151" t="b">
        <f t="shared" si="7"/>
        <v>0</v>
      </c>
      <c r="Z8" s="151" t="b">
        <f t="shared" si="8"/>
        <v>0</v>
      </c>
      <c r="AA8" s="151" t="b">
        <f t="shared" si="25"/>
        <v>0</v>
      </c>
      <c r="AB8" s="151" t="b">
        <f t="shared" si="9"/>
        <v>0</v>
      </c>
      <c r="AC8" s="151" t="b">
        <f t="shared" si="10"/>
        <v>0</v>
      </c>
      <c r="AD8" s="151" t="str">
        <f t="shared" si="11"/>
        <v/>
      </c>
      <c r="AE8" s="151" t="str">
        <f t="shared" si="26"/>
        <v/>
      </c>
      <c r="AF8" s="151" t="str">
        <f t="shared" si="12"/>
        <v/>
      </c>
      <c r="AG8" s="151" t="str">
        <f t="shared" si="13"/>
        <v/>
      </c>
      <c r="AH8" s="151" t="str">
        <f t="shared" si="14"/>
        <v/>
      </c>
      <c r="AI8" s="151" t="str">
        <f t="shared" si="15"/>
        <v/>
      </c>
      <c r="AJ8" s="151" t="str">
        <f t="shared" si="16"/>
        <v/>
      </c>
      <c r="AK8" s="151" t="str">
        <f t="shared" si="27"/>
        <v/>
      </c>
      <c r="AL8" s="151" t="str">
        <f t="shared" si="17"/>
        <v/>
      </c>
      <c r="AM8" s="151" t="str">
        <f t="shared" si="18"/>
        <v/>
      </c>
      <c r="AN8" s="151" t="str">
        <f t="shared" si="19"/>
        <v/>
      </c>
    </row>
    <row r="9" spans="1:40" x14ac:dyDescent="0.2">
      <c r="A9">
        <v>5</v>
      </c>
      <c r="B9" s="161">
        <v>6</v>
      </c>
      <c r="C9" s="161">
        <v>1</v>
      </c>
      <c r="D9" s="161">
        <v>0</v>
      </c>
      <c r="E9" s="161">
        <v>0</v>
      </c>
      <c r="F9">
        <v>1</v>
      </c>
      <c r="G9">
        <v>0</v>
      </c>
      <c r="H9" s="161" t="str">
        <f>IF(C9&gt;1,IF(D9&gt;0,D9,IF(Medicatie_IsEpiduraal(AF9),Medicatie_CalcEpiQty(_Pat_Gewicht),INDEX(Tbl_Ped_MedContIV,C9,H$2))),"")</f>
        <v/>
      </c>
      <c r="I9" s="161" t="str">
        <f>IF(C9&gt;1,IF(E9&gt;0,E9,IF(Medicatie_IsEpiduraal(AF9),Medicatie_CalcEpiVol(_Pat_Gewicht), INDEX(Tbl_Ped_MedContIV,C9,I$2))),"")</f>
        <v/>
      </c>
      <c r="J9" s="161" t="str">
        <f t="shared" si="0"/>
        <v/>
      </c>
      <c r="K9"/>
      <c r="L9"/>
      <c r="M9">
        <f>IF(PedGuiMedIV!E13&lt;&gt;0,24*G9/10,0)</f>
        <v>0</v>
      </c>
      <c r="N9">
        <f t="shared" si="1"/>
        <v>0</v>
      </c>
      <c r="O9">
        <f t="shared" si="2"/>
        <v>0</v>
      </c>
      <c r="P9" s="151">
        <f t="shared" si="20"/>
        <v>0</v>
      </c>
      <c r="Q9" s="151">
        <f t="shared" si="3"/>
        <v>0</v>
      </c>
      <c r="R9" s="151">
        <f t="shared" si="21"/>
        <v>0</v>
      </c>
      <c r="S9">
        <f t="shared" si="22"/>
        <v>0</v>
      </c>
      <c r="T9" s="151">
        <f t="shared" si="4"/>
        <v>0</v>
      </c>
      <c r="U9" s="151">
        <f t="shared" si="23"/>
        <v>0</v>
      </c>
      <c r="V9" s="151" t="b">
        <f t="shared" si="5"/>
        <v>0</v>
      </c>
      <c r="W9" s="151" t="b">
        <f t="shared" si="6"/>
        <v>0</v>
      </c>
      <c r="X9" s="152" t="b">
        <f t="shared" si="24"/>
        <v>0</v>
      </c>
      <c r="Y9" s="151" t="b">
        <f t="shared" si="7"/>
        <v>0</v>
      </c>
      <c r="Z9" s="151" t="b">
        <f t="shared" si="8"/>
        <v>0</v>
      </c>
      <c r="AA9" s="151" t="b">
        <f t="shared" si="25"/>
        <v>0</v>
      </c>
      <c r="AB9" s="151" t="b">
        <f t="shared" si="9"/>
        <v>0</v>
      </c>
      <c r="AC9" s="151" t="b">
        <f t="shared" si="10"/>
        <v>0</v>
      </c>
      <c r="AD9" s="151" t="str">
        <f t="shared" si="11"/>
        <v/>
      </c>
      <c r="AE9" s="151" t="str">
        <f t="shared" si="26"/>
        <v/>
      </c>
      <c r="AF9" s="151" t="str">
        <f t="shared" si="12"/>
        <v/>
      </c>
      <c r="AG9" s="151" t="str">
        <f t="shared" si="13"/>
        <v/>
      </c>
      <c r="AH9" s="151" t="str">
        <f t="shared" si="14"/>
        <v/>
      </c>
      <c r="AI9" s="151" t="str">
        <f t="shared" si="15"/>
        <v/>
      </c>
      <c r="AJ9" s="151" t="str">
        <f t="shared" si="16"/>
        <v/>
      </c>
      <c r="AK9" s="151" t="str">
        <f t="shared" si="27"/>
        <v/>
      </c>
      <c r="AL9" s="151" t="str">
        <f t="shared" si="17"/>
        <v/>
      </c>
      <c r="AM9" s="151" t="str">
        <f t="shared" si="18"/>
        <v/>
      </c>
      <c r="AN9" s="151" t="str">
        <f t="shared" si="19"/>
        <v/>
      </c>
    </row>
    <row r="10" spans="1:40" x14ac:dyDescent="0.2">
      <c r="A10">
        <v>6</v>
      </c>
      <c r="B10" s="161">
        <v>7</v>
      </c>
      <c r="C10" s="161">
        <v>1</v>
      </c>
      <c r="D10" s="161">
        <v>0</v>
      </c>
      <c r="E10" s="161">
        <v>0</v>
      </c>
      <c r="F10">
        <v>1</v>
      </c>
      <c r="G10">
        <v>0</v>
      </c>
      <c r="H10" s="161" t="str">
        <f>IF(C10&gt;1,IF(D10&gt;0,D10,IF(Medicatie_IsEpiduraal(AF10),Medicatie_CalcEpiQty(_Pat_Gewicht),INDEX(Tbl_Ped_MedContIV,C10,H$2))),"")</f>
        <v/>
      </c>
      <c r="I10" s="161" t="str">
        <f>IF(C10&gt;1,IF(E10&gt;0,E10,IF(Medicatie_IsEpiduraal(AF10),Medicatie_CalcEpiVol(_Pat_Gewicht), INDEX(Tbl_Ped_MedContIV,C10,I$2))),"")</f>
        <v/>
      </c>
      <c r="J10" s="161" t="str">
        <f t="shared" si="0"/>
        <v/>
      </c>
      <c r="K10"/>
      <c r="L10"/>
      <c r="M10">
        <f>IF(PedGuiMedIV!E14&lt;&gt;0,24*G10/10,0)</f>
        <v>0</v>
      </c>
      <c r="N10">
        <f t="shared" si="1"/>
        <v>0</v>
      </c>
      <c r="O10">
        <f t="shared" si="2"/>
        <v>0</v>
      </c>
      <c r="P10" s="151">
        <f t="shared" si="20"/>
        <v>0</v>
      </c>
      <c r="Q10" s="151">
        <f t="shared" si="3"/>
        <v>0</v>
      </c>
      <c r="R10" s="151">
        <f t="shared" si="21"/>
        <v>0</v>
      </c>
      <c r="S10">
        <f t="shared" si="22"/>
        <v>0</v>
      </c>
      <c r="T10" s="151">
        <f t="shared" si="4"/>
        <v>0</v>
      </c>
      <c r="U10" s="151">
        <f t="shared" si="23"/>
        <v>0</v>
      </c>
      <c r="V10" s="151" t="b">
        <f t="shared" si="5"/>
        <v>0</v>
      </c>
      <c r="W10" s="151" t="b">
        <f t="shared" si="6"/>
        <v>0</v>
      </c>
      <c r="X10" s="152" t="b">
        <f t="shared" si="24"/>
        <v>0</v>
      </c>
      <c r="Y10" s="151" t="b">
        <f t="shared" si="7"/>
        <v>0</v>
      </c>
      <c r="Z10" s="151" t="b">
        <f t="shared" si="8"/>
        <v>0</v>
      </c>
      <c r="AA10" s="151" t="b">
        <f t="shared" si="25"/>
        <v>0</v>
      </c>
      <c r="AB10" s="151" t="b">
        <f t="shared" si="9"/>
        <v>0</v>
      </c>
      <c r="AC10" s="151" t="b">
        <f t="shared" si="10"/>
        <v>0</v>
      </c>
      <c r="AD10" s="151" t="str">
        <f t="shared" si="11"/>
        <v/>
      </c>
      <c r="AE10" s="151" t="str">
        <f t="shared" si="26"/>
        <v/>
      </c>
      <c r="AF10" s="151" t="str">
        <f t="shared" si="12"/>
        <v/>
      </c>
      <c r="AG10" s="151" t="str">
        <f t="shared" si="13"/>
        <v/>
      </c>
      <c r="AH10" s="151" t="str">
        <f t="shared" si="14"/>
        <v/>
      </c>
      <c r="AI10" s="151" t="str">
        <f t="shared" si="15"/>
        <v/>
      </c>
      <c r="AJ10" s="151" t="str">
        <f t="shared" si="16"/>
        <v/>
      </c>
      <c r="AK10" s="151" t="str">
        <f t="shared" si="27"/>
        <v/>
      </c>
      <c r="AL10" s="151" t="str">
        <f t="shared" si="17"/>
        <v/>
      </c>
      <c r="AM10" s="151" t="str">
        <f t="shared" si="18"/>
        <v/>
      </c>
      <c r="AN10" s="151" t="str">
        <f t="shared" si="19"/>
        <v/>
      </c>
    </row>
    <row r="11" spans="1:40" x14ac:dyDescent="0.2">
      <c r="A11">
        <v>7</v>
      </c>
      <c r="B11" s="161">
        <v>8</v>
      </c>
      <c r="C11" s="161">
        <v>1</v>
      </c>
      <c r="D11" s="161">
        <v>0</v>
      </c>
      <c r="E11" s="161">
        <v>0</v>
      </c>
      <c r="F11">
        <v>1</v>
      </c>
      <c r="G11">
        <v>0</v>
      </c>
      <c r="H11" s="161" t="str">
        <f>IF(C11&gt;1,IF(D11&gt;0,D11,IF(Medicatie_IsEpiduraal(AF11),Medicatie_CalcEpiQty(_Pat_Gewicht),INDEX(Tbl_Ped_MedContIV,C11,H$2))),"")</f>
        <v/>
      </c>
      <c r="I11" s="161" t="str">
        <f>IF(C11&gt;1,IF(E11&gt;0,E11,IF(Medicatie_IsEpiduraal(AF11),Medicatie_CalcEpiVol(_Pat_Gewicht), INDEX(Tbl_Ped_MedContIV,C11,I$2))),"")</f>
        <v/>
      </c>
      <c r="J11" s="161" t="str">
        <f t="shared" si="0"/>
        <v/>
      </c>
      <c r="K11"/>
      <c r="L11"/>
      <c r="M11">
        <f>IF(PedGuiMedIV!E15&lt;&gt;0,24*G11/10,0)</f>
        <v>0</v>
      </c>
      <c r="N11">
        <f t="shared" si="1"/>
        <v>0</v>
      </c>
      <c r="O11">
        <f t="shared" si="2"/>
        <v>0</v>
      </c>
      <c r="P11" s="151">
        <f t="shared" si="20"/>
        <v>0</v>
      </c>
      <c r="Q11" s="151">
        <f t="shared" si="3"/>
        <v>0</v>
      </c>
      <c r="R11" s="151">
        <f t="shared" si="21"/>
        <v>0</v>
      </c>
      <c r="S11">
        <f t="shared" si="22"/>
        <v>0</v>
      </c>
      <c r="T11" s="151">
        <f t="shared" si="4"/>
        <v>0</v>
      </c>
      <c r="U11" s="151">
        <f t="shared" si="23"/>
        <v>0</v>
      </c>
      <c r="V11" s="151" t="b">
        <f t="shared" si="5"/>
        <v>0</v>
      </c>
      <c r="W11" s="151" t="b">
        <f t="shared" si="6"/>
        <v>0</v>
      </c>
      <c r="X11" s="152" t="b">
        <f t="shared" si="24"/>
        <v>0</v>
      </c>
      <c r="Y11" s="151" t="b">
        <f t="shared" si="7"/>
        <v>0</v>
      </c>
      <c r="Z11" s="151" t="b">
        <f t="shared" si="8"/>
        <v>0</v>
      </c>
      <c r="AA11" s="151" t="b">
        <f t="shared" si="25"/>
        <v>0</v>
      </c>
      <c r="AB11" s="151" t="b">
        <f t="shared" si="9"/>
        <v>0</v>
      </c>
      <c r="AC11" s="151" t="b">
        <f t="shared" si="10"/>
        <v>0</v>
      </c>
      <c r="AD11" s="151" t="str">
        <f t="shared" si="11"/>
        <v/>
      </c>
      <c r="AE11" s="151" t="str">
        <f t="shared" si="26"/>
        <v/>
      </c>
      <c r="AF11" s="151" t="str">
        <f t="shared" si="12"/>
        <v/>
      </c>
      <c r="AG11" s="151" t="str">
        <f t="shared" si="13"/>
        <v/>
      </c>
      <c r="AH11" s="151" t="str">
        <f t="shared" si="14"/>
        <v/>
      </c>
      <c r="AI11" s="151" t="str">
        <f t="shared" si="15"/>
        <v/>
      </c>
      <c r="AJ11" s="151" t="str">
        <f t="shared" si="16"/>
        <v/>
      </c>
      <c r="AK11" s="151" t="str">
        <f t="shared" si="27"/>
        <v/>
      </c>
      <c r="AL11" s="151" t="str">
        <f t="shared" si="17"/>
        <v/>
      </c>
      <c r="AM11" s="151" t="str">
        <f t="shared" si="18"/>
        <v/>
      </c>
      <c r="AN11" s="151" t="str">
        <f t="shared" si="19"/>
        <v/>
      </c>
    </row>
    <row r="12" spans="1:40" x14ac:dyDescent="0.2">
      <c r="A12">
        <v>8</v>
      </c>
      <c r="B12" s="161">
        <v>9</v>
      </c>
      <c r="C12" s="161">
        <v>1</v>
      </c>
      <c r="D12" s="161">
        <v>0</v>
      </c>
      <c r="E12" s="161">
        <v>0</v>
      </c>
      <c r="F12">
        <v>1</v>
      </c>
      <c r="G12">
        <v>0</v>
      </c>
      <c r="H12" s="161" t="str">
        <f>IF(C12&gt;1,IF(D12&gt;0,D12,IF(Medicatie_IsEpiduraal(AF12),Medicatie_CalcEpiQty(_Pat_Gewicht),INDEX(Tbl_Ped_MedContIV,C12,H$2))),"")</f>
        <v/>
      </c>
      <c r="I12" s="161" t="str">
        <f>IF(C12&gt;1,IF(E12&gt;0,E12,IF(Medicatie_IsEpiduraal(AF12),Medicatie_CalcEpiVol(_Pat_Gewicht), INDEX(Tbl_Ped_MedContIV,C12,I$2))),"")</f>
        <v/>
      </c>
      <c r="J12" s="161" t="str">
        <f t="shared" si="0"/>
        <v/>
      </c>
      <c r="K12"/>
      <c r="L12"/>
      <c r="M12">
        <f>IF(PedGuiMedIV!E16&lt;&gt;0,24*G12/10,0)</f>
        <v>0</v>
      </c>
      <c r="N12">
        <f t="shared" si="1"/>
        <v>0</v>
      </c>
      <c r="O12">
        <f t="shared" si="2"/>
        <v>0</v>
      </c>
      <c r="P12" s="151">
        <f t="shared" si="20"/>
        <v>0</v>
      </c>
      <c r="Q12" s="151">
        <f t="shared" si="3"/>
        <v>0</v>
      </c>
      <c r="R12" s="151">
        <f t="shared" si="21"/>
        <v>0</v>
      </c>
      <c r="S12">
        <f t="shared" si="22"/>
        <v>0</v>
      </c>
      <c r="T12" s="151">
        <f t="shared" si="4"/>
        <v>0</v>
      </c>
      <c r="U12" s="151">
        <f t="shared" si="23"/>
        <v>0</v>
      </c>
      <c r="V12" s="151" t="b">
        <f t="shared" si="5"/>
        <v>0</v>
      </c>
      <c r="W12" s="151" t="b">
        <f t="shared" si="6"/>
        <v>0</v>
      </c>
      <c r="X12" s="152" t="b">
        <f t="shared" si="24"/>
        <v>0</v>
      </c>
      <c r="Y12" s="151" t="b">
        <f t="shared" si="7"/>
        <v>0</v>
      </c>
      <c r="Z12" s="151" t="b">
        <f t="shared" si="8"/>
        <v>0</v>
      </c>
      <c r="AA12" s="151" t="b">
        <f t="shared" si="25"/>
        <v>0</v>
      </c>
      <c r="AB12" s="151" t="b">
        <f t="shared" si="9"/>
        <v>0</v>
      </c>
      <c r="AC12" s="151" t="b">
        <f t="shared" si="10"/>
        <v>0</v>
      </c>
      <c r="AD12" s="151" t="str">
        <f t="shared" si="11"/>
        <v/>
      </c>
      <c r="AE12" s="151" t="str">
        <f t="shared" si="26"/>
        <v/>
      </c>
      <c r="AF12" s="151" t="str">
        <f t="shared" si="12"/>
        <v/>
      </c>
      <c r="AG12" s="151" t="str">
        <f t="shared" si="13"/>
        <v/>
      </c>
      <c r="AH12" s="151" t="str">
        <f t="shared" si="14"/>
        <v/>
      </c>
      <c r="AI12" s="151" t="str">
        <f t="shared" si="15"/>
        <v/>
      </c>
      <c r="AJ12" s="151" t="str">
        <f t="shared" si="16"/>
        <v/>
      </c>
      <c r="AK12" s="151" t="str">
        <f t="shared" si="27"/>
        <v/>
      </c>
      <c r="AL12" s="151" t="str">
        <f t="shared" si="17"/>
        <v/>
      </c>
      <c r="AM12" s="151" t="str">
        <f t="shared" si="18"/>
        <v/>
      </c>
      <c r="AN12" s="151" t="str">
        <f t="shared" si="19"/>
        <v/>
      </c>
    </row>
    <row r="13" spans="1:40" x14ac:dyDescent="0.2">
      <c r="A13">
        <v>9</v>
      </c>
      <c r="B13" s="161">
        <v>10</v>
      </c>
      <c r="C13" s="161">
        <v>1</v>
      </c>
      <c r="D13" s="161">
        <v>0</v>
      </c>
      <c r="E13" s="161">
        <v>0</v>
      </c>
      <c r="F13">
        <v>1</v>
      </c>
      <c r="G13">
        <v>0</v>
      </c>
      <c r="H13" s="161" t="str">
        <f>IF(C13&gt;1,IF(D13&gt;0,D13,IF(Medicatie_IsEpiduraal(AF13),Medicatie_CalcEpiQty(_Pat_Gewicht),INDEX(Tbl_Ped_MedContIV,C13,H$2))),"")</f>
        <v/>
      </c>
      <c r="I13" s="161" t="str">
        <f>IF(C13&gt;1,IF(E13&gt;0,E13,IF(Medicatie_IsEpiduraal(AF13),Medicatie_CalcEpiVol(_Pat_Gewicht), INDEX(Tbl_Ped_MedContIV,C13,I$2))),"")</f>
        <v/>
      </c>
      <c r="J13" s="161" t="str">
        <f t="shared" si="0"/>
        <v/>
      </c>
      <c r="K13"/>
      <c r="L13"/>
      <c r="M13">
        <f>IF(PedGuiMedIV!E17&lt;&gt;0,24*G13/10,0)</f>
        <v>0</v>
      </c>
      <c r="N13">
        <f t="shared" si="1"/>
        <v>0</v>
      </c>
      <c r="O13">
        <f t="shared" si="2"/>
        <v>0</v>
      </c>
      <c r="P13" s="151">
        <f t="shared" si="20"/>
        <v>0</v>
      </c>
      <c r="Q13" s="151">
        <f t="shared" si="3"/>
        <v>0</v>
      </c>
      <c r="R13" s="151">
        <f t="shared" si="21"/>
        <v>0</v>
      </c>
      <c r="S13">
        <f t="shared" si="22"/>
        <v>0</v>
      </c>
      <c r="T13" s="151">
        <f t="shared" si="4"/>
        <v>0</v>
      </c>
      <c r="U13" s="151">
        <f t="shared" si="23"/>
        <v>0</v>
      </c>
      <c r="V13" s="151" t="b">
        <f t="shared" si="5"/>
        <v>0</v>
      </c>
      <c r="W13" s="151" t="b">
        <f t="shared" si="6"/>
        <v>0</v>
      </c>
      <c r="X13" s="152" t="b">
        <f t="shared" si="24"/>
        <v>0</v>
      </c>
      <c r="Y13" s="151" t="b">
        <f t="shared" si="7"/>
        <v>0</v>
      </c>
      <c r="Z13" s="151" t="b">
        <f t="shared" si="8"/>
        <v>0</v>
      </c>
      <c r="AA13" s="151" t="b">
        <f t="shared" si="25"/>
        <v>0</v>
      </c>
      <c r="AB13" s="151" t="b">
        <f t="shared" si="9"/>
        <v>0</v>
      </c>
      <c r="AC13" s="151" t="b">
        <f t="shared" si="10"/>
        <v>0</v>
      </c>
      <c r="AD13" s="151" t="str">
        <f t="shared" si="11"/>
        <v/>
      </c>
      <c r="AE13" s="151" t="str">
        <f t="shared" si="26"/>
        <v/>
      </c>
      <c r="AF13" s="151" t="str">
        <f t="shared" si="12"/>
        <v/>
      </c>
      <c r="AG13" s="151" t="str">
        <f t="shared" si="13"/>
        <v/>
      </c>
      <c r="AH13" s="151" t="str">
        <f t="shared" si="14"/>
        <v/>
      </c>
      <c r="AI13" s="151" t="str">
        <f t="shared" si="15"/>
        <v/>
      </c>
      <c r="AJ13" s="151" t="str">
        <f t="shared" si="16"/>
        <v/>
      </c>
      <c r="AK13" s="151" t="str">
        <f t="shared" si="27"/>
        <v/>
      </c>
      <c r="AL13" s="151" t="str">
        <f t="shared" si="17"/>
        <v/>
      </c>
      <c r="AM13" s="151" t="str">
        <f t="shared" si="18"/>
        <v/>
      </c>
      <c r="AN13" s="151" t="str">
        <f t="shared" si="19"/>
        <v/>
      </c>
    </row>
    <row r="14" spans="1:40" x14ac:dyDescent="0.2">
      <c r="A14">
        <v>10</v>
      </c>
      <c r="B14" s="161">
        <v>11</v>
      </c>
      <c r="C14" s="161">
        <v>1</v>
      </c>
      <c r="D14" s="161">
        <v>0</v>
      </c>
      <c r="E14" s="161">
        <v>0</v>
      </c>
      <c r="F14">
        <v>1</v>
      </c>
      <c r="G14">
        <v>0</v>
      </c>
      <c r="H14" s="161" t="str">
        <f>IF(C14&gt;1,IF(D14&gt;0,D14,IF(Medicatie_IsEpiduraal(AF14),Medicatie_CalcEpiQty(_Pat_Gewicht),INDEX(Tbl_Ped_MedContIV,C14,H$2))),"")</f>
        <v/>
      </c>
      <c r="I14" s="161" t="str">
        <f>IF(C14&gt;1,IF(E14&gt;0,E14,IF(Medicatie_IsEpiduraal(AF14),Medicatie_CalcEpiVol(_Pat_Gewicht), INDEX(Tbl_Ped_MedContIV,C14,I$2))),"")</f>
        <v/>
      </c>
      <c r="J14" s="161" t="str">
        <f t="shared" si="0"/>
        <v/>
      </c>
      <c r="K14"/>
      <c r="L14"/>
      <c r="M14">
        <f>IF(PedGuiMedIV!E18&lt;&gt;0,24*G14/10,0)</f>
        <v>0</v>
      </c>
      <c r="N14">
        <f t="shared" si="1"/>
        <v>0</v>
      </c>
      <c r="O14">
        <f t="shared" si="2"/>
        <v>0</v>
      </c>
      <c r="P14" s="151">
        <f t="shared" si="20"/>
        <v>0</v>
      </c>
      <c r="Q14" s="151">
        <f t="shared" si="3"/>
        <v>0</v>
      </c>
      <c r="R14" s="151">
        <f t="shared" si="21"/>
        <v>0</v>
      </c>
      <c r="S14">
        <f t="shared" si="22"/>
        <v>0</v>
      </c>
      <c r="T14" s="151">
        <f t="shared" si="4"/>
        <v>0</v>
      </c>
      <c r="U14" s="151">
        <f t="shared" si="23"/>
        <v>0</v>
      </c>
      <c r="V14" s="151" t="b">
        <f t="shared" si="5"/>
        <v>0</v>
      </c>
      <c r="W14" s="151" t="b">
        <f t="shared" si="6"/>
        <v>0</v>
      </c>
      <c r="X14" s="152" t="b">
        <f t="shared" si="24"/>
        <v>0</v>
      </c>
      <c r="Y14" s="151" t="b">
        <f t="shared" si="7"/>
        <v>0</v>
      </c>
      <c r="Z14" s="151" t="b">
        <f t="shared" si="8"/>
        <v>0</v>
      </c>
      <c r="AA14" s="151" t="b">
        <f t="shared" si="25"/>
        <v>0</v>
      </c>
      <c r="AB14" s="151" t="b">
        <f t="shared" si="9"/>
        <v>0</v>
      </c>
      <c r="AC14" s="151" t="b">
        <f t="shared" si="10"/>
        <v>0</v>
      </c>
      <c r="AD14" s="151" t="str">
        <f t="shared" si="11"/>
        <v/>
      </c>
      <c r="AE14" s="151" t="str">
        <f t="shared" si="26"/>
        <v/>
      </c>
      <c r="AF14" s="151" t="str">
        <f t="shared" si="12"/>
        <v/>
      </c>
      <c r="AG14" s="151" t="str">
        <f t="shared" si="13"/>
        <v/>
      </c>
      <c r="AH14" s="151" t="str">
        <f t="shared" si="14"/>
        <v/>
      </c>
      <c r="AI14" s="151" t="str">
        <f t="shared" si="15"/>
        <v/>
      </c>
      <c r="AJ14" s="151" t="str">
        <f t="shared" si="16"/>
        <v/>
      </c>
      <c r="AK14" s="151" t="str">
        <f t="shared" si="27"/>
        <v/>
      </c>
      <c r="AL14" s="151" t="str">
        <f t="shared" si="17"/>
        <v/>
      </c>
      <c r="AM14" s="151" t="str">
        <f t="shared" si="18"/>
        <v/>
      </c>
      <c r="AN14" s="151" t="str">
        <f t="shared" si="19"/>
        <v/>
      </c>
    </row>
    <row r="15" spans="1:40" s="151" customFormat="1" x14ac:dyDescent="0.2">
      <c r="A15" s="151">
        <v>11</v>
      </c>
      <c r="B15" s="161">
        <v>12</v>
      </c>
      <c r="C15" s="161">
        <v>1</v>
      </c>
      <c r="D15" s="161">
        <v>0</v>
      </c>
      <c r="E15" s="161">
        <v>0</v>
      </c>
      <c r="F15" s="151">
        <v>1</v>
      </c>
      <c r="G15" s="151">
        <v>0</v>
      </c>
      <c r="H15" s="161" t="str">
        <f>IF(C15&gt;1,IF(D15&gt;0,D15,IF(Medicatie_IsEpiduraal(AF15),Medicatie_CalcEpiQty(_Pat_Gewicht),INDEX(Tbl_Ped_MedContIV,C15,H$2))),"")</f>
        <v/>
      </c>
      <c r="I15" s="161" t="str">
        <f>IF(C15&gt;1,IF(E15&gt;0,E15,IF(Medicatie_IsEpiduraal(AF15),Medicatie_CalcEpiVol(_Pat_Gewicht), INDEX(Tbl_Ped_MedContIV,C15,I$2))),"")</f>
        <v/>
      </c>
      <c r="J15" s="161" t="str">
        <f t="shared" si="0"/>
        <v/>
      </c>
      <c r="M15" s="151">
        <f>IF(PedGuiMedIV!E19&lt;&gt;0,24*G15/10,0)</f>
        <v>0</v>
      </c>
      <c r="N15" s="151">
        <f t="shared" si="1"/>
        <v>0</v>
      </c>
      <c r="O15" s="151">
        <f t="shared" si="2"/>
        <v>0</v>
      </c>
      <c r="P15" s="151">
        <f t="shared" si="20"/>
        <v>0</v>
      </c>
      <c r="Q15" s="151">
        <f t="shared" si="3"/>
        <v>0</v>
      </c>
      <c r="R15" s="151">
        <f t="shared" si="21"/>
        <v>0</v>
      </c>
      <c r="S15" s="151">
        <f t="shared" si="22"/>
        <v>0</v>
      </c>
      <c r="T15" s="151">
        <f t="shared" si="4"/>
        <v>0</v>
      </c>
      <c r="U15" s="151">
        <f t="shared" si="23"/>
        <v>0</v>
      </c>
      <c r="V15" s="151" t="b">
        <f t="shared" si="5"/>
        <v>0</v>
      </c>
      <c r="W15" s="151" t="b">
        <f t="shared" si="6"/>
        <v>0</v>
      </c>
      <c r="X15" s="152" t="b">
        <f t="shared" si="24"/>
        <v>0</v>
      </c>
      <c r="Y15" s="151" t="b">
        <f t="shared" si="7"/>
        <v>0</v>
      </c>
      <c r="Z15" s="151" t="b">
        <f t="shared" si="8"/>
        <v>0</v>
      </c>
      <c r="AA15" s="151" t="b">
        <f t="shared" si="25"/>
        <v>0</v>
      </c>
      <c r="AB15" s="151" t="b">
        <f t="shared" si="9"/>
        <v>0</v>
      </c>
      <c r="AC15" s="151" t="b">
        <f t="shared" si="10"/>
        <v>0</v>
      </c>
      <c r="AD15" s="151" t="str">
        <f t="shared" si="11"/>
        <v/>
      </c>
      <c r="AE15" s="151" t="str">
        <f t="shared" si="26"/>
        <v/>
      </c>
      <c r="AF15" s="151" t="str">
        <f t="shared" si="12"/>
        <v/>
      </c>
      <c r="AG15" s="151" t="str">
        <f t="shared" si="13"/>
        <v/>
      </c>
      <c r="AH15" s="151" t="str">
        <f t="shared" si="14"/>
        <v/>
      </c>
      <c r="AI15" s="151" t="str">
        <f t="shared" si="15"/>
        <v/>
      </c>
      <c r="AJ15" s="151" t="str">
        <f t="shared" si="16"/>
        <v/>
      </c>
      <c r="AK15" s="151" t="str">
        <f t="shared" si="27"/>
        <v/>
      </c>
      <c r="AL15" s="151" t="str">
        <f t="shared" si="17"/>
        <v/>
      </c>
      <c r="AM15" s="151" t="str">
        <f t="shared" si="18"/>
        <v/>
      </c>
      <c r="AN15" s="151" t="str">
        <f t="shared" si="19"/>
        <v/>
      </c>
    </row>
    <row r="16" spans="1:40" s="151" customFormat="1" x14ac:dyDescent="0.2">
      <c r="A16" s="151">
        <v>12</v>
      </c>
      <c r="B16" s="161">
        <v>13</v>
      </c>
      <c r="C16" s="161">
        <v>1</v>
      </c>
      <c r="D16" s="161">
        <v>0</v>
      </c>
      <c r="E16" s="161">
        <v>0</v>
      </c>
      <c r="F16" s="151">
        <v>1</v>
      </c>
      <c r="G16" s="151">
        <v>0</v>
      </c>
      <c r="H16" s="161" t="str">
        <f>IF(C16&gt;1,IF(D16&gt;0,D16,IF(Medicatie_IsEpiduraal(AF16),Medicatie_CalcEpiQty(_Pat_Gewicht),INDEX(Tbl_Ped_MedContIV,C16,H$2))),"")</f>
        <v/>
      </c>
      <c r="I16" s="161" t="str">
        <f>IF(C16&gt;1,IF(E16&gt;0,E16,IF(Medicatie_IsEpiduraal(AF16),Medicatie_CalcEpiVol(_Pat_Gewicht), INDEX(Tbl_Ped_MedContIV,C16,I$2))),"")</f>
        <v/>
      </c>
      <c r="J16" s="161" t="str">
        <f t="shared" si="0"/>
        <v/>
      </c>
      <c r="M16" s="151">
        <f>IF(PedGuiMedIV!E20&lt;&gt;0,24*G16/10,0)</f>
        <v>0</v>
      </c>
      <c r="N16" s="151">
        <f t="shared" si="1"/>
        <v>0</v>
      </c>
      <c r="O16" s="151">
        <f t="shared" si="2"/>
        <v>0</v>
      </c>
      <c r="P16" s="151">
        <f t="shared" si="20"/>
        <v>0</v>
      </c>
      <c r="Q16" s="151">
        <f t="shared" si="3"/>
        <v>0</v>
      </c>
      <c r="R16" s="151">
        <f t="shared" si="21"/>
        <v>0</v>
      </c>
      <c r="S16" s="151">
        <f t="shared" si="22"/>
        <v>0</v>
      </c>
      <c r="T16" s="151">
        <f t="shared" si="4"/>
        <v>0</v>
      </c>
      <c r="U16" s="151">
        <f t="shared" si="23"/>
        <v>0</v>
      </c>
      <c r="V16" s="151" t="b">
        <f t="shared" si="5"/>
        <v>0</v>
      </c>
      <c r="W16" s="151" t="b">
        <f t="shared" si="6"/>
        <v>0</v>
      </c>
      <c r="X16" s="152" t="b">
        <f t="shared" si="24"/>
        <v>0</v>
      </c>
      <c r="Y16" s="151" t="b">
        <f t="shared" si="7"/>
        <v>0</v>
      </c>
      <c r="Z16" s="151" t="b">
        <f t="shared" si="8"/>
        <v>0</v>
      </c>
      <c r="AA16" s="151" t="b">
        <f t="shared" si="25"/>
        <v>0</v>
      </c>
      <c r="AB16" s="151" t="b">
        <f t="shared" si="9"/>
        <v>0</v>
      </c>
      <c r="AC16" s="151" t="b">
        <f t="shared" si="10"/>
        <v>0</v>
      </c>
      <c r="AD16" s="151" t="str">
        <f t="shared" si="11"/>
        <v/>
      </c>
      <c r="AE16" s="151" t="str">
        <f t="shared" si="26"/>
        <v/>
      </c>
      <c r="AF16" s="151" t="str">
        <f t="shared" si="12"/>
        <v/>
      </c>
      <c r="AG16" s="151" t="str">
        <f t="shared" si="13"/>
        <v/>
      </c>
      <c r="AH16" s="151" t="str">
        <f t="shared" si="14"/>
        <v/>
      </c>
      <c r="AI16" s="151" t="str">
        <f t="shared" si="15"/>
        <v/>
      </c>
      <c r="AJ16" s="151" t="str">
        <f t="shared" si="16"/>
        <v/>
      </c>
      <c r="AK16" s="151" t="str">
        <f t="shared" si="27"/>
        <v/>
      </c>
      <c r="AL16" s="151" t="str">
        <f t="shared" si="17"/>
        <v/>
      </c>
      <c r="AM16" s="151" t="str">
        <f t="shared" si="18"/>
        <v/>
      </c>
      <c r="AN16" s="151" t="str">
        <f t="shared" si="19"/>
        <v/>
      </c>
    </row>
    <row r="17" spans="1:40" s="151" customFormat="1" x14ac:dyDescent="0.2">
      <c r="A17" s="151">
        <v>13</v>
      </c>
      <c r="B17" s="161">
        <v>14</v>
      </c>
      <c r="C17" s="161">
        <v>1</v>
      </c>
      <c r="D17" s="161">
        <v>0</v>
      </c>
      <c r="E17" s="161">
        <v>0</v>
      </c>
      <c r="F17" s="151">
        <v>1</v>
      </c>
      <c r="G17" s="151">
        <v>0</v>
      </c>
      <c r="H17" s="161" t="str">
        <f>IF(C17&gt;1,IF(D17&gt;0,D17,IF(Medicatie_IsEpiduraal(AF17),Medicatie_CalcEpiQty(_Pat_Gewicht),INDEX(Tbl_Ped_MedContIV,C17,H$2))),"")</f>
        <v/>
      </c>
      <c r="I17" s="161" t="str">
        <f>IF(C17&gt;1,IF(E17&gt;0,E17,IF(Medicatie_IsEpiduraal(AF17),Medicatie_CalcEpiVol(_Pat_Gewicht), INDEX(Tbl_Ped_MedContIV,C17,I$2))),"")</f>
        <v/>
      </c>
      <c r="J17" s="161" t="str">
        <f t="shared" si="0"/>
        <v/>
      </c>
      <c r="M17" s="151">
        <f>IF(PedGuiMedIV!E21&lt;&gt;0,24*G17/10,0)</f>
        <v>0</v>
      </c>
      <c r="N17" s="151">
        <f t="shared" si="1"/>
        <v>0</v>
      </c>
      <c r="O17" s="151">
        <f t="shared" si="2"/>
        <v>0</v>
      </c>
      <c r="P17" s="151">
        <f t="shared" si="20"/>
        <v>0</v>
      </c>
      <c r="Q17" s="151">
        <f t="shared" si="3"/>
        <v>0</v>
      </c>
      <c r="R17" s="151">
        <f t="shared" si="21"/>
        <v>0</v>
      </c>
      <c r="S17" s="151">
        <f t="shared" si="22"/>
        <v>0</v>
      </c>
      <c r="T17" s="151">
        <f t="shared" si="4"/>
        <v>0</v>
      </c>
      <c r="U17" s="151">
        <f t="shared" si="23"/>
        <v>0</v>
      </c>
      <c r="V17" s="151" t="b">
        <f t="shared" si="5"/>
        <v>0</v>
      </c>
      <c r="W17" s="151" t="b">
        <f t="shared" si="6"/>
        <v>0</v>
      </c>
      <c r="X17" s="152" t="b">
        <f t="shared" si="24"/>
        <v>0</v>
      </c>
      <c r="Y17" s="151" t="b">
        <f t="shared" si="7"/>
        <v>0</v>
      </c>
      <c r="Z17" s="151" t="b">
        <f t="shared" si="8"/>
        <v>0</v>
      </c>
      <c r="AA17" s="151" t="b">
        <f t="shared" si="25"/>
        <v>0</v>
      </c>
      <c r="AB17" s="151" t="b">
        <f t="shared" si="9"/>
        <v>0</v>
      </c>
      <c r="AC17" s="151" t="b">
        <f t="shared" si="10"/>
        <v>0</v>
      </c>
      <c r="AD17" s="151" t="str">
        <f t="shared" si="11"/>
        <v/>
      </c>
      <c r="AE17" s="151" t="str">
        <f t="shared" si="26"/>
        <v/>
      </c>
      <c r="AF17" s="151" t="str">
        <f t="shared" si="12"/>
        <v/>
      </c>
      <c r="AG17" s="151" t="str">
        <f t="shared" si="13"/>
        <v/>
      </c>
      <c r="AH17" s="151" t="str">
        <f t="shared" si="14"/>
        <v/>
      </c>
      <c r="AI17" s="151" t="str">
        <f t="shared" si="15"/>
        <v/>
      </c>
      <c r="AJ17" s="151" t="str">
        <f t="shared" si="16"/>
        <v/>
      </c>
      <c r="AK17" s="151" t="str">
        <f t="shared" si="27"/>
        <v/>
      </c>
      <c r="AL17" s="151" t="str">
        <f t="shared" si="17"/>
        <v/>
      </c>
      <c r="AM17" s="151" t="str">
        <f t="shared" si="18"/>
        <v/>
      </c>
      <c r="AN17" s="151" t="str">
        <f t="shared" si="19"/>
        <v/>
      </c>
    </row>
    <row r="18" spans="1:40" s="151" customFormat="1" x14ac:dyDescent="0.2">
      <c r="A18" s="151">
        <v>14</v>
      </c>
      <c r="B18" s="161">
        <v>15</v>
      </c>
      <c r="C18" s="161">
        <v>1</v>
      </c>
      <c r="D18" s="161">
        <v>0</v>
      </c>
      <c r="E18" s="161">
        <v>0</v>
      </c>
      <c r="F18" s="151">
        <v>1</v>
      </c>
      <c r="G18" s="151">
        <v>0</v>
      </c>
      <c r="H18" s="161" t="str">
        <f>IF(C18&gt;1,IF(D18&gt;0,D18,IF(Medicatie_IsEpiduraal(AF18),Medicatie_CalcEpiQty(_Pat_Gewicht),INDEX(Tbl_Ped_MedContIV,C18,H$2))),"")</f>
        <v/>
      </c>
      <c r="I18" s="161" t="str">
        <f>IF(C18&gt;1,IF(E18&gt;0,E18,IF(Medicatie_IsEpiduraal(AF18),Medicatie_CalcEpiVol(_Pat_Gewicht), INDEX(Tbl_Ped_MedContIV,C18,I$2))),"")</f>
        <v/>
      </c>
      <c r="J18" s="161" t="str">
        <f t="shared" si="0"/>
        <v/>
      </c>
      <c r="M18" s="151">
        <f>IF(PedGuiMedIV!E22&lt;&gt;0,24*G18/10,0)</f>
        <v>0</v>
      </c>
      <c r="N18" s="151">
        <f t="shared" si="1"/>
        <v>0</v>
      </c>
      <c r="O18" s="151">
        <f t="shared" si="2"/>
        <v>0</v>
      </c>
      <c r="P18" s="151">
        <f t="shared" si="20"/>
        <v>0</v>
      </c>
      <c r="Q18" s="151">
        <f t="shared" si="3"/>
        <v>0</v>
      </c>
      <c r="R18" s="151">
        <f t="shared" si="21"/>
        <v>0</v>
      </c>
      <c r="S18" s="151">
        <f t="shared" si="22"/>
        <v>0</v>
      </c>
      <c r="T18" s="151">
        <f t="shared" si="4"/>
        <v>0</v>
      </c>
      <c r="U18" s="151">
        <f t="shared" si="23"/>
        <v>0</v>
      </c>
      <c r="V18" s="151" t="b">
        <f t="shared" si="5"/>
        <v>0</v>
      </c>
      <c r="W18" s="151" t="b">
        <f t="shared" si="6"/>
        <v>0</v>
      </c>
      <c r="X18" s="152" t="b">
        <f t="shared" si="24"/>
        <v>0</v>
      </c>
      <c r="Y18" s="151" t="b">
        <f t="shared" si="7"/>
        <v>0</v>
      </c>
      <c r="Z18" s="151" t="b">
        <f t="shared" si="8"/>
        <v>0</v>
      </c>
      <c r="AA18" s="151" t="b">
        <f t="shared" si="25"/>
        <v>0</v>
      </c>
      <c r="AB18" s="151" t="b">
        <f t="shared" si="9"/>
        <v>0</v>
      </c>
      <c r="AC18" s="151" t="b">
        <f t="shared" si="10"/>
        <v>0</v>
      </c>
      <c r="AD18" s="151" t="str">
        <f t="shared" si="11"/>
        <v/>
      </c>
      <c r="AE18" s="151" t="str">
        <f t="shared" si="26"/>
        <v/>
      </c>
      <c r="AF18" s="151" t="str">
        <f t="shared" si="12"/>
        <v/>
      </c>
      <c r="AG18" s="151" t="str">
        <f t="shared" si="13"/>
        <v/>
      </c>
      <c r="AH18" s="151" t="str">
        <f t="shared" si="14"/>
        <v/>
      </c>
      <c r="AI18" s="151" t="str">
        <f t="shared" si="15"/>
        <v/>
      </c>
      <c r="AJ18" s="151" t="str">
        <f t="shared" si="16"/>
        <v/>
      </c>
      <c r="AK18" s="151" t="str">
        <f t="shared" si="27"/>
        <v/>
      </c>
      <c r="AL18" s="151" t="str">
        <f t="shared" si="17"/>
        <v/>
      </c>
      <c r="AM18" s="151" t="str">
        <f t="shared" si="18"/>
        <v/>
      </c>
      <c r="AN18" s="151" t="str">
        <f t="shared" si="19"/>
        <v/>
      </c>
    </row>
    <row r="19" spans="1:40" s="151" customFormat="1" x14ac:dyDescent="0.2">
      <c r="A19" s="151">
        <v>15</v>
      </c>
      <c r="B19" s="161">
        <v>16</v>
      </c>
      <c r="C19" s="161">
        <v>1</v>
      </c>
      <c r="D19" s="161">
        <v>0</v>
      </c>
      <c r="E19" s="161">
        <v>0</v>
      </c>
      <c r="F19" s="151">
        <v>1</v>
      </c>
      <c r="G19" s="151">
        <v>0</v>
      </c>
      <c r="H19" s="161" t="str">
        <f>IF(C19&gt;1,IF(D19&gt;0,D19,IF(Medicatie_IsEpiduraal(AF19),Medicatie_CalcEpiQty(_Pat_Gewicht),INDEX(Tbl_Ped_MedContIV,C19,H$2))),"")</f>
        <v/>
      </c>
      <c r="I19" s="161" t="str">
        <f>IF(C19&gt;1,IF(E19&gt;0,E19,IF(Medicatie_IsEpiduraal(AF19),Medicatie_CalcEpiVol(_Pat_Gewicht), INDEX(Tbl_Ped_MedContIV,C19,I$2))),"")</f>
        <v/>
      </c>
      <c r="J19" s="161" t="str">
        <f t="shared" si="0"/>
        <v/>
      </c>
      <c r="M19" s="151">
        <f>IF(PedGuiMedIV!E23&lt;&gt;0,24*G19/10,0)</f>
        <v>0</v>
      </c>
      <c r="N19" s="151">
        <f t="shared" si="1"/>
        <v>0</v>
      </c>
      <c r="O19" s="151">
        <f t="shared" si="2"/>
        <v>0</v>
      </c>
      <c r="P19" s="151">
        <f t="shared" si="20"/>
        <v>0</v>
      </c>
      <c r="Q19" s="151">
        <f t="shared" si="3"/>
        <v>0</v>
      </c>
      <c r="R19" s="151">
        <f t="shared" si="21"/>
        <v>0</v>
      </c>
      <c r="S19" s="151">
        <f t="shared" si="22"/>
        <v>0</v>
      </c>
      <c r="T19" s="151">
        <f t="shared" si="4"/>
        <v>0</v>
      </c>
      <c r="U19" s="151">
        <f t="shared" si="23"/>
        <v>0</v>
      </c>
      <c r="V19" s="151" t="b">
        <f t="shared" si="5"/>
        <v>0</v>
      </c>
      <c r="W19" s="151" t="b">
        <f t="shared" si="6"/>
        <v>0</v>
      </c>
      <c r="X19" s="152" t="b">
        <f t="shared" si="24"/>
        <v>0</v>
      </c>
      <c r="Y19" s="151" t="b">
        <f t="shared" si="7"/>
        <v>0</v>
      </c>
      <c r="Z19" s="151" t="b">
        <f t="shared" si="8"/>
        <v>0</v>
      </c>
      <c r="AA19" s="151" t="b">
        <f t="shared" si="25"/>
        <v>0</v>
      </c>
      <c r="AB19" s="151" t="b">
        <f t="shared" si="9"/>
        <v>0</v>
      </c>
      <c r="AC19" s="151" t="b">
        <f t="shared" si="10"/>
        <v>0</v>
      </c>
      <c r="AD19" s="151" t="str">
        <f t="shared" si="11"/>
        <v/>
      </c>
      <c r="AE19" s="151" t="str">
        <f t="shared" si="26"/>
        <v/>
      </c>
      <c r="AF19" s="151" t="str">
        <f t="shared" si="12"/>
        <v/>
      </c>
      <c r="AG19" s="151" t="str">
        <f t="shared" si="13"/>
        <v/>
      </c>
      <c r="AH19" s="151" t="str">
        <f t="shared" si="14"/>
        <v/>
      </c>
      <c r="AI19" s="151" t="str">
        <f t="shared" si="15"/>
        <v/>
      </c>
      <c r="AJ19" s="151" t="str">
        <f t="shared" si="16"/>
        <v/>
      </c>
      <c r="AK19" s="151" t="str">
        <f t="shared" si="27"/>
        <v/>
      </c>
      <c r="AL19" s="151" t="str">
        <f t="shared" si="17"/>
        <v/>
      </c>
      <c r="AM19" s="151" t="str">
        <f t="shared" si="18"/>
        <v/>
      </c>
      <c r="AN19" s="151" t="str">
        <f t="shared" si="19"/>
        <v/>
      </c>
    </row>
    <row r="20" spans="1:40" s="151" customFormat="1" x14ac:dyDescent="0.2">
      <c r="A20" s="151">
        <v>1</v>
      </c>
      <c r="B20" s="151">
        <v>2</v>
      </c>
      <c r="C20" s="151">
        <v>3</v>
      </c>
      <c r="D20" s="151">
        <v>4</v>
      </c>
      <c r="E20" s="151">
        <v>5</v>
      </c>
      <c r="F20" s="151">
        <v>6</v>
      </c>
      <c r="G20" s="151">
        <v>7</v>
      </c>
      <c r="H20" s="151">
        <v>8</v>
      </c>
      <c r="I20" s="151">
        <v>9</v>
      </c>
      <c r="J20" s="151">
        <v>10</v>
      </c>
      <c r="K20" s="151">
        <v>11</v>
      </c>
      <c r="L20" s="151">
        <v>12</v>
      </c>
      <c r="M20" s="151">
        <v>13</v>
      </c>
      <c r="N20" s="151">
        <v>14</v>
      </c>
      <c r="O20" s="151">
        <v>15</v>
      </c>
      <c r="P20" s="151">
        <v>16</v>
      </c>
      <c r="Q20" s="151">
        <v>17</v>
      </c>
      <c r="R20" s="151">
        <v>18</v>
      </c>
      <c r="S20" s="151">
        <v>19</v>
      </c>
      <c r="T20" s="151">
        <v>20</v>
      </c>
      <c r="U20" s="151">
        <v>21</v>
      </c>
      <c r="V20" s="151">
        <v>22</v>
      </c>
      <c r="W20" s="151">
        <v>23</v>
      </c>
      <c r="X20" s="151">
        <v>24</v>
      </c>
      <c r="Y20" s="151">
        <v>25</v>
      </c>
      <c r="Z20" s="151">
        <v>26</v>
      </c>
      <c r="AA20" s="151">
        <v>27</v>
      </c>
      <c r="AB20" s="151">
        <v>28</v>
      </c>
      <c r="AC20" s="151">
        <v>29</v>
      </c>
      <c r="AD20" s="151">
        <v>30</v>
      </c>
      <c r="AE20" s="151">
        <v>31</v>
      </c>
      <c r="AF20" s="151">
        <v>32</v>
      </c>
      <c r="AG20" s="151">
        <v>33</v>
      </c>
      <c r="AH20" s="151">
        <v>34</v>
      </c>
      <c r="AI20" s="151">
        <v>35</v>
      </c>
      <c r="AJ20" s="151">
        <v>36</v>
      </c>
      <c r="AK20" s="151">
        <v>37</v>
      </c>
      <c r="AL20" s="151">
        <v>38</v>
      </c>
      <c r="AM20" s="151">
        <v>39</v>
      </c>
      <c r="AN20" s="151">
        <v>40</v>
      </c>
    </row>
    <row r="21" spans="1:40" s="161" customFormat="1" x14ac:dyDescent="0.2">
      <c r="A21" s="287">
        <v>16</v>
      </c>
      <c r="B21" s="287"/>
      <c r="C21" s="287"/>
      <c r="D21" s="288">
        <v>0</v>
      </c>
      <c r="E21" s="287">
        <v>0</v>
      </c>
      <c r="F21" s="287">
        <v>1</v>
      </c>
      <c r="G21" s="287">
        <v>0</v>
      </c>
      <c r="H21" s="287"/>
      <c r="I21" s="287"/>
      <c r="J21" s="287"/>
      <c r="K21" s="287" t="e">
        <f>LEFT(D21,FIND(" ",D21))</f>
        <v>#VALUE!</v>
      </c>
      <c r="L21" s="287" t="e">
        <f>MID(D21, FIND(" ",D21), LEN(D21) - FIND(" ",D21) + 1)</f>
        <v>#VALUE!</v>
      </c>
      <c r="M21" s="287">
        <f>IF(PedGuiMedIV!E25&lt;&gt;"",G21/10*24,0)</f>
        <v>0</v>
      </c>
      <c r="N21" s="287">
        <f t="shared" ref="N21:N25" si="28">IF($F21=3,M21*0.05,0)</f>
        <v>0</v>
      </c>
      <c r="O21" s="287">
        <f t="shared" ref="O21:O25" si="29">IF($F21=4,M21*0.1,0)</f>
        <v>0</v>
      </c>
      <c r="P21" s="287">
        <f>IF($F21=2,M21*0.155,0)</f>
        <v>0</v>
      </c>
      <c r="Q21" s="287">
        <f>P21</f>
        <v>0</v>
      </c>
      <c r="R21" s="287">
        <f>Q21</f>
        <v>0</v>
      </c>
      <c r="S21" s="287">
        <f t="shared" si="22"/>
        <v>0</v>
      </c>
      <c r="T21" s="287">
        <f>IF(OR($C21=4),0.2*$M21,0)</f>
        <v>0</v>
      </c>
      <c r="U21" s="287">
        <f>IF(OR(C21=20,C21=21),0.1*M21,0)</f>
        <v>0</v>
      </c>
      <c r="V21" s="287"/>
      <c r="W21" s="287"/>
      <c r="X21" s="287"/>
      <c r="Y21" s="287"/>
      <c r="Z21" s="287"/>
      <c r="AA21" s="287"/>
      <c r="AB21" s="287"/>
      <c r="AC21" s="287"/>
      <c r="AD21" s="287" t="str">
        <f>IF(C21&gt;1,"verw","")</f>
        <v/>
      </c>
      <c r="AE21" s="287"/>
      <c r="AF21" s="287" t="str">
        <f>IF(C21&lt;&gt;"",C21,"")</f>
        <v/>
      </c>
      <c r="AG21" s="287">
        <f>IF(D21="","",D21)</f>
        <v>0</v>
      </c>
      <c r="AH21" s="287" t="str">
        <f>IF(C21&lt;&gt;"",E21&amp;" ml","")</f>
        <v/>
      </c>
      <c r="AI21" s="287" t="str">
        <f>IF((INDEX(Tbl_Ped_MedContIV_OplVl,F21,1)=0),"",INDEX(Tbl_Ped_MedContIV_OplVl,F21,1))</f>
        <v/>
      </c>
      <c r="AJ21" s="287" t="str">
        <f>IF(C21&gt;1,G21/10&amp;" ml/uur","")</f>
        <v/>
      </c>
      <c r="AK21" s="287" t="str">
        <f>IFERROR(ROUND((G21/10)*K21/E21/(_Pat_Gewicht),3)&amp;" "&amp;L21&amp;"/kg/uur "&amp;"("&amp;ROUND((G21/10/60)*K21/E21/(_Pat_Gewicht),3)&amp;" "&amp;L21&amp;"/kg/min)","")</f>
        <v/>
      </c>
      <c r="AL21" s="287"/>
      <c r="AM21" s="287" t="str">
        <f>IF(C21&gt;1,24*G21/10&amp;" ml","")</f>
        <v/>
      </c>
      <c r="AN21" s="287"/>
    </row>
    <row r="22" spans="1:40" s="161" customFormat="1" x14ac:dyDescent="0.2">
      <c r="A22" s="287">
        <v>17</v>
      </c>
      <c r="B22" s="287"/>
      <c r="C22" s="287"/>
      <c r="D22" s="287">
        <v>0</v>
      </c>
      <c r="E22" s="287">
        <v>0</v>
      </c>
      <c r="F22" s="287">
        <v>1</v>
      </c>
      <c r="G22" s="287">
        <v>0</v>
      </c>
      <c r="H22" s="287"/>
      <c r="I22" s="287"/>
      <c r="J22" s="287"/>
      <c r="K22" s="287" t="e">
        <f>LEFT(D22,FIND(" ",D22))</f>
        <v>#VALUE!</v>
      </c>
      <c r="L22" s="287" t="e">
        <f>MID(D22, FIND(" ",D22), LEN(D22) - FIND(" ",D22) + 1)</f>
        <v>#VALUE!</v>
      </c>
      <c r="M22" s="287">
        <f>IF(PedGuiMedIV!E26&lt;&gt;"",G22/10*24,0)</f>
        <v>0</v>
      </c>
      <c r="N22" s="287">
        <f t="shared" si="28"/>
        <v>0</v>
      </c>
      <c r="O22" s="287">
        <f t="shared" si="29"/>
        <v>0</v>
      </c>
      <c r="P22" s="287">
        <f t="shared" ref="P22:P25" si="30">IF($F22=2,M22*0.155,0)</f>
        <v>0</v>
      </c>
      <c r="Q22" s="287">
        <f t="shared" ref="Q22:Q25" si="31">P22</f>
        <v>0</v>
      </c>
      <c r="R22" s="287">
        <f t="shared" ref="R22:R25" si="32">Q22</f>
        <v>0</v>
      </c>
      <c r="S22" s="287">
        <f t="shared" si="22"/>
        <v>0</v>
      </c>
      <c r="T22" s="287">
        <f>IF(OR($C22=4),0.2*$M22,0)</f>
        <v>0</v>
      </c>
      <c r="U22" s="287">
        <f>IF(OR(C22=20,C22=21),0.1*M22,0)</f>
        <v>0</v>
      </c>
      <c r="V22" s="287"/>
      <c r="W22" s="287"/>
      <c r="X22" s="287"/>
      <c r="Y22" s="287"/>
      <c r="Z22" s="287"/>
      <c r="AA22" s="287"/>
      <c r="AB22" s="287"/>
      <c r="AC22" s="287"/>
      <c r="AD22" s="287" t="str">
        <f>IF(C22&gt;1,"verw","")</f>
        <v/>
      </c>
      <c r="AE22" s="287"/>
      <c r="AF22" s="287" t="str">
        <f>IF(C22&lt;&gt;"",C22,"")</f>
        <v/>
      </c>
      <c r="AG22" s="287">
        <f t="shared" ref="AG22:AG25" si="33">IF(D22="","",D22)</f>
        <v>0</v>
      </c>
      <c r="AH22" s="287" t="str">
        <f>IF(C22&lt;&gt;"",E22&amp;" ml","")</f>
        <v/>
      </c>
      <c r="AI22" s="287" t="str">
        <f>IF((INDEX(Tbl_Ped_MedContIV_OplVl,F22,1)=0),"",INDEX(Tbl_Ped_MedContIV_OplVl,F22,1))</f>
        <v/>
      </c>
      <c r="AJ22" s="287" t="str">
        <f>IF(C22&gt;1,G22/10&amp;" ml/uur","")</f>
        <v/>
      </c>
      <c r="AK22" s="287" t="str">
        <f>IFERROR(ROUND((G22/10)*K22/E22/(_Pat_Gewicht),3)&amp;" "&amp;L22&amp;"/kg/uur "&amp;"("&amp;ROUND((G22/10/60)*K22/E22/(_Pat_Gewicht),3)&amp;" "&amp;L22&amp;"/kg/min)","")</f>
        <v/>
      </c>
      <c r="AL22" s="287"/>
      <c r="AM22" s="287" t="str">
        <f>IF(C22&gt;1,24*G22/10&amp;" ml","")</f>
        <v/>
      </c>
      <c r="AN22" s="287"/>
    </row>
    <row r="23" spans="1:40" s="161" customFormat="1" x14ac:dyDescent="0.2">
      <c r="A23" s="287">
        <v>18</v>
      </c>
      <c r="B23" s="287"/>
      <c r="C23" s="287"/>
      <c r="D23" s="287">
        <v>0</v>
      </c>
      <c r="E23" s="287">
        <v>0</v>
      </c>
      <c r="F23" s="287">
        <v>1</v>
      </c>
      <c r="G23" s="287">
        <v>0</v>
      </c>
      <c r="H23" s="287"/>
      <c r="I23" s="287"/>
      <c r="J23" s="287"/>
      <c r="K23" s="287" t="e">
        <f>LEFT(D23,FIND(" ",D23))</f>
        <v>#VALUE!</v>
      </c>
      <c r="L23" s="287" t="e">
        <f>MID(D23, FIND(" ",D23), LEN(D23) - FIND(" ",D23) + 1)</f>
        <v>#VALUE!</v>
      </c>
      <c r="M23" s="287">
        <f>IF(PedGuiMedIV!E27&lt;&gt;"",G23/10*24,0)</f>
        <v>0</v>
      </c>
      <c r="N23" s="287">
        <f t="shared" si="28"/>
        <v>0</v>
      </c>
      <c r="O23" s="287">
        <f t="shared" si="29"/>
        <v>0</v>
      </c>
      <c r="P23" s="287">
        <f t="shared" si="30"/>
        <v>0</v>
      </c>
      <c r="Q23" s="287">
        <f t="shared" si="31"/>
        <v>0</v>
      </c>
      <c r="R23" s="287">
        <f t="shared" si="32"/>
        <v>0</v>
      </c>
      <c r="S23" s="287">
        <f t="shared" si="22"/>
        <v>0</v>
      </c>
      <c r="T23" s="287">
        <f>IF(OR($C23=4),0.2*$M23,0)</f>
        <v>0</v>
      </c>
      <c r="U23" s="287">
        <f>IF(OR(C23=20,C23=21),0.1*M23,0)</f>
        <v>0</v>
      </c>
      <c r="V23" s="287"/>
      <c r="W23" s="287"/>
      <c r="X23" s="287"/>
      <c r="Y23" s="287"/>
      <c r="Z23" s="287"/>
      <c r="AA23" s="287"/>
      <c r="AB23" s="287"/>
      <c r="AC23" s="287"/>
      <c r="AD23" s="287" t="str">
        <f>IF(C23&gt;1,"verw","")</f>
        <v/>
      </c>
      <c r="AE23" s="287"/>
      <c r="AF23" s="287" t="str">
        <f>IF(C23&lt;&gt;"",C23,"")</f>
        <v/>
      </c>
      <c r="AG23" s="287">
        <f t="shared" si="33"/>
        <v>0</v>
      </c>
      <c r="AH23" s="287" t="str">
        <f>IF(C23&lt;&gt;"",E23&amp;" ml","")</f>
        <v/>
      </c>
      <c r="AI23" s="287" t="str">
        <f>IF((INDEX(Tbl_Ped_MedContIV_OplVl,F23,1)=0),"",INDEX(Tbl_Ped_MedContIV_OplVl,F23,1))</f>
        <v/>
      </c>
      <c r="AJ23" s="287" t="str">
        <f>IF(C23&gt;1,G23/10&amp;" ml/uur","")</f>
        <v/>
      </c>
      <c r="AK23" s="287" t="str">
        <f>IFERROR(ROUND((G23/10)*K23/E23/(_Pat_Gewicht),3)&amp;" "&amp;L23&amp;"/kg/uur "&amp;"("&amp;ROUND((G23/10/60)*K23/E23/(_Pat_Gewicht),3)&amp;" "&amp;L23&amp;"/kg/min)","")</f>
        <v/>
      </c>
      <c r="AL23" s="287"/>
      <c r="AM23" s="287" t="str">
        <f>IF(C23&gt;1,24*G23/10&amp;" ml","")</f>
        <v/>
      </c>
      <c r="AN23" s="287"/>
    </row>
    <row r="24" spans="1:40" s="161" customFormat="1" x14ac:dyDescent="0.2">
      <c r="A24" s="287">
        <v>19</v>
      </c>
      <c r="B24" s="287"/>
      <c r="C24" s="287"/>
      <c r="D24" s="287">
        <v>0</v>
      </c>
      <c r="E24" s="287">
        <v>0</v>
      </c>
      <c r="F24" s="287">
        <v>1</v>
      </c>
      <c r="G24" s="287">
        <v>0</v>
      </c>
      <c r="H24" s="287"/>
      <c r="I24" s="287"/>
      <c r="J24" s="287"/>
      <c r="K24" s="287" t="e">
        <f>LEFT(D24,FIND(" ",D24))</f>
        <v>#VALUE!</v>
      </c>
      <c r="L24" s="287" t="e">
        <f>MID(D24, FIND(" ",D24), LEN(D24) - FIND(" ",D24) + 1)</f>
        <v>#VALUE!</v>
      </c>
      <c r="M24" s="287">
        <f>IF(PedGuiMedIV!E28&lt;&gt;"",G24/10*24,0)</f>
        <v>0</v>
      </c>
      <c r="N24" s="287">
        <f t="shared" si="28"/>
        <v>0</v>
      </c>
      <c r="O24" s="287">
        <f t="shared" si="29"/>
        <v>0</v>
      </c>
      <c r="P24" s="287">
        <f t="shared" si="30"/>
        <v>0</v>
      </c>
      <c r="Q24" s="287">
        <f t="shared" si="31"/>
        <v>0</v>
      </c>
      <c r="R24" s="287">
        <f t="shared" si="32"/>
        <v>0</v>
      </c>
      <c r="S24" s="287">
        <f t="shared" si="22"/>
        <v>0</v>
      </c>
      <c r="T24" s="287">
        <f>IF(OR($C24=4),0.2*$M24,0)</f>
        <v>0</v>
      </c>
      <c r="U24" s="287">
        <f>IF(OR(C24=20,C24=21),0.1*M24,0)</f>
        <v>0</v>
      </c>
      <c r="V24" s="287"/>
      <c r="W24" s="287"/>
      <c r="X24" s="287"/>
      <c r="Y24" s="287"/>
      <c r="Z24" s="287"/>
      <c r="AA24" s="287"/>
      <c r="AB24" s="287"/>
      <c r="AC24" s="287"/>
      <c r="AD24" s="287" t="str">
        <f>IF(C24&gt;1,"verw","")</f>
        <v/>
      </c>
      <c r="AE24" s="287"/>
      <c r="AF24" s="287" t="str">
        <f>IF(C24&lt;&gt;"",C24,"")</f>
        <v/>
      </c>
      <c r="AG24" s="287">
        <f t="shared" si="33"/>
        <v>0</v>
      </c>
      <c r="AH24" s="287" t="str">
        <f>IF(C24&lt;&gt;"",E24&amp;" ml","")</f>
        <v/>
      </c>
      <c r="AI24" s="287" t="str">
        <f>IF((INDEX(Tbl_Ped_MedContIV_OplVl,F24,1)=0),"",INDEX(Tbl_Ped_MedContIV_OplVl,F24,1))</f>
        <v/>
      </c>
      <c r="AJ24" s="287" t="str">
        <f>IF(C24&gt;1,G24/10&amp;" ml/uur","")</f>
        <v/>
      </c>
      <c r="AK24" s="287" t="str">
        <f>IFERROR(ROUND((G24/10)*K24/E24/(_Pat_Gewicht),3)&amp;" "&amp;L24&amp;"/kg/uur "&amp;"("&amp;ROUND((G24/10/60)*K24/E24/(_Pat_Gewicht),3)&amp;" "&amp;L24&amp;"/kg/min)","")</f>
        <v/>
      </c>
      <c r="AL24" s="287"/>
      <c r="AM24" s="287" t="str">
        <f>IF(C24&gt;1,24*G24/10&amp;" ml","")</f>
        <v/>
      </c>
      <c r="AN24" s="287"/>
    </row>
    <row r="25" spans="1:40" s="161" customFormat="1" x14ac:dyDescent="0.2">
      <c r="A25" s="368">
        <v>20</v>
      </c>
      <c r="B25" s="368"/>
      <c r="C25" s="368"/>
      <c r="D25" s="368">
        <v>0</v>
      </c>
      <c r="E25" s="368">
        <v>0</v>
      </c>
      <c r="F25" s="368">
        <v>1</v>
      </c>
      <c r="G25" s="368">
        <v>0</v>
      </c>
      <c r="H25" s="368"/>
      <c r="I25" s="368"/>
      <c r="J25" s="368"/>
      <c r="K25" s="368" t="e">
        <f>LEFT(D25,FIND(" ",D25))</f>
        <v>#VALUE!</v>
      </c>
      <c r="L25" s="368" t="e">
        <f>MID(D25, FIND(" ",D25), LEN(D25) - FIND(" ",D25) + 1)</f>
        <v>#VALUE!</v>
      </c>
      <c r="M25" s="368">
        <f>IF(PedGuiMedIV!E29&lt;&gt;"",G25/10*24,0)</f>
        <v>0</v>
      </c>
      <c r="N25" s="368">
        <f t="shared" si="28"/>
        <v>0</v>
      </c>
      <c r="O25" s="368">
        <f t="shared" si="29"/>
        <v>0</v>
      </c>
      <c r="P25" s="368">
        <f t="shared" si="30"/>
        <v>0</v>
      </c>
      <c r="Q25" s="368">
        <f t="shared" si="31"/>
        <v>0</v>
      </c>
      <c r="R25" s="368">
        <f t="shared" si="32"/>
        <v>0</v>
      </c>
      <c r="S25" s="368">
        <f t="shared" si="22"/>
        <v>0</v>
      </c>
      <c r="T25" s="368">
        <f>IF(OR($C25=4),0.2*$M25,0)</f>
        <v>0</v>
      </c>
      <c r="U25" s="368">
        <f>IF(OR(C25=20,C25=21),0.1*M25,0)</f>
        <v>0</v>
      </c>
      <c r="V25" s="368"/>
      <c r="W25" s="368"/>
      <c r="X25" s="368"/>
      <c r="Y25" s="368"/>
      <c r="Z25" s="368"/>
      <c r="AA25" s="368"/>
      <c r="AB25" s="368"/>
      <c r="AC25" s="368"/>
      <c r="AD25" s="368" t="str">
        <f>IF(C25&gt;1,"verw","")</f>
        <v/>
      </c>
      <c r="AE25" s="368"/>
      <c r="AF25" s="368" t="str">
        <f>IF(C25&lt;&gt;"",C25,"")</f>
        <v/>
      </c>
      <c r="AG25" s="368">
        <f t="shared" si="33"/>
        <v>0</v>
      </c>
      <c r="AH25" s="368" t="str">
        <f>IF(C25&lt;&gt;"",E25&amp;" ml","")</f>
        <v/>
      </c>
      <c r="AI25" s="368" t="str">
        <f>IF((INDEX(Tbl_Ped_MedContIV_OplVl,F25,1)=0),"",INDEX(Tbl_Ped_MedContIV_OplVl,F25,1))</f>
        <v/>
      </c>
      <c r="AJ25" s="368" t="str">
        <f>IF(C25&gt;1,G25/10&amp;" ml/uur","")</f>
        <v/>
      </c>
      <c r="AK25" s="368" t="str">
        <f>IFERROR(ROUND((G25/10)*K25/E25/(_Pat_Gewicht),3)&amp;" "&amp;L25&amp;"/kg/uur "&amp;"("&amp;ROUND((G25/10/60)*K25/E25/(_Pat_Gewicht),3)&amp;" "&amp;L25&amp;"/kg/min)","")</f>
        <v/>
      </c>
      <c r="AL25" s="368"/>
      <c r="AM25" s="368" t="str">
        <f>IF(C25&gt;1,24*G25/10&amp;" ml","")</f>
        <v/>
      </c>
      <c r="AN25" s="368"/>
    </row>
    <row r="26" spans="1:40" x14ac:dyDescent="0.2">
      <c r="B26"/>
      <c r="F26"/>
      <c r="G26"/>
      <c r="H26"/>
      <c r="I26"/>
      <c r="J26"/>
      <c r="K26"/>
      <c r="L26"/>
      <c r="M26" s="152" t="s">
        <v>259</v>
      </c>
      <c r="O26" s="152" t="s">
        <v>140</v>
      </c>
      <c r="Q26" s="152" t="s">
        <v>260</v>
      </c>
      <c r="R26" s="152" t="s">
        <v>806</v>
      </c>
      <c r="S26" s="152" t="s">
        <v>261</v>
      </c>
      <c r="T26" s="152" t="s">
        <v>144</v>
      </c>
      <c r="U26" s="152" t="s">
        <v>145</v>
      </c>
      <c r="V26"/>
      <c r="W26"/>
      <c r="X26"/>
      <c r="Y26"/>
      <c r="Z26"/>
    </row>
    <row r="27" spans="1:40" x14ac:dyDescent="0.2">
      <c r="A27" s="152" t="s">
        <v>163</v>
      </c>
      <c r="B27"/>
      <c r="F27"/>
      <c r="G27"/>
      <c r="M27">
        <f>SUM(M5:M19)+SUM(M21:M25)</f>
        <v>0</v>
      </c>
      <c r="N27" s="151"/>
      <c r="O27" s="151">
        <f>SUM(N5:O19)+SUM(N21:O25)</f>
        <v>0</v>
      </c>
      <c r="P27" s="151"/>
      <c r="Q27" s="151">
        <f>SUM(P5:Q19)+SUM(P21:Q25)</f>
        <v>0</v>
      </c>
      <c r="R27" s="151">
        <f t="shared" ref="R27:U27" si="34">SUM(R5:R19)+SUM(R21:R25)</f>
        <v>0</v>
      </c>
      <c r="S27" s="151">
        <f t="shared" si="34"/>
        <v>0</v>
      </c>
      <c r="T27" s="151">
        <f t="shared" si="34"/>
        <v>0</v>
      </c>
      <c r="U27" s="151">
        <f t="shared" si="34"/>
        <v>0</v>
      </c>
      <c r="AD27" s="151"/>
      <c r="AI27" s="151"/>
      <c r="AK27" s="151"/>
    </row>
    <row r="29" spans="1:40" x14ac:dyDescent="0.2">
      <c r="B29" s="152" t="s">
        <v>344</v>
      </c>
      <c r="AD29" t="str">
        <f>IF(_Ped_MedIV_Opm="","","verw")</f>
        <v/>
      </c>
    </row>
    <row r="31" spans="1:40" x14ac:dyDescent="0.2">
      <c r="A31" s="152"/>
      <c r="B31" s="152"/>
    </row>
    <row r="33" spans="3:12" x14ac:dyDescent="0.2">
      <c r="L33" s="152"/>
    </row>
    <row r="34" spans="3:12" x14ac:dyDescent="0.2">
      <c r="L34" s="152"/>
    </row>
    <row r="35" spans="3:12" x14ac:dyDescent="0.2">
      <c r="C35" s="152"/>
      <c r="L35" s="152"/>
    </row>
    <row r="36" spans="3:12" x14ac:dyDescent="0.2">
      <c r="D36" s="152"/>
      <c r="L36" s="152"/>
    </row>
    <row r="37" spans="3:12" x14ac:dyDescent="0.2">
      <c r="L37" s="152"/>
    </row>
    <row r="38" spans="3:12" x14ac:dyDescent="0.2">
      <c r="L38" s="152"/>
    </row>
    <row r="39" spans="3:12" x14ac:dyDescent="0.2">
      <c r="L39" s="152"/>
    </row>
    <row r="40" spans="3:12" x14ac:dyDescent="0.2">
      <c r="L40" s="152"/>
    </row>
    <row r="41" spans="3:12" x14ac:dyDescent="0.2">
      <c r="L41" s="152"/>
    </row>
    <row r="42" spans="3:12" x14ac:dyDescent="0.2">
      <c r="L42" s="152"/>
    </row>
    <row r="43" spans="3:12" x14ac:dyDescent="0.2">
      <c r="L43" s="152"/>
    </row>
    <row r="44" spans="3:12" x14ac:dyDescent="0.2">
      <c r="L44" s="152"/>
    </row>
    <row r="45" spans="3:12" x14ac:dyDescent="0.2">
      <c r="L45" s="152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7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Z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B5" sqref="B5:S35"/>
    </sheetView>
  </sheetViews>
  <sheetFormatPr defaultColWidth="9.140625" defaultRowHeight="12.75" x14ac:dyDescent="0.2"/>
  <cols>
    <col min="1" max="1" width="5" style="723" customWidth="1"/>
    <col min="2" max="2" width="33.140625" style="723" customWidth="1"/>
    <col min="3" max="3" width="12" style="723" customWidth="1"/>
    <col min="4" max="4" width="17.5703125" style="723" customWidth="1"/>
    <col min="5" max="18" width="7.140625" style="723" customWidth="1"/>
    <col min="19" max="19" width="16.28515625" style="723" customWidth="1"/>
    <col min="20" max="20" width="26.5703125" style="723" customWidth="1"/>
    <col min="21" max="21" width="12.28515625" style="723" customWidth="1"/>
    <col min="22" max="22" width="8.7109375" style="723" customWidth="1"/>
    <col min="23" max="23" width="9.5703125" style="723" customWidth="1"/>
    <col min="24" max="24" width="15.85546875" style="723" customWidth="1"/>
    <col min="25" max="16384" width="9.140625" style="723"/>
  </cols>
  <sheetData>
    <row r="1" spans="1:26" x14ac:dyDescent="0.2">
      <c r="A1" s="727"/>
      <c r="B1" s="728"/>
      <c r="C1" s="728"/>
      <c r="D1" s="728"/>
      <c r="E1" s="728" t="s">
        <v>4079</v>
      </c>
      <c r="F1" s="728"/>
      <c r="G1" s="728"/>
      <c r="H1" s="728"/>
      <c r="I1" s="728"/>
      <c r="J1" s="728"/>
      <c r="K1" s="728"/>
      <c r="L1" s="728"/>
      <c r="M1" s="728" t="s">
        <v>4080</v>
      </c>
      <c r="N1" s="728"/>
      <c r="O1" s="728"/>
      <c r="P1" s="728"/>
      <c r="Q1" s="728"/>
      <c r="R1" s="728"/>
      <c r="S1" s="728"/>
      <c r="T1" s="728" t="s">
        <v>4068</v>
      </c>
      <c r="U1" s="728"/>
      <c r="V1" s="728"/>
      <c r="W1" s="728"/>
      <c r="X1" s="728"/>
    </row>
    <row r="2" spans="1:26" x14ac:dyDescent="0.2">
      <c r="A2" s="729"/>
      <c r="B2" s="730"/>
      <c r="C2" s="730"/>
      <c r="D2" s="730"/>
      <c r="E2" s="730" t="s">
        <v>353</v>
      </c>
      <c r="F2" s="730"/>
      <c r="G2" s="730" t="s">
        <v>354</v>
      </c>
      <c r="H2" s="730"/>
      <c r="I2" s="730" t="s">
        <v>6978</v>
      </c>
      <c r="J2" s="730"/>
      <c r="K2" s="730" t="s">
        <v>6979</v>
      </c>
      <c r="L2" s="730"/>
      <c r="M2" s="730"/>
      <c r="N2" s="730"/>
      <c r="O2" s="730"/>
      <c r="P2" s="730"/>
      <c r="Q2" s="730"/>
      <c r="R2" s="730"/>
      <c r="S2" s="730"/>
      <c r="T2" s="730"/>
      <c r="U2" s="730" t="s">
        <v>362</v>
      </c>
      <c r="V2" s="730"/>
      <c r="W2" s="730"/>
      <c r="X2" s="730"/>
    </row>
    <row r="3" spans="1:26" s="733" customFormat="1" ht="38.25" x14ac:dyDescent="0.2">
      <c r="A3" s="731"/>
      <c r="B3" s="732" t="s">
        <v>4082</v>
      </c>
      <c r="C3" s="732" t="s">
        <v>3285</v>
      </c>
      <c r="D3" s="732" t="s">
        <v>4084</v>
      </c>
      <c r="E3" s="732" t="s">
        <v>4083</v>
      </c>
      <c r="F3" s="732" t="s">
        <v>365</v>
      </c>
      <c r="G3" s="732" t="s">
        <v>4083</v>
      </c>
      <c r="H3" s="732" t="s">
        <v>365</v>
      </c>
      <c r="I3" s="732" t="s">
        <v>4083</v>
      </c>
      <c r="J3" s="732" t="s">
        <v>365</v>
      </c>
      <c r="K3" s="732" t="s">
        <v>4083</v>
      </c>
      <c r="L3" s="732" t="s">
        <v>365</v>
      </c>
      <c r="M3" s="732" t="s">
        <v>4076</v>
      </c>
      <c r="N3" s="732" t="s">
        <v>4077</v>
      </c>
      <c r="O3" s="732" t="s">
        <v>4078</v>
      </c>
      <c r="P3" s="732" t="s">
        <v>4858</v>
      </c>
      <c r="Q3" s="732" t="s">
        <v>4856</v>
      </c>
      <c r="R3" s="732" t="s">
        <v>4066</v>
      </c>
      <c r="S3" s="732" t="s">
        <v>4086</v>
      </c>
      <c r="T3" s="732" t="s">
        <v>355</v>
      </c>
      <c r="U3" s="732" t="s">
        <v>4083</v>
      </c>
      <c r="V3" s="732" t="s">
        <v>365</v>
      </c>
      <c r="W3" s="732" t="s">
        <v>4732</v>
      </c>
      <c r="X3" s="732" t="s">
        <v>4074</v>
      </c>
      <c r="Z3" s="733" t="s">
        <v>4705</v>
      </c>
    </row>
    <row r="4" spans="1:26" x14ac:dyDescent="0.2">
      <c r="A4" s="729">
        <v>1</v>
      </c>
      <c r="B4" s="730"/>
      <c r="C4" s="730"/>
      <c r="D4" s="730"/>
      <c r="E4" s="730"/>
      <c r="F4" s="730"/>
      <c r="G4" s="730"/>
      <c r="H4" s="730"/>
      <c r="I4" s="730"/>
      <c r="J4" s="730"/>
      <c r="K4" s="730"/>
      <c r="L4" s="730"/>
      <c r="M4" s="730"/>
      <c r="N4" s="730"/>
      <c r="O4" s="730"/>
      <c r="P4" s="730"/>
      <c r="Q4" s="730"/>
      <c r="R4" s="730">
        <v>1</v>
      </c>
      <c r="S4" s="730"/>
      <c r="T4" s="730"/>
      <c r="U4" s="730"/>
      <c r="V4" s="730"/>
      <c r="W4" s="730"/>
      <c r="X4" s="730"/>
      <c r="Z4" s="719"/>
    </row>
    <row r="5" spans="1:26" x14ac:dyDescent="0.2">
      <c r="A5" s="729">
        <f>A4+1</f>
        <v>2</v>
      </c>
      <c r="B5" s="815" t="s">
        <v>159</v>
      </c>
      <c r="C5" s="815" t="s">
        <v>118</v>
      </c>
      <c r="D5" s="815" t="s">
        <v>451</v>
      </c>
      <c r="E5" s="815">
        <v>1</v>
      </c>
      <c r="F5" s="815">
        <v>50</v>
      </c>
      <c r="G5" s="815">
        <v>2</v>
      </c>
      <c r="H5" s="815">
        <v>50</v>
      </c>
      <c r="I5" s="815">
        <v>5</v>
      </c>
      <c r="J5" s="815">
        <v>50</v>
      </c>
      <c r="K5" s="816">
        <v>5</v>
      </c>
      <c r="L5" s="816">
        <v>50</v>
      </c>
      <c r="M5" s="815">
        <v>0.05</v>
      </c>
      <c r="N5" s="815">
        <v>0.5</v>
      </c>
      <c r="O5" s="815">
        <v>1</v>
      </c>
      <c r="P5" s="815">
        <v>0</v>
      </c>
      <c r="Q5" s="815">
        <v>0.1</v>
      </c>
      <c r="R5" s="815">
        <v>0</v>
      </c>
      <c r="S5" s="815"/>
      <c r="T5" s="730" t="str">
        <f t="shared" ref="T5:T35" si="0">IF(ISBLANK(S5),CONCATENATE(M5,"-",N5," ",D5),S5)</f>
        <v>0,05-0,5 microg/kg/min</v>
      </c>
      <c r="U5" s="730">
        <f t="shared" ref="U5:U35" si="1">IF(_Pat_Gewicht&lt;6,E5,IF(_Pat_Gewicht&lt;11,G5,IF(_Pat_Gewicht&lt;40,I5,K5)))</f>
        <v>1</v>
      </c>
      <c r="V5" s="730">
        <f t="shared" ref="V5:V35" si="2">IF(_Pat_Gewicht&lt;6,F5,IF(_Pat_Gewicht&lt;11,H5,IF(_Pat_Gewicht&lt;40,J5,L5)))</f>
        <v>50</v>
      </c>
      <c r="W5" s="730" t="b">
        <f t="shared" ref="W5:W35" si="3">ContainsCaseInsensitive(D5,"kg")</f>
        <v>1</v>
      </c>
      <c r="X5" s="730">
        <f t="shared" ref="X5:X35" si="4">HLOOKUP(C5,Tbl_Glob_Conv_EenhCont,VLOOKUP(D5,Tbl_Glob_Conv_EenhCont,2,FALSE),FALSE)</f>
        <v>16.666666666666668</v>
      </c>
      <c r="Z5" s="360" t="s">
        <v>233</v>
      </c>
    </row>
    <row r="6" spans="1:26" x14ac:dyDescent="0.2">
      <c r="A6" s="729">
        <f t="shared" ref="A6:A35" si="5">A5+1</f>
        <v>3</v>
      </c>
      <c r="B6" s="815" t="s">
        <v>90</v>
      </c>
      <c r="C6" s="815" t="s">
        <v>55</v>
      </c>
      <c r="D6" s="815" t="s">
        <v>282</v>
      </c>
      <c r="E6" s="815">
        <v>0.2</v>
      </c>
      <c r="F6" s="815">
        <v>1</v>
      </c>
      <c r="G6" s="815">
        <v>0.2</v>
      </c>
      <c r="H6" s="815">
        <v>1</v>
      </c>
      <c r="I6" s="815">
        <v>0.2</v>
      </c>
      <c r="J6" s="815">
        <v>1</v>
      </c>
      <c r="K6" s="816">
        <v>0.2</v>
      </c>
      <c r="L6" s="816">
        <v>1</v>
      </c>
      <c r="M6" s="815">
        <v>1</v>
      </c>
      <c r="N6" s="815">
        <v>2</v>
      </c>
      <c r="O6" s="815">
        <v>4</v>
      </c>
      <c r="P6" s="815">
        <v>0</v>
      </c>
      <c r="Q6" s="815">
        <v>0</v>
      </c>
      <c r="R6" s="815">
        <v>1</v>
      </c>
      <c r="S6" s="815"/>
      <c r="T6" s="730" t="str">
        <f t="shared" si="0"/>
        <v>1-2 gram/kg/dag</v>
      </c>
      <c r="U6" s="730">
        <f t="shared" si="1"/>
        <v>0.2</v>
      </c>
      <c r="V6" s="730">
        <f t="shared" si="2"/>
        <v>1</v>
      </c>
      <c r="W6" s="730" t="b">
        <f t="shared" si="3"/>
        <v>1</v>
      </c>
      <c r="X6" s="730">
        <f t="shared" si="4"/>
        <v>24</v>
      </c>
      <c r="Z6" s="360" t="s">
        <v>450</v>
      </c>
    </row>
    <row r="7" spans="1:26" x14ac:dyDescent="0.2">
      <c r="A7" s="729">
        <f t="shared" si="5"/>
        <v>4</v>
      </c>
      <c r="B7" s="815" t="s">
        <v>109</v>
      </c>
      <c r="C7" s="815" t="s">
        <v>118</v>
      </c>
      <c r="D7" s="815" t="s">
        <v>321</v>
      </c>
      <c r="E7" s="815">
        <v>0.2</v>
      </c>
      <c r="F7" s="815">
        <v>50</v>
      </c>
      <c r="G7" s="815">
        <v>0</v>
      </c>
      <c r="H7" s="815">
        <v>0</v>
      </c>
      <c r="I7" s="815">
        <v>0</v>
      </c>
      <c r="J7" s="815">
        <v>0</v>
      </c>
      <c r="K7" s="815">
        <v>0</v>
      </c>
      <c r="L7" s="815">
        <v>0</v>
      </c>
      <c r="M7" s="815">
        <v>10</v>
      </c>
      <c r="N7" s="815">
        <v>50</v>
      </c>
      <c r="O7" s="815">
        <v>100</v>
      </c>
      <c r="P7" s="815">
        <v>0</v>
      </c>
      <c r="Q7" s="815">
        <v>0.02</v>
      </c>
      <c r="R7" s="815">
        <v>0</v>
      </c>
      <c r="S7" s="815"/>
      <c r="T7" s="730" t="str">
        <f t="shared" si="0"/>
        <v>10-50 nanog/kg/min</v>
      </c>
      <c r="U7" s="730">
        <f t="shared" si="1"/>
        <v>0.2</v>
      </c>
      <c r="V7" s="730">
        <f t="shared" si="2"/>
        <v>50</v>
      </c>
      <c r="W7" s="730" t="b">
        <f t="shared" si="3"/>
        <v>1</v>
      </c>
      <c r="X7" s="730">
        <f t="shared" si="4"/>
        <v>16666.666666666668</v>
      </c>
      <c r="Z7" s="360" t="s">
        <v>453</v>
      </c>
    </row>
    <row r="8" spans="1:26" x14ac:dyDescent="0.2">
      <c r="A8" s="729">
        <f t="shared" si="5"/>
        <v>5</v>
      </c>
      <c r="B8" s="815" t="s">
        <v>329</v>
      </c>
      <c r="C8" s="815" t="s">
        <v>118</v>
      </c>
      <c r="D8" s="815" t="s">
        <v>451</v>
      </c>
      <c r="E8" s="815">
        <v>50</v>
      </c>
      <c r="F8" s="815">
        <v>50</v>
      </c>
      <c r="G8" s="815">
        <v>150</v>
      </c>
      <c r="H8" s="815">
        <v>50</v>
      </c>
      <c r="I8" s="815">
        <v>300</v>
      </c>
      <c r="J8" s="815">
        <v>50</v>
      </c>
      <c r="K8" s="816">
        <v>600</v>
      </c>
      <c r="L8" s="816">
        <v>50</v>
      </c>
      <c r="M8" s="815">
        <v>5</v>
      </c>
      <c r="N8" s="815">
        <v>15</v>
      </c>
      <c r="O8" s="815">
        <v>25</v>
      </c>
      <c r="P8" s="815">
        <v>0.6</v>
      </c>
      <c r="Q8" s="815">
        <v>50</v>
      </c>
      <c r="R8" s="815">
        <v>0</v>
      </c>
      <c r="S8" s="815"/>
      <c r="T8" s="730" t="str">
        <f t="shared" si="0"/>
        <v>5-15 microg/kg/min</v>
      </c>
      <c r="U8" s="730">
        <f t="shared" si="1"/>
        <v>50</v>
      </c>
      <c r="V8" s="730">
        <f t="shared" si="2"/>
        <v>50</v>
      </c>
      <c r="W8" s="730" t="b">
        <f t="shared" si="3"/>
        <v>1</v>
      </c>
      <c r="X8" s="730">
        <f t="shared" si="4"/>
        <v>16.666666666666668</v>
      </c>
    </row>
    <row r="9" spans="1:26" x14ac:dyDescent="0.2">
      <c r="A9" s="729">
        <f t="shared" si="5"/>
        <v>6</v>
      </c>
      <c r="B9" s="815" t="s">
        <v>33</v>
      </c>
      <c r="C9" s="815" t="s">
        <v>118</v>
      </c>
      <c r="D9" s="815" t="s">
        <v>583</v>
      </c>
      <c r="E9" s="815">
        <v>0.15</v>
      </c>
      <c r="F9" s="815">
        <v>50</v>
      </c>
      <c r="G9" s="815">
        <v>0.3</v>
      </c>
      <c r="H9" s="815">
        <v>50</v>
      </c>
      <c r="I9" s="815">
        <v>0.6</v>
      </c>
      <c r="J9" s="815">
        <v>50</v>
      </c>
      <c r="K9" s="816">
        <v>0.6</v>
      </c>
      <c r="L9" s="816">
        <v>50</v>
      </c>
      <c r="M9" s="815">
        <v>0.25</v>
      </c>
      <c r="N9" s="815">
        <v>2</v>
      </c>
      <c r="O9" s="815">
        <v>3</v>
      </c>
      <c r="P9" s="815">
        <v>0</v>
      </c>
      <c r="Q9" s="815">
        <v>0.15</v>
      </c>
      <c r="R9" s="815">
        <v>2</v>
      </c>
      <c r="S9" s="815"/>
      <c r="T9" s="730" t="str">
        <f t="shared" si="0"/>
        <v>0,25-2 microg/kg/uur</v>
      </c>
      <c r="U9" s="730">
        <f t="shared" si="1"/>
        <v>0.15</v>
      </c>
      <c r="V9" s="730">
        <f t="shared" si="2"/>
        <v>50</v>
      </c>
      <c r="W9" s="730" t="b">
        <f t="shared" si="3"/>
        <v>1</v>
      </c>
      <c r="X9" s="730">
        <f t="shared" si="4"/>
        <v>1000</v>
      </c>
    </row>
    <row r="10" spans="1:26" x14ac:dyDescent="0.2">
      <c r="A10" s="729">
        <f t="shared" si="5"/>
        <v>7</v>
      </c>
      <c r="B10" s="815" t="s">
        <v>253</v>
      </c>
      <c r="C10" s="815" t="s">
        <v>118</v>
      </c>
      <c r="D10" s="815" t="s">
        <v>451</v>
      </c>
      <c r="E10" s="815">
        <v>80</v>
      </c>
      <c r="F10" s="815">
        <v>50</v>
      </c>
      <c r="G10" s="815">
        <v>200</v>
      </c>
      <c r="H10" s="815">
        <v>50</v>
      </c>
      <c r="I10" s="815">
        <v>400</v>
      </c>
      <c r="J10" s="815">
        <v>50</v>
      </c>
      <c r="K10" s="816">
        <v>400</v>
      </c>
      <c r="L10" s="816">
        <v>50</v>
      </c>
      <c r="M10" s="815">
        <v>1</v>
      </c>
      <c r="N10" s="815">
        <v>20</v>
      </c>
      <c r="O10" s="815">
        <v>30</v>
      </c>
      <c r="P10" s="815">
        <v>0</v>
      </c>
      <c r="Q10" s="815">
        <v>12.5</v>
      </c>
      <c r="R10" s="815">
        <v>0</v>
      </c>
      <c r="S10" s="815"/>
      <c r="T10" s="730" t="str">
        <f t="shared" si="0"/>
        <v>1-20 microg/kg/min</v>
      </c>
      <c r="U10" s="730">
        <f t="shared" si="1"/>
        <v>80</v>
      </c>
      <c r="V10" s="730">
        <f t="shared" si="2"/>
        <v>50</v>
      </c>
      <c r="W10" s="730" t="b">
        <f t="shared" si="3"/>
        <v>1</v>
      </c>
      <c r="X10" s="730">
        <f t="shared" si="4"/>
        <v>16.666666666666668</v>
      </c>
    </row>
    <row r="11" spans="1:26" x14ac:dyDescent="0.2">
      <c r="A11" s="729">
        <f t="shared" si="5"/>
        <v>8</v>
      </c>
      <c r="B11" s="815" t="s">
        <v>228</v>
      </c>
      <c r="C11" s="815" t="s">
        <v>118</v>
      </c>
      <c r="D11" s="815" t="s">
        <v>451</v>
      </c>
      <c r="E11" s="815">
        <v>80</v>
      </c>
      <c r="F11" s="815">
        <v>50</v>
      </c>
      <c r="G11" s="815">
        <v>200</v>
      </c>
      <c r="H11" s="815">
        <v>50</v>
      </c>
      <c r="I11" s="815">
        <v>400</v>
      </c>
      <c r="J11" s="815">
        <v>50</v>
      </c>
      <c r="K11" s="816">
        <v>400</v>
      </c>
      <c r="L11" s="816">
        <v>50</v>
      </c>
      <c r="M11" s="815">
        <v>1</v>
      </c>
      <c r="N11" s="815">
        <v>20</v>
      </c>
      <c r="O11" s="815">
        <v>30</v>
      </c>
      <c r="P11" s="815">
        <v>0</v>
      </c>
      <c r="Q11" s="815">
        <v>40</v>
      </c>
      <c r="R11" s="815">
        <v>0</v>
      </c>
      <c r="S11" s="815"/>
      <c r="T11" s="730" t="str">
        <f t="shared" si="0"/>
        <v>1-20 microg/kg/min</v>
      </c>
      <c r="U11" s="730">
        <f t="shared" si="1"/>
        <v>80</v>
      </c>
      <c r="V11" s="730">
        <f t="shared" si="2"/>
        <v>50</v>
      </c>
      <c r="W11" s="730" t="b">
        <f t="shared" si="3"/>
        <v>1</v>
      </c>
      <c r="X11" s="730">
        <f t="shared" si="4"/>
        <v>16.666666666666668</v>
      </c>
    </row>
    <row r="12" spans="1:26" x14ac:dyDescent="0.2">
      <c r="A12" s="729">
        <f t="shared" si="5"/>
        <v>9</v>
      </c>
      <c r="B12" s="815" t="s">
        <v>7630</v>
      </c>
      <c r="C12" s="815" t="s">
        <v>119</v>
      </c>
      <c r="D12" s="815" t="s">
        <v>129</v>
      </c>
      <c r="E12" s="815">
        <v>0</v>
      </c>
      <c r="F12" s="815">
        <v>24</v>
      </c>
      <c r="G12" s="815">
        <v>0</v>
      </c>
      <c r="H12" s="815">
        <v>48</v>
      </c>
      <c r="I12" s="815">
        <v>0</v>
      </c>
      <c r="J12" s="815">
        <v>48</v>
      </c>
      <c r="K12" s="815">
        <v>0</v>
      </c>
      <c r="L12" s="816">
        <v>48</v>
      </c>
      <c r="M12" s="815">
        <v>1</v>
      </c>
      <c r="N12" s="815">
        <v>8</v>
      </c>
      <c r="O12" s="815">
        <v>8</v>
      </c>
      <c r="P12" s="815">
        <v>0</v>
      </c>
      <c r="Q12" s="815">
        <v>0</v>
      </c>
      <c r="R12" s="815">
        <v>2</v>
      </c>
      <c r="S12" s="815" t="s">
        <v>4248</v>
      </c>
      <c r="T12" s="730" t="str">
        <f t="shared" si="0"/>
        <v>N.B. Epiduraal, volgens voorschrift anesthesist!</v>
      </c>
      <c r="U12" s="730">
        <f t="shared" si="1"/>
        <v>0</v>
      </c>
      <c r="V12" s="730">
        <f t="shared" si="2"/>
        <v>24</v>
      </c>
      <c r="W12" s="730" t="b">
        <f t="shared" si="3"/>
        <v>0</v>
      </c>
      <c r="X12" s="730">
        <f t="shared" si="4"/>
        <v>1</v>
      </c>
    </row>
    <row r="13" spans="1:26" x14ac:dyDescent="0.2">
      <c r="A13" s="729">
        <f t="shared" si="5"/>
        <v>10</v>
      </c>
      <c r="B13" s="815" t="s">
        <v>7631</v>
      </c>
      <c r="C13" s="815" t="s">
        <v>119</v>
      </c>
      <c r="D13" s="815" t="s">
        <v>129</v>
      </c>
      <c r="E13" s="815">
        <v>0</v>
      </c>
      <c r="F13" s="815">
        <v>24</v>
      </c>
      <c r="G13" s="815">
        <v>0</v>
      </c>
      <c r="H13" s="815">
        <v>48</v>
      </c>
      <c r="I13" s="815">
        <v>0</v>
      </c>
      <c r="J13" s="815">
        <v>48</v>
      </c>
      <c r="K13" s="815">
        <v>0</v>
      </c>
      <c r="L13" s="816">
        <v>48</v>
      </c>
      <c r="M13" s="815">
        <v>1</v>
      </c>
      <c r="N13" s="815">
        <v>8</v>
      </c>
      <c r="O13" s="815">
        <v>8</v>
      </c>
      <c r="P13" s="815">
        <v>0</v>
      </c>
      <c r="Q13" s="815">
        <v>0</v>
      </c>
      <c r="R13" s="815">
        <v>2</v>
      </c>
      <c r="S13" s="815" t="s">
        <v>4248</v>
      </c>
      <c r="T13" s="730" t="str">
        <f t="shared" si="0"/>
        <v>N.B. Epiduraal, volgens voorschrift anesthesist!</v>
      </c>
      <c r="U13" s="730">
        <f t="shared" si="1"/>
        <v>0</v>
      </c>
      <c r="V13" s="730">
        <f t="shared" si="2"/>
        <v>24</v>
      </c>
      <c r="W13" s="730" t="b">
        <f t="shared" si="3"/>
        <v>0</v>
      </c>
      <c r="X13" s="730">
        <f t="shared" si="4"/>
        <v>1</v>
      </c>
    </row>
    <row r="14" spans="1:26" x14ac:dyDescent="0.2">
      <c r="A14" s="729">
        <f t="shared" si="5"/>
        <v>11</v>
      </c>
      <c r="B14" s="815" t="s">
        <v>75</v>
      </c>
      <c r="C14" s="815" t="s">
        <v>118</v>
      </c>
      <c r="D14" s="815" t="s">
        <v>321</v>
      </c>
      <c r="E14" s="815">
        <v>0.2</v>
      </c>
      <c r="F14" s="815">
        <v>50</v>
      </c>
      <c r="G14" s="815">
        <v>0.4</v>
      </c>
      <c r="H14" s="815">
        <v>50</v>
      </c>
      <c r="I14" s="815">
        <v>0.8</v>
      </c>
      <c r="J14" s="815">
        <v>50</v>
      </c>
      <c r="K14" s="816">
        <v>0.8</v>
      </c>
      <c r="L14" s="816">
        <v>50</v>
      </c>
      <c r="M14" s="815">
        <v>0.5</v>
      </c>
      <c r="N14" s="815">
        <v>50</v>
      </c>
      <c r="O14" s="815">
        <v>50</v>
      </c>
      <c r="P14" s="815">
        <v>5.0000000000000001E-3</v>
      </c>
      <c r="Q14" s="815">
        <v>0.01</v>
      </c>
      <c r="R14" s="815">
        <v>1</v>
      </c>
      <c r="S14" s="815"/>
      <c r="T14" s="730" t="str">
        <f t="shared" si="0"/>
        <v>0,5-50 nanog/kg/min</v>
      </c>
      <c r="U14" s="730">
        <f t="shared" si="1"/>
        <v>0.2</v>
      </c>
      <c r="V14" s="730">
        <f t="shared" si="2"/>
        <v>50</v>
      </c>
      <c r="W14" s="730" t="b">
        <f t="shared" si="3"/>
        <v>1</v>
      </c>
      <c r="X14" s="730">
        <f t="shared" si="4"/>
        <v>16666.666666666668</v>
      </c>
    </row>
    <row r="15" spans="1:26" x14ac:dyDescent="0.2">
      <c r="A15" s="729">
        <f t="shared" si="5"/>
        <v>12</v>
      </c>
      <c r="B15" s="815" t="s">
        <v>103</v>
      </c>
      <c r="C15" s="815" t="s">
        <v>118</v>
      </c>
      <c r="D15" s="815" t="s">
        <v>280</v>
      </c>
      <c r="E15" s="815">
        <v>100</v>
      </c>
      <c r="F15" s="815">
        <v>50</v>
      </c>
      <c r="G15" s="815">
        <v>250</v>
      </c>
      <c r="H15" s="815">
        <v>50</v>
      </c>
      <c r="I15" s="815">
        <v>250</v>
      </c>
      <c r="J15" s="815">
        <v>50</v>
      </c>
      <c r="K15" s="816">
        <v>250</v>
      </c>
      <c r="L15" s="816">
        <v>50</v>
      </c>
      <c r="M15" s="815">
        <v>0.5</v>
      </c>
      <c r="N15" s="815">
        <v>1</v>
      </c>
      <c r="O15" s="815">
        <v>2</v>
      </c>
      <c r="P15" s="815">
        <v>0</v>
      </c>
      <c r="Q15" s="815">
        <v>5</v>
      </c>
      <c r="R15" s="815">
        <v>0</v>
      </c>
      <c r="S15" s="815"/>
      <c r="T15" s="730" t="str">
        <f t="shared" si="0"/>
        <v>0,5-1 mg/kg/uur</v>
      </c>
      <c r="U15" s="730">
        <f t="shared" si="1"/>
        <v>100</v>
      </c>
      <c r="V15" s="730">
        <f t="shared" si="2"/>
        <v>50</v>
      </c>
      <c r="W15" s="730" t="b">
        <f t="shared" si="3"/>
        <v>1</v>
      </c>
      <c r="X15" s="730">
        <f t="shared" si="4"/>
        <v>1</v>
      </c>
    </row>
    <row r="16" spans="1:26" x14ac:dyDescent="0.2">
      <c r="A16" s="729">
        <f t="shared" si="5"/>
        <v>13</v>
      </c>
      <c r="B16" s="815" t="s">
        <v>356</v>
      </c>
      <c r="C16" s="815" t="s">
        <v>118</v>
      </c>
      <c r="D16" s="815" t="s">
        <v>363</v>
      </c>
      <c r="E16" s="815">
        <v>500</v>
      </c>
      <c r="F16" s="815">
        <v>50</v>
      </c>
      <c r="G16" s="815">
        <v>500</v>
      </c>
      <c r="H16" s="815">
        <v>50</v>
      </c>
      <c r="I16" s="815">
        <v>500</v>
      </c>
      <c r="J16" s="815">
        <v>50</v>
      </c>
      <c r="K16" s="816">
        <v>500</v>
      </c>
      <c r="L16" s="816">
        <v>50</v>
      </c>
      <c r="M16" s="815">
        <v>0.1</v>
      </c>
      <c r="N16" s="815">
        <v>1</v>
      </c>
      <c r="O16" s="815">
        <v>2</v>
      </c>
      <c r="P16" s="815">
        <v>0</v>
      </c>
      <c r="Q16" s="815">
        <v>10</v>
      </c>
      <c r="R16" s="815">
        <v>0</v>
      </c>
      <c r="S16" s="815"/>
      <c r="T16" s="730" t="str">
        <f t="shared" si="0"/>
        <v>0,1-1 mg/kg/min</v>
      </c>
      <c r="U16" s="730">
        <f t="shared" si="1"/>
        <v>500</v>
      </c>
      <c r="V16" s="730">
        <f t="shared" si="2"/>
        <v>50</v>
      </c>
      <c r="W16" s="730" t="b">
        <f t="shared" si="3"/>
        <v>1</v>
      </c>
      <c r="X16" s="730">
        <f t="shared" si="4"/>
        <v>1.6666666666666666E-2</v>
      </c>
    </row>
    <row r="17" spans="1:24" x14ac:dyDescent="0.2">
      <c r="A17" s="729">
        <f t="shared" si="5"/>
        <v>14</v>
      </c>
      <c r="B17" s="815" t="s">
        <v>370</v>
      </c>
      <c r="C17" s="815" t="s">
        <v>118</v>
      </c>
      <c r="D17" s="815" t="s">
        <v>583</v>
      </c>
      <c r="E17" s="815">
        <v>0.5</v>
      </c>
      <c r="F17" s="815">
        <v>50</v>
      </c>
      <c r="G17" s="815">
        <v>1</v>
      </c>
      <c r="H17" s="815">
        <v>50</v>
      </c>
      <c r="I17" s="815">
        <v>2.5</v>
      </c>
      <c r="J17" s="815">
        <v>50</v>
      </c>
      <c r="K17" s="816">
        <v>2.5</v>
      </c>
      <c r="L17" s="816">
        <v>50</v>
      </c>
      <c r="M17" s="815">
        <v>1</v>
      </c>
      <c r="N17" s="815">
        <v>5</v>
      </c>
      <c r="O17" s="815">
        <v>10</v>
      </c>
      <c r="P17" s="815">
        <v>0</v>
      </c>
      <c r="Q17" s="815">
        <v>0.05</v>
      </c>
      <c r="R17" s="815">
        <v>0</v>
      </c>
      <c r="S17" s="815"/>
      <c r="T17" s="730" t="str">
        <f t="shared" si="0"/>
        <v>1-5 microg/kg/uur</v>
      </c>
      <c r="U17" s="730">
        <f t="shared" si="1"/>
        <v>0.5</v>
      </c>
      <c r="V17" s="730">
        <f t="shared" si="2"/>
        <v>50</v>
      </c>
      <c r="W17" s="730" t="b">
        <f t="shared" si="3"/>
        <v>1</v>
      </c>
      <c r="X17" s="730">
        <f t="shared" si="4"/>
        <v>1000</v>
      </c>
    </row>
    <row r="18" spans="1:24" x14ac:dyDescent="0.2">
      <c r="A18" s="729">
        <f t="shared" si="5"/>
        <v>15</v>
      </c>
      <c r="B18" s="815" t="s">
        <v>357</v>
      </c>
      <c r="C18" s="815" t="s">
        <v>118</v>
      </c>
      <c r="D18" s="815" t="s">
        <v>451</v>
      </c>
      <c r="E18" s="815">
        <v>1.5</v>
      </c>
      <c r="F18" s="815">
        <v>50</v>
      </c>
      <c r="G18" s="815">
        <v>2.5</v>
      </c>
      <c r="H18" s="815">
        <v>50</v>
      </c>
      <c r="I18" s="815">
        <v>5</v>
      </c>
      <c r="J18" s="815">
        <v>50</v>
      </c>
      <c r="K18" s="816">
        <v>5</v>
      </c>
      <c r="L18" s="816">
        <v>50</v>
      </c>
      <c r="M18" s="815">
        <v>0.05</v>
      </c>
      <c r="N18" s="815">
        <v>5</v>
      </c>
      <c r="O18" s="815">
        <v>10</v>
      </c>
      <c r="P18" s="815">
        <v>0</v>
      </c>
      <c r="Q18" s="815">
        <v>10</v>
      </c>
      <c r="R18" s="815">
        <v>0</v>
      </c>
      <c r="S18" s="815"/>
      <c r="T18" s="730" t="str">
        <f t="shared" si="0"/>
        <v>0,05-5 microg/kg/min</v>
      </c>
      <c r="U18" s="730">
        <f t="shared" si="1"/>
        <v>1.5</v>
      </c>
      <c r="V18" s="730">
        <f t="shared" si="2"/>
        <v>50</v>
      </c>
      <c r="W18" s="730" t="b">
        <f t="shared" si="3"/>
        <v>1</v>
      </c>
      <c r="X18" s="730">
        <f t="shared" si="4"/>
        <v>16.666666666666668</v>
      </c>
    </row>
    <row r="19" spans="1:24" x14ac:dyDescent="0.2">
      <c r="A19" s="729">
        <f t="shared" si="5"/>
        <v>16</v>
      </c>
      <c r="B19" s="815" t="s">
        <v>123</v>
      </c>
      <c r="C19" s="815" t="s">
        <v>118</v>
      </c>
      <c r="D19" s="815" t="s">
        <v>281</v>
      </c>
      <c r="E19" s="815">
        <v>10</v>
      </c>
      <c r="F19" s="815">
        <v>50</v>
      </c>
      <c r="G19" s="815">
        <v>20</v>
      </c>
      <c r="H19" s="815">
        <v>50</v>
      </c>
      <c r="I19" s="815">
        <v>40</v>
      </c>
      <c r="J19" s="815">
        <v>50</v>
      </c>
      <c r="K19" s="816">
        <v>100</v>
      </c>
      <c r="L19" s="816">
        <v>50</v>
      </c>
      <c r="M19" s="815">
        <v>1</v>
      </c>
      <c r="N19" s="815">
        <v>4</v>
      </c>
      <c r="O19" s="815">
        <v>6</v>
      </c>
      <c r="P19" s="815">
        <v>0</v>
      </c>
      <c r="Q19" s="815">
        <v>10</v>
      </c>
      <c r="R19" s="815">
        <v>0</v>
      </c>
      <c r="S19" s="815"/>
      <c r="T19" s="730" t="str">
        <f t="shared" si="0"/>
        <v>1-4 mg/kg/dag</v>
      </c>
      <c r="U19" s="730">
        <f t="shared" si="1"/>
        <v>10</v>
      </c>
      <c r="V19" s="730">
        <f t="shared" si="2"/>
        <v>50</v>
      </c>
      <c r="W19" s="730" t="b">
        <f t="shared" si="3"/>
        <v>1</v>
      </c>
      <c r="X19" s="730">
        <f t="shared" si="4"/>
        <v>24</v>
      </c>
    </row>
    <row r="20" spans="1:24" x14ac:dyDescent="0.2">
      <c r="A20" s="729">
        <f t="shared" si="5"/>
        <v>17</v>
      </c>
      <c r="B20" s="815" t="s">
        <v>138</v>
      </c>
      <c r="C20" s="815" t="s">
        <v>4045</v>
      </c>
      <c r="D20" s="815" t="s">
        <v>139</v>
      </c>
      <c r="E20" s="815">
        <v>5000</v>
      </c>
      <c r="F20" s="815">
        <v>50</v>
      </c>
      <c r="G20" s="815">
        <v>10000</v>
      </c>
      <c r="H20" s="815">
        <v>50</v>
      </c>
      <c r="I20" s="815">
        <v>20000</v>
      </c>
      <c r="J20" s="815">
        <v>50</v>
      </c>
      <c r="K20" s="816">
        <v>20000</v>
      </c>
      <c r="L20" s="816">
        <v>50</v>
      </c>
      <c r="M20" s="815">
        <v>10</v>
      </c>
      <c r="N20" s="815">
        <v>20</v>
      </c>
      <c r="O20" s="815">
        <v>50</v>
      </c>
      <c r="P20" s="815">
        <v>0</v>
      </c>
      <c r="Q20" s="815">
        <v>1000</v>
      </c>
      <c r="R20" s="815">
        <v>0</v>
      </c>
      <c r="S20" s="815"/>
      <c r="T20" s="730" t="str">
        <f t="shared" si="0"/>
        <v>10-20 IE/kg/uur</v>
      </c>
      <c r="U20" s="730">
        <f t="shared" si="1"/>
        <v>5000</v>
      </c>
      <c r="V20" s="730">
        <f t="shared" si="2"/>
        <v>50</v>
      </c>
      <c r="W20" s="730" t="b">
        <f t="shared" si="3"/>
        <v>1</v>
      </c>
      <c r="X20" s="730">
        <f t="shared" si="4"/>
        <v>1</v>
      </c>
    </row>
    <row r="21" spans="1:24" x14ac:dyDescent="0.2">
      <c r="A21" s="729">
        <f t="shared" si="5"/>
        <v>18</v>
      </c>
      <c r="B21" s="815" t="s">
        <v>358</v>
      </c>
      <c r="C21" s="815" t="s">
        <v>4045</v>
      </c>
      <c r="D21" s="815" t="s">
        <v>139</v>
      </c>
      <c r="E21" s="815">
        <v>10</v>
      </c>
      <c r="F21" s="815">
        <v>50</v>
      </c>
      <c r="G21" s="815">
        <v>10</v>
      </c>
      <c r="H21" s="815">
        <v>50</v>
      </c>
      <c r="I21" s="815">
        <v>50</v>
      </c>
      <c r="J21" s="815">
        <v>50</v>
      </c>
      <c r="K21" s="816">
        <v>50</v>
      </c>
      <c r="L21" s="816">
        <v>50</v>
      </c>
      <c r="M21" s="815">
        <v>0.02</v>
      </c>
      <c r="N21" s="815">
        <v>0.125</v>
      </c>
      <c r="O21" s="815">
        <v>2</v>
      </c>
      <c r="P21" s="815">
        <v>0</v>
      </c>
      <c r="Q21" s="815">
        <v>1</v>
      </c>
      <c r="R21" s="815">
        <v>2</v>
      </c>
      <c r="S21" s="815"/>
      <c r="T21" s="730" t="str">
        <f t="shared" si="0"/>
        <v>0,02-0,125 IE/kg/uur</v>
      </c>
      <c r="U21" s="730">
        <f t="shared" si="1"/>
        <v>10</v>
      </c>
      <c r="V21" s="730">
        <f t="shared" si="2"/>
        <v>50</v>
      </c>
      <c r="W21" s="730" t="b">
        <f t="shared" si="3"/>
        <v>1</v>
      </c>
      <c r="X21" s="730">
        <f t="shared" si="4"/>
        <v>1</v>
      </c>
    </row>
    <row r="22" spans="1:24" x14ac:dyDescent="0.2">
      <c r="A22" s="729">
        <f t="shared" si="5"/>
        <v>19</v>
      </c>
      <c r="B22" s="815" t="s">
        <v>304</v>
      </c>
      <c r="C22" s="815" t="s">
        <v>118</v>
      </c>
      <c r="D22" s="815" t="s">
        <v>451</v>
      </c>
      <c r="E22" s="815">
        <v>2</v>
      </c>
      <c r="F22" s="815">
        <v>50</v>
      </c>
      <c r="G22" s="815">
        <v>2</v>
      </c>
      <c r="H22" s="815">
        <v>50</v>
      </c>
      <c r="I22" s="815">
        <v>2</v>
      </c>
      <c r="J22" s="815">
        <v>50</v>
      </c>
      <c r="K22" s="816">
        <v>2</v>
      </c>
      <c r="L22" s="816">
        <v>50</v>
      </c>
      <c r="M22" s="815">
        <v>0.01</v>
      </c>
      <c r="N22" s="815">
        <v>1.5</v>
      </c>
      <c r="O22" s="815">
        <v>3</v>
      </c>
      <c r="P22" s="815">
        <v>0</v>
      </c>
      <c r="Q22" s="815">
        <v>1</v>
      </c>
      <c r="R22" s="815">
        <v>0</v>
      </c>
      <c r="S22" s="815"/>
      <c r="T22" s="730" t="str">
        <f t="shared" si="0"/>
        <v>0,01-1,5 microg/kg/min</v>
      </c>
      <c r="U22" s="730">
        <f t="shared" si="1"/>
        <v>2</v>
      </c>
      <c r="V22" s="730">
        <f t="shared" si="2"/>
        <v>50</v>
      </c>
      <c r="W22" s="730" t="b">
        <f t="shared" si="3"/>
        <v>1</v>
      </c>
      <c r="X22" s="730">
        <f t="shared" si="4"/>
        <v>16.666666666666668</v>
      </c>
    </row>
    <row r="23" spans="1:24" x14ac:dyDescent="0.2">
      <c r="A23" s="729">
        <f t="shared" si="5"/>
        <v>20</v>
      </c>
      <c r="B23" s="815" t="s">
        <v>359</v>
      </c>
      <c r="C23" s="815" t="s">
        <v>118</v>
      </c>
      <c r="D23" s="815" t="s">
        <v>280</v>
      </c>
      <c r="E23" s="815">
        <v>250</v>
      </c>
      <c r="F23" s="815">
        <v>50</v>
      </c>
      <c r="G23" s="815">
        <v>250</v>
      </c>
      <c r="H23" s="815">
        <v>50</v>
      </c>
      <c r="I23" s="815">
        <v>250</v>
      </c>
      <c r="J23" s="815">
        <v>50</v>
      </c>
      <c r="K23" s="816">
        <v>250</v>
      </c>
      <c r="L23" s="816">
        <v>50</v>
      </c>
      <c r="M23" s="815">
        <v>0.25</v>
      </c>
      <c r="N23" s="815">
        <v>3</v>
      </c>
      <c r="O23" s="815">
        <v>4</v>
      </c>
      <c r="P23" s="815">
        <v>0</v>
      </c>
      <c r="Q23" s="815">
        <v>5</v>
      </c>
      <c r="R23" s="815">
        <v>0</v>
      </c>
      <c r="S23" s="815"/>
      <c r="T23" s="730" t="str">
        <f t="shared" si="0"/>
        <v>0,25-3 mg/kg/uur</v>
      </c>
      <c r="U23" s="730">
        <f t="shared" si="1"/>
        <v>250</v>
      </c>
      <c r="V23" s="730">
        <f t="shared" si="2"/>
        <v>50</v>
      </c>
      <c r="W23" s="730" t="b">
        <f t="shared" si="3"/>
        <v>1</v>
      </c>
      <c r="X23" s="730">
        <f t="shared" si="4"/>
        <v>1</v>
      </c>
    </row>
    <row r="24" spans="1:24" x14ac:dyDescent="0.2">
      <c r="A24" s="729">
        <f t="shared" si="5"/>
        <v>21</v>
      </c>
      <c r="B24" s="815" t="s">
        <v>360</v>
      </c>
      <c r="C24" s="815" t="s">
        <v>118</v>
      </c>
      <c r="D24" s="815" t="s">
        <v>280</v>
      </c>
      <c r="E24" s="815">
        <v>500</v>
      </c>
      <c r="F24" s="815">
        <v>50</v>
      </c>
      <c r="G24" s="815">
        <v>1000</v>
      </c>
      <c r="H24" s="815">
        <v>50</v>
      </c>
      <c r="I24" s="815">
        <v>2000</v>
      </c>
      <c r="J24" s="815">
        <v>50</v>
      </c>
      <c r="K24" s="816">
        <v>2000</v>
      </c>
      <c r="L24" s="816">
        <v>50</v>
      </c>
      <c r="M24" s="815">
        <v>3</v>
      </c>
      <c r="N24" s="815">
        <v>20</v>
      </c>
      <c r="O24" s="815">
        <v>25</v>
      </c>
      <c r="P24" s="815">
        <v>1</v>
      </c>
      <c r="Q24" s="815">
        <v>160</v>
      </c>
      <c r="R24" s="815">
        <v>0</v>
      </c>
      <c r="S24" s="815"/>
      <c r="T24" s="730" t="str">
        <f t="shared" si="0"/>
        <v>3-20 mg/kg/uur</v>
      </c>
      <c r="U24" s="730">
        <f t="shared" si="1"/>
        <v>500</v>
      </c>
      <c r="V24" s="730">
        <f t="shared" si="2"/>
        <v>50</v>
      </c>
      <c r="W24" s="730" t="b">
        <f t="shared" si="3"/>
        <v>1</v>
      </c>
      <c r="X24" s="730">
        <f t="shared" si="4"/>
        <v>1</v>
      </c>
    </row>
    <row r="25" spans="1:24" x14ac:dyDescent="0.2">
      <c r="A25" s="729">
        <f t="shared" si="5"/>
        <v>22</v>
      </c>
      <c r="B25" s="815" t="s">
        <v>275</v>
      </c>
      <c r="C25" s="815" t="s">
        <v>118</v>
      </c>
      <c r="D25" s="815" t="s">
        <v>280</v>
      </c>
      <c r="E25" s="815">
        <v>25</v>
      </c>
      <c r="F25" s="815">
        <v>50</v>
      </c>
      <c r="G25" s="815">
        <v>50</v>
      </c>
      <c r="H25" s="815">
        <v>50</v>
      </c>
      <c r="I25" s="815">
        <v>50</v>
      </c>
      <c r="J25" s="815">
        <v>50</v>
      </c>
      <c r="K25" s="816">
        <v>100</v>
      </c>
      <c r="L25" s="816">
        <v>50</v>
      </c>
      <c r="M25" s="815">
        <v>0.05</v>
      </c>
      <c r="N25" s="815">
        <v>0.5</v>
      </c>
      <c r="O25" s="815">
        <v>1</v>
      </c>
      <c r="P25" s="815">
        <v>0</v>
      </c>
      <c r="Q25" s="815">
        <v>5</v>
      </c>
      <c r="R25" s="815">
        <v>0</v>
      </c>
      <c r="S25" s="815"/>
      <c r="T25" s="730" t="str">
        <f t="shared" si="0"/>
        <v>0,05-0,5 mg/kg/uur</v>
      </c>
      <c r="U25" s="730">
        <f t="shared" si="1"/>
        <v>25</v>
      </c>
      <c r="V25" s="730">
        <f t="shared" si="2"/>
        <v>50</v>
      </c>
      <c r="W25" s="730" t="b">
        <f t="shared" si="3"/>
        <v>1</v>
      </c>
      <c r="X25" s="730">
        <f t="shared" si="4"/>
        <v>1</v>
      </c>
    </row>
    <row r="26" spans="1:24" x14ac:dyDescent="0.2">
      <c r="A26" s="729">
        <f t="shared" si="5"/>
        <v>23</v>
      </c>
      <c r="B26" s="815" t="s">
        <v>361</v>
      </c>
      <c r="C26" s="815" t="s">
        <v>118</v>
      </c>
      <c r="D26" s="815" t="s">
        <v>451</v>
      </c>
      <c r="E26" s="815">
        <v>5</v>
      </c>
      <c r="F26" s="815">
        <v>50</v>
      </c>
      <c r="G26" s="815">
        <v>10</v>
      </c>
      <c r="H26" s="815">
        <v>50</v>
      </c>
      <c r="I26" s="815">
        <v>20</v>
      </c>
      <c r="J26" s="815">
        <v>50</v>
      </c>
      <c r="K26" s="816">
        <v>20</v>
      </c>
      <c r="L26" s="816">
        <v>50</v>
      </c>
      <c r="M26" s="815">
        <v>0.15</v>
      </c>
      <c r="N26" s="815">
        <v>0.5</v>
      </c>
      <c r="O26" s="815">
        <v>0.75</v>
      </c>
      <c r="P26" s="815">
        <v>0</v>
      </c>
      <c r="Q26" s="815">
        <v>1</v>
      </c>
      <c r="R26" s="815">
        <v>0</v>
      </c>
      <c r="S26" s="815"/>
      <c r="T26" s="730" t="str">
        <f t="shared" si="0"/>
        <v>0,15-0,5 microg/kg/min</v>
      </c>
      <c r="U26" s="730">
        <f t="shared" si="1"/>
        <v>5</v>
      </c>
      <c r="V26" s="730">
        <f t="shared" si="2"/>
        <v>50</v>
      </c>
      <c r="W26" s="730" t="b">
        <f t="shared" si="3"/>
        <v>1</v>
      </c>
      <c r="X26" s="730">
        <f t="shared" si="4"/>
        <v>16.666666666666668</v>
      </c>
    </row>
    <row r="27" spans="1:24" x14ac:dyDescent="0.2">
      <c r="A27" s="729">
        <f t="shared" si="5"/>
        <v>24</v>
      </c>
      <c r="B27" s="815" t="s">
        <v>89</v>
      </c>
      <c r="C27" s="815" t="s">
        <v>118</v>
      </c>
      <c r="D27" s="815" t="s">
        <v>281</v>
      </c>
      <c r="E27" s="815">
        <v>2</v>
      </c>
      <c r="F27" s="815">
        <v>50</v>
      </c>
      <c r="G27" s="815">
        <v>5</v>
      </c>
      <c r="H27" s="815">
        <v>50</v>
      </c>
      <c r="I27" s="815">
        <v>10</v>
      </c>
      <c r="J27" s="815">
        <v>50</v>
      </c>
      <c r="K27" s="816">
        <v>50</v>
      </c>
      <c r="L27" s="816">
        <v>50</v>
      </c>
      <c r="M27" s="815">
        <v>0.1</v>
      </c>
      <c r="N27" s="815">
        <v>0.5</v>
      </c>
      <c r="O27" s="815">
        <v>1</v>
      </c>
      <c r="P27" s="815">
        <v>0</v>
      </c>
      <c r="Q27" s="815">
        <v>1</v>
      </c>
      <c r="R27" s="815">
        <v>0</v>
      </c>
      <c r="S27" s="815"/>
      <c r="T27" s="730" t="str">
        <f t="shared" si="0"/>
        <v>0,1-0,5 mg/kg/dag</v>
      </c>
      <c r="U27" s="730">
        <f t="shared" si="1"/>
        <v>2</v>
      </c>
      <c r="V27" s="730">
        <f t="shared" si="2"/>
        <v>50</v>
      </c>
      <c r="W27" s="730" t="b">
        <f t="shared" si="3"/>
        <v>1</v>
      </c>
      <c r="X27" s="730">
        <f t="shared" si="4"/>
        <v>24</v>
      </c>
    </row>
    <row r="28" spans="1:24" x14ac:dyDescent="0.2">
      <c r="A28" s="729">
        <f t="shared" si="5"/>
        <v>25</v>
      </c>
      <c r="B28" s="815" t="s">
        <v>7899</v>
      </c>
      <c r="C28" s="815" t="s">
        <v>369</v>
      </c>
      <c r="D28" s="815" t="s">
        <v>302</v>
      </c>
      <c r="E28" s="815">
        <v>25</v>
      </c>
      <c r="F28" s="815">
        <v>50</v>
      </c>
      <c r="G28" s="815">
        <v>25</v>
      </c>
      <c r="H28" s="815">
        <v>50</v>
      </c>
      <c r="I28" s="815">
        <v>25</v>
      </c>
      <c r="J28" s="815">
        <v>50</v>
      </c>
      <c r="K28" s="816">
        <v>25</v>
      </c>
      <c r="L28" s="816">
        <v>50</v>
      </c>
      <c r="M28" s="815">
        <v>2</v>
      </c>
      <c r="N28" s="815">
        <v>4</v>
      </c>
      <c r="O28" s="815">
        <v>6</v>
      </c>
      <c r="P28" s="815">
        <v>0</v>
      </c>
      <c r="Q28" s="815">
        <v>0</v>
      </c>
      <c r="R28" s="815">
        <v>1</v>
      </c>
      <c r="S28" s="815"/>
      <c r="T28" s="730" t="str">
        <f t="shared" si="0"/>
        <v>2-4 mmol/kg/dag</v>
      </c>
      <c r="U28" s="730">
        <f t="shared" si="1"/>
        <v>25</v>
      </c>
      <c r="V28" s="730">
        <f t="shared" si="2"/>
        <v>50</v>
      </c>
      <c r="W28" s="730" t="b">
        <f t="shared" si="3"/>
        <v>1</v>
      </c>
      <c r="X28" s="730">
        <f t="shared" si="4"/>
        <v>24</v>
      </c>
    </row>
    <row r="29" spans="1:24" x14ac:dyDescent="0.2">
      <c r="A29" s="729">
        <f t="shared" si="5"/>
        <v>26</v>
      </c>
      <c r="B29" s="815" t="s">
        <v>48</v>
      </c>
      <c r="C29" s="815" t="s">
        <v>118</v>
      </c>
      <c r="D29" s="815" t="s">
        <v>451</v>
      </c>
      <c r="E29" s="815">
        <v>10</v>
      </c>
      <c r="F29" s="815">
        <v>50</v>
      </c>
      <c r="G29" s="815">
        <v>20</v>
      </c>
      <c r="H29" s="815">
        <v>50</v>
      </c>
      <c r="I29" s="815">
        <v>40</v>
      </c>
      <c r="J29" s="815">
        <v>50</v>
      </c>
      <c r="K29" s="816">
        <v>40</v>
      </c>
      <c r="L29" s="816">
        <v>50</v>
      </c>
      <c r="M29" s="815">
        <v>0.5</v>
      </c>
      <c r="N29" s="815">
        <v>8</v>
      </c>
      <c r="O29" s="815">
        <v>10</v>
      </c>
      <c r="P29" s="815">
        <v>0</v>
      </c>
      <c r="Q29" s="815">
        <v>10</v>
      </c>
      <c r="R29" s="815">
        <v>0</v>
      </c>
      <c r="S29" s="815"/>
      <c r="T29" s="730" t="str">
        <f t="shared" si="0"/>
        <v>0,5-8 microg/kg/min</v>
      </c>
      <c r="U29" s="730">
        <f t="shared" si="1"/>
        <v>10</v>
      </c>
      <c r="V29" s="730">
        <f t="shared" si="2"/>
        <v>50</v>
      </c>
      <c r="W29" s="730" t="b">
        <f t="shared" si="3"/>
        <v>1</v>
      </c>
      <c r="X29" s="730">
        <f t="shared" si="4"/>
        <v>16.666666666666668</v>
      </c>
    </row>
    <row r="30" spans="1:24" x14ac:dyDescent="0.2">
      <c r="A30" s="729">
        <f t="shared" si="5"/>
        <v>27</v>
      </c>
      <c r="B30" s="815" t="s">
        <v>300</v>
      </c>
      <c r="C30" s="815" t="s">
        <v>118</v>
      </c>
      <c r="D30" s="815" t="s">
        <v>451</v>
      </c>
      <c r="E30" s="815">
        <v>1</v>
      </c>
      <c r="F30" s="815">
        <v>50</v>
      </c>
      <c r="G30" s="815">
        <v>2</v>
      </c>
      <c r="H30" s="815">
        <v>50</v>
      </c>
      <c r="I30" s="815">
        <v>5</v>
      </c>
      <c r="J30" s="815">
        <v>50</v>
      </c>
      <c r="K30" s="816">
        <v>5</v>
      </c>
      <c r="L30" s="816">
        <v>50</v>
      </c>
      <c r="M30" s="815">
        <v>0.05</v>
      </c>
      <c r="N30" s="815">
        <v>0.5</v>
      </c>
      <c r="O30" s="815">
        <v>1</v>
      </c>
      <c r="P30" s="815">
        <v>0</v>
      </c>
      <c r="Q30" s="815">
        <v>1</v>
      </c>
      <c r="R30" s="815">
        <v>0</v>
      </c>
      <c r="S30" s="815"/>
      <c r="T30" s="730" t="str">
        <f t="shared" si="0"/>
        <v>0,05-0,5 microg/kg/min</v>
      </c>
      <c r="U30" s="730">
        <f t="shared" si="1"/>
        <v>1</v>
      </c>
      <c r="V30" s="730">
        <f t="shared" si="2"/>
        <v>50</v>
      </c>
      <c r="W30" s="730" t="b">
        <f t="shared" si="3"/>
        <v>1</v>
      </c>
      <c r="X30" s="730">
        <f t="shared" si="4"/>
        <v>16.666666666666668</v>
      </c>
    </row>
    <row r="31" spans="1:24" x14ac:dyDescent="0.2">
      <c r="A31" s="729">
        <f t="shared" si="5"/>
        <v>28</v>
      </c>
      <c r="B31" s="815" t="s">
        <v>249</v>
      </c>
      <c r="C31" s="815" t="s">
        <v>118</v>
      </c>
      <c r="D31" s="815" t="s">
        <v>280</v>
      </c>
      <c r="E31" s="815">
        <v>10</v>
      </c>
      <c r="F31" s="815">
        <v>1</v>
      </c>
      <c r="G31" s="815">
        <v>10</v>
      </c>
      <c r="H31" s="815">
        <v>1</v>
      </c>
      <c r="I31" s="815">
        <v>10</v>
      </c>
      <c r="J31" s="815">
        <v>1</v>
      </c>
      <c r="K31" s="816">
        <v>10</v>
      </c>
      <c r="L31" s="816">
        <v>1</v>
      </c>
      <c r="M31" s="815">
        <v>1</v>
      </c>
      <c r="N31" s="815">
        <v>4</v>
      </c>
      <c r="O31" s="815">
        <v>4</v>
      </c>
      <c r="P31" s="815">
        <v>0</v>
      </c>
      <c r="Q31" s="815">
        <v>0</v>
      </c>
      <c r="R31" s="815">
        <v>1</v>
      </c>
      <c r="S31" s="815"/>
      <c r="T31" s="730" t="str">
        <f t="shared" si="0"/>
        <v>1-4 mg/kg/uur</v>
      </c>
      <c r="U31" s="730">
        <f t="shared" si="1"/>
        <v>10</v>
      </c>
      <c r="V31" s="730">
        <f t="shared" si="2"/>
        <v>1</v>
      </c>
      <c r="W31" s="730" t="b">
        <f t="shared" si="3"/>
        <v>1</v>
      </c>
      <c r="X31" s="730">
        <f t="shared" si="4"/>
        <v>1</v>
      </c>
    </row>
    <row r="32" spans="1:24" x14ac:dyDescent="0.2">
      <c r="A32" s="729">
        <f t="shared" si="5"/>
        <v>29</v>
      </c>
      <c r="B32" s="815" t="s">
        <v>250</v>
      </c>
      <c r="C32" s="815" t="s">
        <v>118</v>
      </c>
      <c r="D32" s="815" t="s">
        <v>280</v>
      </c>
      <c r="E32" s="815">
        <v>20</v>
      </c>
      <c r="F32" s="815">
        <v>1</v>
      </c>
      <c r="G32" s="815">
        <v>20</v>
      </c>
      <c r="H32" s="815">
        <v>1</v>
      </c>
      <c r="I32" s="815">
        <v>20</v>
      </c>
      <c r="J32" s="815">
        <v>1</v>
      </c>
      <c r="K32" s="816">
        <v>20</v>
      </c>
      <c r="L32" s="816">
        <v>1</v>
      </c>
      <c r="M32" s="815">
        <v>1</v>
      </c>
      <c r="N32" s="815">
        <v>4</v>
      </c>
      <c r="O32" s="815">
        <v>4</v>
      </c>
      <c r="P32" s="815">
        <v>0</v>
      </c>
      <c r="Q32" s="815">
        <v>0</v>
      </c>
      <c r="R32" s="815">
        <v>1</v>
      </c>
      <c r="S32" s="815"/>
      <c r="T32" s="730" t="str">
        <f t="shared" si="0"/>
        <v>1-4 mg/kg/uur</v>
      </c>
      <c r="U32" s="730">
        <f t="shared" si="1"/>
        <v>20</v>
      </c>
      <c r="V32" s="730">
        <f t="shared" si="2"/>
        <v>1</v>
      </c>
      <c r="W32" s="730" t="b">
        <f t="shared" si="3"/>
        <v>1</v>
      </c>
      <c r="X32" s="730">
        <f t="shared" si="4"/>
        <v>1</v>
      </c>
    </row>
    <row r="33" spans="1:24" x14ac:dyDescent="0.2">
      <c r="A33" s="729">
        <f t="shared" si="5"/>
        <v>30</v>
      </c>
      <c r="B33" s="815" t="s">
        <v>206</v>
      </c>
      <c r="C33" s="815" t="s">
        <v>118</v>
      </c>
      <c r="D33" s="815" t="s">
        <v>280</v>
      </c>
      <c r="E33" s="815">
        <v>50</v>
      </c>
      <c r="F33" s="815">
        <v>50</v>
      </c>
      <c r="G33" s="815">
        <v>100</v>
      </c>
      <c r="H33" s="815">
        <v>50</v>
      </c>
      <c r="I33" s="815">
        <v>200</v>
      </c>
      <c r="J33" s="815">
        <v>50</v>
      </c>
      <c r="K33" s="816">
        <v>200</v>
      </c>
      <c r="L33" s="816">
        <v>50</v>
      </c>
      <c r="M33" s="815">
        <v>0.6</v>
      </c>
      <c r="N33" s="815">
        <v>1.2</v>
      </c>
      <c r="O33" s="815">
        <v>2</v>
      </c>
      <c r="P33" s="815">
        <v>0</v>
      </c>
      <c r="Q33" s="815">
        <v>10</v>
      </c>
      <c r="R33" s="815">
        <v>0</v>
      </c>
      <c r="S33" s="815"/>
      <c r="T33" s="730" t="str">
        <f t="shared" si="0"/>
        <v>0,6-1,2 mg/kg/uur</v>
      </c>
      <c r="U33" s="730">
        <f t="shared" si="1"/>
        <v>50</v>
      </c>
      <c r="V33" s="730">
        <f t="shared" si="2"/>
        <v>50</v>
      </c>
      <c r="W33" s="730" t="b">
        <f t="shared" si="3"/>
        <v>1</v>
      </c>
      <c r="X33" s="730">
        <f t="shared" si="4"/>
        <v>1</v>
      </c>
    </row>
    <row r="34" spans="1:24" x14ac:dyDescent="0.2">
      <c r="A34" s="729">
        <f t="shared" si="5"/>
        <v>31</v>
      </c>
      <c r="B34" s="815" t="s">
        <v>26</v>
      </c>
      <c r="C34" s="815" t="s">
        <v>118</v>
      </c>
      <c r="D34" s="815" t="s">
        <v>451</v>
      </c>
      <c r="E34" s="815">
        <v>5</v>
      </c>
      <c r="F34" s="815">
        <v>50</v>
      </c>
      <c r="G34" s="815">
        <v>10</v>
      </c>
      <c r="H34" s="815">
        <v>50</v>
      </c>
      <c r="I34" s="815">
        <v>20</v>
      </c>
      <c r="J34" s="815">
        <v>50</v>
      </c>
      <c r="K34" s="816">
        <v>20</v>
      </c>
      <c r="L34" s="816">
        <v>50</v>
      </c>
      <c r="M34" s="815">
        <v>0.1</v>
      </c>
      <c r="N34" s="815">
        <v>10</v>
      </c>
      <c r="O34" s="815">
        <v>15</v>
      </c>
      <c r="P34" s="815">
        <v>5.0000000000000001E-3</v>
      </c>
      <c r="Q34" s="815">
        <v>0.42</v>
      </c>
      <c r="R34" s="815">
        <v>0</v>
      </c>
      <c r="S34" s="815"/>
      <c r="T34" s="730" t="str">
        <f t="shared" si="0"/>
        <v>0,1-10 microg/kg/min</v>
      </c>
      <c r="U34" s="730">
        <f t="shared" si="1"/>
        <v>5</v>
      </c>
      <c r="V34" s="730">
        <f t="shared" si="2"/>
        <v>50</v>
      </c>
      <c r="W34" s="730" t="b">
        <f t="shared" si="3"/>
        <v>1</v>
      </c>
      <c r="X34" s="730">
        <f t="shared" si="4"/>
        <v>16.666666666666668</v>
      </c>
    </row>
    <row r="35" spans="1:24" x14ac:dyDescent="0.2">
      <c r="A35" s="729">
        <f t="shared" si="5"/>
        <v>32</v>
      </c>
      <c r="B35" s="815" t="s">
        <v>273</v>
      </c>
      <c r="C35" s="815" t="s">
        <v>118</v>
      </c>
      <c r="D35" s="815" t="s">
        <v>280</v>
      </c>
      <c r="E35" s="815">
        <v>1250</v>
      </c>
      <c r="F35" s="815">
        <v>50</v>
      </c>
      <c r="G35" s="815">
        <v>1250</v>
      </c>
      <c r="H35" s="815">
        <v>50</v>
      </c>
      <c r="I35" s="815">
        <v>1250</v>
      </c>
      <c r="J35" s="815">
        <v>50</v>
      </c>
      <c r="K35" s="816">
        <v>1250</v>
      </c>
      <c r="L35" s="816">
        <v>50</v>
      </c>
      <c r="M35" s="815">
        <v>5</v>
      </c>
      <c r="N35" s="815">
        <v>10</v>
      </c>
      <c r="O35" s="815">
        <v>20</v>
      </c>
      <c r="P35" s="815">
        <v>5</v>
      </c>
      <c r="Q35" s="815">
        <v>25</v>
      </c>
      <c r="R35" s="815">
        <v>0</v>
      </c>
      <c r="S35" s="815" t="s">
        <v>340</v>
      </c>
      <c r="T35" s="730" t="str">
        <f t="shared" si="0"/>
        <v>Op geleide van spiegels</v>
      </c>
      <c r="U35" s="730">
        <f t="shared" si="1"/>
        <v>1250</v>
      </c>
      <c r="V35" s="730">
        <f t="shared" si="2"/>
        <v>50</v>
      </c>
      <c r="W35" s="730" t="b">
        <f t="shared" si="3"/>
        <v>1</v>
      </c>
      <c r="X35" s="730">
        <f t="shared" si="4"/>
        <v>1</v>
      </c>
    </row>
    <row r="36" spans="1:24" x14ac:dyDescent="0.2">
      <c r="A36" s="734" t="s">
        <v>4081</v>
      </c>
      <c r="B36" s="735">
        <v>1</v>
      </c>
      <c r="C36" s="735">
        <f>B36+1</f>
        <v>2</v>
      </c>
      <c r="D36" s="735">
        <f t="shared" ref="D36:H36" si="6">C36+1</f>
        <v>3</v>
      </c>
      <c r="E36" s="735">
        <f t="shared" si="6"/>
        <v>4</v>
      </c>
      <c r="F36" s="735">
        <f t="shared" si="6"/>
        <v>5</v>
      </c>
      <c r="G36" s="735">
        <f t="shared" si="6"/>
        <v>6</v>
      </c>
      <c r="H36" s="735">
        <f t="shared" si="6"/>
        <v>7</v>
      </c>
      <c r="I36" s="735">
        <f t="shared" ref="I36" si="7">H36+1</f>
        <v>8</v>
      </c>
      <c r="J36" s="735">
        <f t="shared" ref="J36" si="8">I36+1</f>
        <v>9</v>
      </c>
      <c r="K36" s="735">
        <f t="shared" ref="K36" si="9">J36+1</f>
        <v>10</v>
      </c>
      <c r="L36" s="735">
        <f t="shared" ref="L36" si="10">K36+1</f>
        <v>11</v>
      </c>
      <c r="M36" s="735">
        <f t="shared" ref="M36" si="11">L36+1</f>
        <v>12</v>
      </c>
      <c r="N36" s="735">
        <f t="shared" ref="N36" si="12">M36+1</f>
        <v>13</v>
      </c>
      <c r="O36" s="735">
        <f t="shared" ref="O36" si="13">N36+1</f>
        <v>14</v>
      </c>
      <c r="P36" s="735">
        <f t="shared" ref="P36" si="14">O36+1</f>
        <v>15</v>
      </c>
      <c r="Q36" s="735">
        <f t="shared" ref="Q36" si="15">P36+1</f>
        <v>16</v>
      </c>
      <c r="R36" s="735">
        <f t="shared" ref="R36" si="16">Q36+1</f>
        <v>17</v>
      </c>
      <c r="S36" s="735">
        <f t="shared" ref="S36" si="17">R36+1</f>
        <v>18</v>
      </c>
      <c r="T36" s="735">
        <f t="shared" ref="T36" si="18">S36+1</f>
        <v>19</v>
      </c>
      <c r="U36" s="735">
        <f t="shared" ref="U36" si="19">T36+1</f>
        <v>20</v>
      </c>
      <c r="V36" s="735">
        <f t="shared" ref="V36" si="20">U36+1</f>
        <v>21</v>
      </c>
      <c r="W36" s="735">
        <f t="shared" ref="W36" si="21">V36+1</f>
        <v>22</v>
      </c>
      <c r="X36" s="735">
        <f t="shared" ref="X36" si="22">W36+1</f>
        <v>23</v>
      </c>
    </row>
  </sheetData>
  <sheetProtection selectLockedCells="1"/>
  <protectedRanges>
    <protectedRange password="CC20" sqref="B5:S35" name="PedMedCont"/>
  </protectedRanges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B1:O32"/>
  <sheetViews>
    <sheetView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21" customWidth="1"/>
    <col min="2" max="2" width="6" style="321" customWidth="1"/>
    <col min="3" max="3" width="3" style="321" customWidth="1"/>
    <col min="4" max="4" width="16.5703125" style="321" customWidth="1"/>
    <col min="5" max="5" width="17.28515625" style="321" customWidth="1"/>
    <col min="6" max="6" width="17.5703125" style="321" customWidth="1"/>
    <col min="7" max="7" width="18.5703125" style="321" customWidth="1"/>
    <col min="8" max="8" width="18.28515625" style="321" customWidth="1"/>
    <col min="9" max="9" width="9.7109375" style="321" customWidth="1"/>
    <col min="10" max="10" width="9.140625" style="321"/>
    <col min="11" max="11" width="9.42578125" style="321" bestFit="1" customWidth="1"/>
    <col min="12" max="12" width="9.28515625" style="321" bestFit="1" customWidth="1"/>
    <col min="13" max="16384" width="9.140625" style="321"/>
  </cols>
  <sheetData>
    <row r="1" spans="2:15" s="315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</row>
    <row r="2" spans="2:15" s="315" customFormat="1" ht="17.25" customHeight="1" x14ac:dyDescent="0.2">
      <c r="B2" s="566"/>
      <c r="C2" s="566"/>
      <c r="D2" s="569" t="s">
        <v>229</v>
      </c>
      <c r="E2" s="570" t="str">
        <f ca="1">Txt_Pat_AfspraakDat</f>
        <v>14-nov-2018</v>
      </c>
      <c r="F2" s="569"/>
      <c r="G2" s="579"/>
      <c r="H2" s="573" t="s">
        <v>230</v>
      </c>
      <c r="I2" s="573" t="str">
        <f>Txt_Pat_OpnameDat</f>
        <v/>
      </c>
      <c r="J2" s="581"/>
      <c r="K2" s="569"/>
      <c r="L2" s="566" t="str">
        <f>Txt_Pat_Gewicht</f>
        <v>Gewicht:</v>
      </c>
      <c r="M2" s="566"/>
      <c r="N2" s="566" t="str">
        <f>Txt_Pat_Bed</f>
        <v/>
      </c>
      <c r="O2" s="566"/>
    </row>
    <row r="3" spans="2:15" s="315" customFormat="1" ht="17.25" customHeight="1" x14ac:dyDescent="0.2">
      <c r="B3" s="566"/>
      <c r="C3" s="566"/>
      <c r="D3" s="569" t="s">
        <v>27</v>
      </c>
      <c r="E3" s="574" t="str">
        <f>Txt_Pat_FullName</f>
        <v/>
      </c>
      <c r="F3" s="569"/>
      <c r="G3" s="580"/>
      <c r="H3" s="573" t="s">
        <v>236</v>
      </c>
      <c r="I3" s="573" t="str">
        <f ca="1">Txt_Pat_GeboorteDat</f>
        <v/>
      </c>
      <c r="J3" s="569"/>
      <c r="K3" s="569"/>
      <c r="L3" s="569" t="str">
        <f>Txt_Pat_Lengte</f>
        <v>Lengte:</v>
      </c>
      <c r="M3" s="566"/>
      <c r="N3" s="566"/>
      <c r="O3" s="566"/>
    </row>
    <row r="4" spans="2:15" s="315" customFormat="1" ht="17.25" customHeight="1" x14ac:dyDescent="0.2">
      <c r="B4" s="566"/>
      <c r="C4" s="566"/>
      <c r="D4" s="575" t="s">
        <v>3457</v>
      </c>
      <c r="E4" s="569" t="str">
        <f>Txt_Pat_PatNo</f>
        <v/>
      </c>
      <c r="F4" s="569"/>
      <c r="G4" s="566"/>
      <c r="H4" s="573" t="s">
        <v>208</v>
      </c>
      <c r="I4" s="573" t="str">
        <f ca="1">Txt_Pat_Leeftijd</f>
        <v/>
      </c>
      <c r="J4" s="569"/>
      <c r="K4" s="569"/>
      <c r="L4" s="569" t="str">
        <f>Txt_Pat_Oppervlak</f>
        <v>Lichamelijk oppervlak:</v>
      </c>
      <c r="M4" s="566"/>
      <c r="N4" s="566"/>
      <c r="O4" s="566"/>
    </row>
    <row r="5" spans="2:15" s="315" customFormat="1" ht="8.1" customHeight="1" x14ac:dyDescent="0.2">
      <c r="B5" s="566"/>
      <c r="C5" s="566"/>
      <c r="D5" s="569"/>
      <c r="E5" s="569"/>
      <c r="F5" s="571"/>
      <c r="G5" s="569"/>
      <c r="H5" s="577"/>
      <c r="I5" s="569"/>
      <c r="J5" s="569"/>
      <c r="K5" s="569"/>
      <c r="L5" s="569"/>
      <c r="M5" s="566"/>
      <c r="N5" s="566"/>
      <c r="O5" s="566"/>
    </row>
    <row r="6" spans="2:15" ht="12.75" customHeight="1" x14ac:dyDescent="0.2"/>
    <row r="7" spans="2:15" ht="20.100000000000001" customHeight="1" x14ac:dyDescent="0.2">
      <c r="B7" s="609" t="s">
        <v>3291</v>
      </c>
      <c r="C7" s="614"/>
      <c r="D7" s="615" t="s">
        <v>25</v>
      </c>
      <c r="E7" s="609"/>
      <c r="F7" s="609"/>
      <c r="G7" s="609"/>
      <c r="H7" s="609"/>
      <c r="I7" s="609"/>
      <c r="J7" s="609"/>
      <c r="K7" s="609"/>
      <c r="L7" s="609"/>
      <c r="M7" s="609"/>
      <c r="N7" s="609"/>
      <c r="O7" s="609"/>
    </row>
    <row r="8" spans="2:15" ht="9" customHeight="1" x14ac:dyDescent="0.2">
      <c r="B8" s="330"/>
      <c r="J8" s="315"/>
      <c r="K8" s="320"/>
      <c r="L8" s="320"/>
      <c r="M8" s="320"/>
      <c r="N8" s="320"/>
    </row>
    <row r="9" spans="2:15" ht="20.100000000000001" customHeight="1" x14ac:dyDescent="0.2">
      <c r="B9" s="329" t="str">
        <f>PedBerIVenPM!D2</f>
        <v/>
      </c>
      <c r="C9" s="597">
        <v>1</v>
      </c>
      <c r="E9" s="472"/>
      <c r="H9" s="321" t="str">
        <f>PedBerIVenPM!C2</f>
        <v/>
      </c>
      <c r="J9" s="315"/>
      <c r="K9" s="322"/>
      <c r="L9" s="323"/>
      <c r="M9" s="320"/>
      <c r="N9" s="320"/>
    </row>
    <row r="10" spans="2:15" ht="20.100000000000001" customHeight="1" x14ac:dyDescent="0.2">
      <c r="B10" s="329" t="str">
        <f>PedBerIVenPM!D3</f>
        <v/>
      </c>
      <c r="C10" s="597">
        <v>2</v>
      </c>
      <c r="H10" s="321" t="str">
        <f>PedBerIVenPM!C3</f>
        <v/>
      </c>
      <c r="J10" s="315"/>
      <c r="K10" s="323"/>
      <c r="L10" s="323"/>
      <c r="M10" s="320"/>
      <c r="N10" s="320"/>
    </row>
    <row r="11" spans="2:15" ht="20.100000000000001" customHeight="1" x14ac:dyDescent="0.2">
      <c r="B11" s="329" t="str">
        <f>PedBerIVenPM!D4</f>
        <v/>
      </c>
      <c r="C11" s="597">
        <v>3</v>
      </c>
      <c r="H11" s="321" t="str">
        <f>PedBerIVenPM!C4</f>
        <v/>
      </c>
      <c r="J11" s="315"/>
      <c r="M11" s="320"/>
      <c r="N11" s="320"/>
    </row>
    <row r="12" spans="2:15" ht="20.100000000000001" customHeight="1" x14ac:dyDescent="0.2">
      <c r="B12" s="329" t="str">
        <f>PedBerIVenPM!D5</f>
        <v/>
      </c>
      <c r="C12" s="597">
        <v>4</v>
      </c>
      <c r="H12" s="321" t="str">
        <f>PedBerIVenPM!C5</f>
        <v/>
      </c>
      <c r="J12" s="315"/>
      <c r="M12" s="320"/>
      <c r="N12" s="320"/>
    </row>
    <row r="13" spans="2:15" ht="20.100000000000001" customHeight="1" x14ac:dyDescent="0.2">
      <c r="B13" s="329" t="str">
        <f>PedBerIVenPM!D6</f>
        <v/>
      </c>
      <c r="C13" s="597">
        <v>5</v>
      </c>
      <c r="H13" s="321" t="str">
        <f>PedBerIVenPM!C6</f>
        <v/>
      </c>
      <c r="J13" s="315"/>
      <c r="M13" s="320"/>
      <c r="N13" s="320"/>
    </row>
    <row r="14" spans="2:15" ht="20.100000000000001" customHeight="1" x14ac:dyDescent="0.2">
      <c r="B14" s="329" t="str">
        <f>PedBerIVenPM!D7</f>
        <v/>
      </c>
      <c r="C14" s="597">
        <v>6</v>
      </c>
      <c r="D14" s="315"/>
      <c r="E14" s="315"/>
      <c r="F14" s="315"/>
      <c r="G14" s="315"/>
      <c r="H14" s="315" t="str">
        <f>PedBerIVenPM!C7</f>
        <v/>
      </c>
      <c r="J14" s="315"/>
      <c r="M14" s="320"/>
      <c r="N14" s="320"/>
    </row>
    <row r="15" spans="2:15" ht="17.25" customHeight="1" x14ac:dyDescent="0.2">
      <c r="B15" s="327"/>
      <c r="J15" s="315"/>
      <c r="M15" s="320"/>
      <c r="N15" s="320"/>
    </row>
    <row r="16" spans="2:15" ht="20.100000000000001" customHeight="1" x14ac:dyDescent="0.2">
      <c r="B16" s="329" t="str">
        <f>PedBerIVenPM!D9</f>
        <v/>
      </c>
      <c r="C16" s="597"/>
      <c r="D16" s="597" t="s">
        <v>219</v>
      </c>
      <c r="E16" s="822">
        <f>_Ped_Lijn_Opm</f>
        <v>0</v>
      </c>
      <c r="F16" s="823"/>
      <c r="G16" s="823"/>
      <c r="H16" s="823"/>
      <c r="I16" s="324"/>
      <c r="J16" s="325"/>
      <c r="M16" s="320"/>
      <c r="N16" s="320"/>
    </row>
    <row r="17" spans="2:15" ht="17.25" customHeight="1" x14ac:dyDescent="0.2">
      <c r="B17" s="330"/>
      <c r="J17" s="320"/>
      <c r="M17" s="320"/>
      <c r="N17" s="320"/>
    </row>
    <row r="18" spans="2:15" ht="20.100000000000001" customHeight="1" x14ac:dyDescent="0.2">
      <c r="B18" s="330"/>
      <c r="D18" s="308"/>
      <c r="E18" s="323"/>
      <c r="F18" s="323"/>
      <c r="G18" s="323"/>
      <c r="H18" s="323"/>
      <c r="I18" s="323"/>
      <c r="J18" s="322"/>
    </row>
    <row r="19" spans="2:15" ht="20.100000000000001" customHeight="1" x14ac:dyDescent="0.2">
      <c r="B19" s="615" t="str">
        <f>PedBerIVenPM!F13</f>
        <v/>
      </c>
      <c r="C19" s="609"/>
      <c r="D19" s="609" t="s">
        <v>20</v>
      </c>
      <c r="E19" s="616"/>
      <c r="F19" s="609"/>
      <c r="G19" s="609"/>
      <c r="H19" s="609"/>
      <c r="I19" s="609"/>
      <c r="J19" s="617"/>
      <c r="K19" s="609"/>
      <c r="L19" s="609"/>
      <c r="M19" s="609"/>
      <c r="N19" s="609"/>
      <c r="O19" s="609"/>
    </row>
    <row r="20" spans="2:15" ht="8.1" customHeight="1" x14ac:dyDescent="0.2">
      <c r="B20" s="329"/>
      <c r="C20" s="465"/>
    </row>
    <row r="21" spans="2:15" ht="20.100000000000001" customHeight="1" x14ac:dyDescent="0.2">
      <c r="B21" s="329"/>
      <c r="C21" s="465"/>
      <c r="D21" s="597" t="s">
        <v>201</v>
      </c>
      <c r="G21" s="597" t="s">
        <v>49</v>
      </c>
    </row>
    <row r="22" spans="2:15" ht="8.1" customHeight="1" x14ac:dyDescent="0.2">
      <c r="B22" s="329"/>
      <c r="C22" s="465"/>
    </row>
    <row r="23" spans="2:15" ht="20.100000000000001" customHeight="1" x14ac:dyDescent="0.2">
      <c r="B23" s="329" t="str">
        <f>PedBerIVenPM!F14</f>
        <v/>
      </c>
      <c r="C23" s="465"/>
      <c r="D23" s="597" t="s">
        <v>222</v>
      </c>
      <c r="E23" s="470" t="str">
        <f>IF(PedBerIVenPM!A13&gt;1,PedBerIVenPM!D12&amp;" /min","")</f>
        <v/>
      </c>
    </row>
    <row r="24" spans="2:15" ht="8.1" customHeight="1" x14ac:dyDescent="0.2">
      <c r="B24" s="465"/>
      <c r="C24" s="465"/>
      <c r="D24" s="327"/>
      <c r="E24" s="412"/>
    </row>
    <row r="25" spans="2:15" ht="20.100000000000001" customHeight="1" thickBot="1" x14ac:dyDescent="0.25">
      <c r="B25" s="465"/>
      <c r="C25" s="465"/>
      <c r="D25" s="597" t="s">
        <v>50</v>
      </c>
      <c r="E25" s="470" t="str">
        <f>IF(PedBerIVenPM!A13&gt;1,(PedBerIVenPM!D13/10)&amp;" V","")</f>
        <v/>
      </c>
    </row>
    <row r="26" spans="2:15" ht="20.100000000000001" customHeight="1" thickTop="1" thickBot="1" x14ac:dyDescent="0.25">
      <c r="B26" s="465"/>
      <c r="C26" s="465"/>
      <c r="D26" s="597" t="s">
        <v>3301</v>
      </c>
      <c r="E26" s="413" t="str">
        <f>IF(PedBerIVenPM!A13&gt;1,(PedBerIVenPM!D14/10)&amp;" V","")</f>
        <v/>
      </c>
    </row>
    <row r="27" spans="2:15" ht="8.1" customHeight="1" thickTop="1" x14ac:dyDescent="0.2">
      <c r="B27" s="465"/>
      <c r="C27" s="465"/>
      <c r="D27" s="327"/>
      <c r="E27" s="412"/>
    </row>
    <row r="28" spans="2:15" ht="20.100000000000001" customHeight="1" x14ac:dyDescent="0.2">
      <c r="B28" s="465"/>
      <c r="C28" s="465"/>
      <c r="D28" s="597" t="s">
        <v>51</v>
      </c>
      <c r="E28" s="470" t="str">
        <f>IF(PedBerIVenPM!A13&gt;1,PedBerIVenPM!D15&amp;" msec","")</f>
        <v/>
      </c>
    </row>
    <row r="29" spans="2:15" ht="8.1" customHeight="1" x14ac:dyDescent="0.2">
      <c r="B29" s="465"/>
      <c r="C29" s="465"/>
      <c r="D29" s="327"/>
      <c r="E29" s="412"/>
    </row>
    <row r="30" spans="2:15" ht="20.100000000000001" customHeight="1" thickBot="1" x14ac:dyDescent="0.25">
      <c r="B30" s="465"/>
      <c r="C30" s="465"/>
      <c r="D30" s="597" t="s">
        <v>52</v>
      </c>
      <c r="E30" s="470" t="str">
        <f>IF(PedBerIVenPM!A13&gt;1,PedBerIVenPM!D16/10&amp;" mV","")</f>
        <v/>
      </c>
    </row>
    <row r="31" spans="2:15" ht="20.100000000000001" customHeight="1" thickTop="1" thickBot="1" x14ac:dyDescent="0.25">
      <c r="B31" s="465"/>
      <c r="C31" s="465"/>
      <c r="D31" s="597" t="s">
        <v>3302</v>
      </c>
      <c r="E31" s="413" t="str">
        <f>IF(PedBerIVenPM!A13&gt;1,(PedBerIVenPM!D17/10)&amp;" mV","")</f>
        <v/>
      </c>
    </row>
    <row r="32" spans="2:15" ht="17.25" customHeight="1" thickTop="1" x14ac:dyDescent="0.2"/>
  </sheetData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7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K33"/>
  <sheetViews>
    <sheetView workbookViewId="0">
      <selection activeCell="K2" sqref="K2"/>
    </sheetView>
  </sheetViews>
  <sheetFormatPr defaultRowHeight="12.75" x14ac:dyDescent="0.2"/>
  <cols>
    <col min="1" max="2" width="15.42578125" customWidth="1"/>
    <col min="3" max="4" width="15.42578125" style="151" customWidth="1"/>
    <col min="5" max="7" width="9.85546875" style="151" customWidth="1"/>
    <col min="9" max="9" width="63.85546875" customWidth="1"/>
    <col min="10" max="10" width="12.5703125" customWidth="1"/>
    <col min="11" max="11" width="15.42578125" customWidth="1"/>
  </cols>
  <sheetData>
    <row r="1" spans="1:11" x14ac:dyDescent="0.2">
      <c r="A1" s="1" t="s">
        <v>813</v>
      </c>
      <c r="B1" s="1" t="s">
        <v>814</v>
      </c>
      <c r="C1" s="1" t="s">
        <v>137</v>
      </c>
      <c r="D1" s="1" t="s">
        <v>3291</v>
      </c>
      <c r="E1" s="1" t="s">
        <v>93</v>
      </c>
      <c r="F1" s="1" t="s">
        <v>806</v>
      </c>
      <c r="G1" s="1" t="s">
        <v>259</v>
      </c>
      <c r="I1" s="1" t="s">
        <v>4821</v>
      </c>
      <c r="J1" s="1" t="s">
        <v>7417</v>
      </c>
      <c r="K1" s="1" t="s">
        <v>7415</v>
      </c>
    </row>
    <row r="2" spans="1:11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  <c r="J2" t="b">
        <f t="shared" ref="J2:J7" si="4">INDEX(Tbl_Ped_Lijnen,B2,5)</f>
        <v>0</v>
      </c>
      <c r="K2" t="b">
        <f>OR(J2:J8)</f>
        <v>0</v>
      </c>
    </row>
    <row r="3" spans="1:11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5">IF(B3&gt;1,"verw","")</f>
        <v/>
      </c>
      <c r="E3" s="3">
        <f t="shared" si="1"/>
        <v>0</v>
      </c>
      <c r="F3" s="3">
        <f t="shared" ref="F3:F7" si="6">E3</f>
        <v>0</v>
      </c>
      <c r="G3" s="3">
        <f t="shared" si="2"/>
        <v>0</v>
      </c>
      <c r="I3" s="151" t="str">
        <f t="shared" si="3"/>
        <v/>
      </c>
      <c r="J3" s="151" t="b">
        <f t="shared" si="4"/>
        <v>0</v>
      </c>
    </row>
    <row r="4" spans="1:11" x14ac:dyDescent="0.2">
      <c r="A4" s="3">
        <v>3</v>
      </c>
      <c r="B4" s="3">
        <v>1</v>
      </c>
      <c r="C4" s="3" t="str">
        <f t="shared" si="0"/>
        <v/>
      </c>
      <c r="D4" s="3" t="str">
        <f t="shared" si="5"/>
        <v/>
      </c>
      <c r="E4" s="3">
        <f t="shared" si="1"/>
        <v>0</v>
      </c>
      <c r="F4" s="3">
        <f t="shared" si="6"/>
        <v>0</v>
      </c>
      <c r="G4" s="3">
        <f t="shared" si="2"/>
        <v>0</v>
      </c>
      <c r="I4" s="151" t="str">
        <f t="shared" si="3"/>
        <v/>
      </c>
      <c r="J4" s="151" t="b">
        <f t="shared" si="4"/>
        <v>0</v>
      </c>
    </row>
    <row r="5" spans="1:11" x14ac:dyDescent="0.2">
      <c r="A5" s="3">
        <v>4</v>
      </c>
      <c r="B5" s="3">
        <v>1</v>
      </c>
      <c r="C5" s="3" t="str">
        <f t="shared" si="0"/>
        <v/>
      </c>
      <c r="D5" s="3" t="str">
        <f t="shared" si="5"/>
        <v/>
      </c>
      <c r="E5" s="3">
        <f t="shared" si="1"/>
        <v>0</v>
      </c>
      <c r="F5" s="3">
        <f t="shared" si="6"/>
        <v>0</v>
      </c>
      <c r="G5" s="3">
        <f t="shared" si="2"/>
        <v>0</v>
      </c>
      <c r="H5" s="201"/>
      <c r="I5" s="151" t="str">
        <f t="shared" si="3"/>
        <v/>
      </c>
      <c r="J5" s="151" t="b">
        <f t="shared" si="4"/>
        <v>0</v>
      </c>
    </row>
    <row r="6" spans="1:11" x14ac:dyDescent="0.2">
      <c r="A6" s="3">
        <v>5</v>
      </c>
      <c r="B6" s="3">
        <v>1</v>
      </c>
      <c r="C6" s="3" t="str">
        <f t="shared" si="0"/>
        <v/>
      </c>
      <c r="D6" s="3" t="str">
        <f t="shared" si="5"/>
        <v/>
      </c>
      <c r="E6" s="3">
        <f t="shared" si="1"/>
        <v>0</v>
      </c>
      <c r="F6" s="3">
        <f t="shared" si="6"/>
        <v>0</v>
      </c>
      <c r="G6" s="3">
        <f t="shared" si="2"/>
        <v>0</v>
      </c>
      <c r="H6" s="201"/>
      <c r="I6" s="151" t="str">
        <f t="shared" si="3"/>
        <v/>
      </c>
      <c r="J6" s="151" t="b">
        <f t="shared" si="4"/>
        <v>0</v>
      </c>
    </row>
    <row r="7" spans="1:11" x14ac:dyDescent="0.2">
      <c r="A7" s="3">
        <v>6</v>
      </c>
      <c r="B7" s="3">
        <v>1</v>
      </c>
      <c r="C7" s="3" t="str">
        <f t="shared" si="0"/>
        <v/>
      </c>
      <c r="D7" s="3" t="str">
        <f t="shared" si="5"/>
        <v/>
      </c>
      <c r="E7" s="3">
        <f t="shared" si="1"/>
        <v>0</v>
      </c>
      <c r="F7" s="3">
        <f t="shared" si="6"/>
        <v>0</v>
      </c>
      <c r="G7" s="3">
        <f t="shared" si="2"/>
        <v>0</v>
      </c>
      <c r="H7" s="201"/>
      <c r="I7" s="151" t="str">
        <f t="shared" si="3"/>
        <v/>
      </c>
      <c r="J7" s="151" t="b">
        <f t="shared" si="4"/>
        <v>0</v>
      </c>
    </row>
    <row r="8" spans="1:11" x14ac:dyDescent="0.2">
      <c r="A8" s="201" t="s">
        <v>163</v>
      </c>
      <c r="B8" s="201"/>
      <c r="C8" s="201"/>
      <c r="D8" s="201"/>
      <c r="E8" s="201" t="s">
        <v>260</v>
      </c>
      <c r="F8" s="201" t="s">
        <v>806</v>
      </c>
      <c r="G8" s="201" t="s">
        <v>259</v>
      </c>
      <c r="H8" s="201"/>
    </row>
    <row r="9" spans="1:11" x14ac:dyDescent="0.2">
      <c r="A9" s="201" t="s">
        <v>181</v>
      </c>
      <c r="B9" s="201"/>
      <c r="C9" s="201"/>
      <c r="D9" s="201" t="str">
        <f>IF(_Ped_Lijn_Opm="","","verw")</f>
        <v/>
      </c>
      <c r="E9" s="201">
        <f>SUM(E2:E8)</f>
        <v>0</v>
      </c>
      <c r="F9" s="201">
        <f>SUM(F2:F7)</f>
        <v>0</v>
      </c>
      <c r="G9" s="201">
        <f>SUM(G2:G8)</f>
        <v>0</v>
      </c>
      <c r="H9" s="201"/>
      <c r="I9" t="str">
        <f>IF(_Ped_Lijn_Opm="","",_Ped_Lijn_Opm)</f>
        <v/>
      </c>
    </row>
    <row r="10" spans="1:11" x14ac:dyDescent="0.2">
      <c r="A10" s="201"/>
      <c r="B10" s="201"/>
      <c r="C10" s="201"/>
      <c r="D10" s="201"/>
      <c r="E10" s="201"/>
      <c r="F10" s="201"/>
      <c r="G10" s="201"/>
      <c r="H10" s="201"/>
    </row>
    <row r="11" spans="1:11" x14ac:dyDescent="0.2">
      <c r="A11" s="201"/>
      <c r="B11" s="201"/>
      <c r="C11" s="201"/>
      <c r="D11" s="201"/>
      <c r="E11" s="201"/>
      <c r="F11" s="201"/>
      <c r="G11" s="201"/>
      <c r="H11" s="201"/>
    </row>
    <row r="12" spans="1:11" x14ac:dyDescent="0.2">
      <c r="A12" s="1" t="s">
        <v>200</v>
      </c>
      <c r="B12" s="1" t="s">
        <v>53</v>
      </c>
      <c r="C12" s="1" t="s">
        <v>154</v>
      </c>
      <c r="D12">
        <v>30</v>
      </c>
      <c r="E12">
        <v>70</v>
      </c>
      <c r="F12" s="1" t="s">
        <v>3291</v>
      </c>
      <c r="G12" s="201"/>
      <c r="H12" s="201"/>
      <c r="I12" s="152" t="s">
        <v>4822</v>
      </c>
    </row>
    <row r="13" spans="1:11" x14ac:dyDescent="0.2">
      <c r="A13">
        <v>1</v>
      </c>
      <c r="B13">
        <v>1</v>
      </c>
      <c r="C13" s="1" t="s">
        <v>196</v>
      </c>
      <c r="D13">
        <v>1</v>
      </c>
      <c r="E13">
        <v>10</v>
      </c>
      <c r="F13" t="str">
        <f>IF(_Ped_PM_Actief&gt;1,"verw","")</f>
        <v/>
      </c>
      <c r="G13" s="201"/>
      <c r="H13" s="201"/>
      <c r="I13" t="str">
        <f>IF(_Ped_PM_Actief&gt;1,PedGuiLijnPM!D21&amp;" "&amp;INDEX(Tbl_Ped_PM_Positie,_Ped_PM_Actief),"")</f>
        <v/>
      </c>
    </row>
    <row r="14" spans="1:11" x14ac:dyDescent="0.2">
      <c r="C14" s="1" t="s">
        <v>197</v>
      </c>
      <c r="D14">
        <v>1</v>
      </c>
      <c r="E14">
        <v>10</v>
      </c>
      <c r="F14" t="str">
        <f>IF(_Ped_PM_Actief&gt;1,"stand","")</f>
        <v/>
      </c>
      <c r="G14" s="201"/>
      <c r="H14" s="201"/>
      <c r="I14" t="str">
        <f>IF(_Ped_PM_Actief&gt;1,PedGuiLijnPM!$G$21&amp;" "&amp;INDEX(Tbl_Ped_PM_Modus,_Ped_PM_Mod),"")</f>
        <v/>
      </c>
    </row>
    <row r="15" spans="1:11" x14ac:dyDescent="0.2">
      <c r="C15" s="1" t="s">
        <v>198</v>
      </c>
      <c r="D15">
        <v>20</v>
      </c>
      <c r="E15">
        <v>170</v>
      </c>
      <c r="F15"/>
      <c r="G15" s="201"/>
      <c r="H15" s="201"/>
      <c r="I15" t="str">
        <f>IF(_Ped_PM_Actief&gt;1,PedGuiLijnPM!D23&amp;" "&amp;PedGuiLijnPM!E23,"")</f>
        <v/>
      </c>
    </row>
    <row r="16" spans="1:11" x14ac:dyDescent="0.2">
      <c r="C16" s="1" t="s">
        <v>199</v>
      </c>
      <c r="D16">
        <v>2</v>
      </c>
      <c r="E16">
        <v>20</v>
      </c>
      <c r="F16"/>
      <c r="G16" s="201"/>
      <c r="H16" s="201"/>
      <c r="I16" s="151" t="str">
        <f>IF(_Ped_PM_Actief&gt;1,PedGuiLijnPM!D25&amp;" "&amp;PedGuiLijnPM!E25,"")</f>
        <v/>
      </c>
    </row>
    <row r="17" spans="1:9" x14ac:dyDescent="0.2">
      <c r="C17" s="1" t="s">
        <v>225</v>
      </c>
      <c r="D17">
        <v>10</v>
      </c>
      <c r="E17">
        <v>20</v>
      </c>
      <c r="F17"/>
      <c r="G17" s="201"/>
      <c r="H17" s="201"/>
      <c r="I17" s="151" t="str">
        <f>IF(_Ped_PM_Actief&gt;1,PedGuiLijnPM!D26&amp;" "&amp;PedGuiLijnPM!E26,"")</f>
        <v/>
      </c>
    </row>
    <row r="18" spans="1:9" x14ac:dyDescent="0.2">
      <c r="A18" s="201"/>
      <c r="B18" s="201"/>
      <c r="C18" s="201"/>
      <c r="D18" s="201"/>
      <c r="E18" s="201"/>
      <c r="F18" s="201"/>
      <c r="G18" s="201"/>
      <c r="H18" s="201"/>
      <c r="I18" s="151" t="str">
        <f>IF(_Ped_PM_Actief&gt;1,PedGuiLijnPM!D28&amp;" "&amp;PedGuiLijnPM!E28,"")</f>
        <v/>
      </c>
    </row>
    <row r="19" spans="1:9" x14ac:dyDescent="0.2">
      <c r="A19" s="201"/>
      <c r="B19" s="201"/>
      <c r="C19" s="201"/>
      <c r="D19" s="201"/>
      <c r="E19" s="201"/>
      <c r="F19" s="201"/>
      <c r="G19" s="201"/>
      <c r="H19" s="201"/>
      <c r="I19" s="151" t="str">
        <f>IF(_Ped_PM_Actief&gt;1,PedGuiLijnPM!D30&amp;" "&amp;PedGuiLijnPM!E30,"")</f>
        <v/>
      </c>
    </row>
    <row r="20" spans="1:9" x14ac:dyDescent="0.2">
      <c r="A20" s="201"/>
      <c r="B20" s="201"/>
      <c r="C20" s="201"/>
      <c r="D20" s="201"/>
      <c r="E20" s="201"/>
      <c r="F20" s="201"/>
      <c r="G20" s="201"/>
      <c r="H20" s="201"/>
      <c r="I20" s="151" t="str">
        <f>IF(_Ped_PM_Actief&gt;1,PedGuiLijnPM!D31&amp;" "&amp;PedGuiLijnPM!E31,"")</f>
        <v/>
      </c>
    </row>
    <row r="21" spans="1:9" x14ac:dyDescent="0.2">
      <c r="A21" s="201"/>
      <c r="B21" s="201"/>
      <c r="C21" s="201"/>
      <c r="D21" s="201"/>
      <c r="E21" s="201"/>
      <c r="F21" s="201"/>
      <c r="G21" s="201"/>
      <c r="H21" s="201"/>
      <c r="I21" s="151" t="str">
        <f>IF(_Ped_PM_Actief&gt;1,ConcatenateRange(I13:I20," "),"")</f>
        <v/>
      </c>
    </row>
    <row r="22" spans="1:9" x14ac:dyDescent="0.2">
      <c r="A22" s="201"/>
      <c r="B22" s="201"/>
      <c r="C22" s="201"/>
      <c r="D22" s="201"/>
      <c r="E22" s="201"/>
      <c r="F22" s="201"/>
      <c r="G22" s="201"/>
      <c r="H22" s="201"/>
      <c r="I22" s="151" t="str">
        <f>IF(_Ped_PM_Actief&gt;1,PedGuiLijnPM!D33&amp;" "&amp;PedGuiLijnPM!E33,"")</f>
        <v/>
      </c>
    </row>
    <row r="23" spans="1:9" x14ac:dyDescent="0.2">
      <c r="A23" s="201"/>
      <c r="B23" s="201"/>
      <c r="C23" s="201"/>
      <c r="D23" s="201"/>
      <c r="E23" s="201"/>
      <c r="F23" s="201"/>
      <c r="G23" s="201"/>
      <c r="H23" s="201"/>
      <c r="I23" s="151" t="str">
        <f>IF(_Ped_PM_Actief&gt;1,PedGuiLijnPM!D34&amp;" "&amp;PedGuiLijnPM!E34,"")</f>
        <v/>
      </c>
    </row>
    <row r="24" spans="1:9" x14ac:dyDescent="0.2">
      <c r="A24" s="201"/>
      <c r="B24" s="201"/>
      <c r="C24" s="201"/>
      <c r="D24" s="201"/>
      <c r="E24" s="201"/>
      <c r="F24" s="201"/>
      <c r="G24" s="201"/>
      <c r="H24" s="201"/>
    </row>
    <row r="25" spans="1:9" x14ac:dyDescent="0.2">
      <c r="A25" s="201"/>
      <c r="B25" s="201"/>
      <c r="C25" s="201"/>
      <c r="D25" s="201"/>
      <c r="E25" s="201"/>
      <c r="F25" s="201"/>
      <c r="G25" s="201"/>
      <c r="H25" s="201"/>
    </row>
    <row r="26" spans="1:9" x14ac:dyDescent="0.2">
      <c r="A26" s="201"/>
      <c r="B26" s="201"/>
      <c r="C26" s="201"/>
      <c r="D26" s="201"/>
      <c r="E26" s="201"/>
      <c r="F26" s="201"/>
      <c r="G26" s="201"/>
      <c r="H26" s="201"/>
    </row>
    <row r="27" spans="1:9" x14ac:dyDescent="0.2">
      <c r="A27" s="201"/>
      <c r="B27" s="201"/>
      <c r="C27" s="201"/>
      <c r="D27" s="201"/>
      <c r="E27" s="201"/>
      <c r="F27" s="201"/>
      <c r="G27" s="201"/>
      <c r="H27" s="201"/>
    </row>
    <row r="28" spans="1:9" x14ac:dyDescent="0.2">
      <c r="A28" s="201"/>
      <c r="B28" s="201"/>
      <c r="C28" s="201"/>
      <c r="D28" s="201"/>
      <c r="E28" s="201"/>
      <c r="F28" s="201"/>
      <c r="G28" s="201"/>
      <c r="H28" s="201"/>
    </row>
    <row r="29" spans="1:9" x14ac:dyDescent="0.2">
      <c r="A29" s="201"/>
      <c r="B29" s="201"/>
      <c r="C29" s="201"/>
      <c r="D29" s="201"/>
      <c r="E29" s="201"/>
      <c r="F29" s="201"/>
      <c r="G29" s="201"/>
      <c r="H29" s="201"/>
    </row>
    <row r="30" spans="1:9" x14ac:dyDescent="0.2">
      <c r="A30" s="201"/>
      <c r="B30" s="201"/>
      <c r="C30" s="201"/>
      <c r="D30" s="201"/>
      <c r="E30" s="201"/>
      <c r="F30" s="201"/>
      <c r="G30" s="201"/>
      <c r="H30" s="201"/>
    </row>
    <row r="31" spans="1:9" x14ac:dyDescent="0.2">
      <c r="A31" s="201"/>
      <c r="B31" s="201"/>
      <c r="C31" s="201"/>
      <c r="D31" s="201"/>
      <c r="E31" s="201"/>
      <c r="F31" s="201"/>
      <c r="G31" s="201"/>
      <c r="H31" s="201"/>
    </row>
    <row r="32" spans="1:9" x14ac:dyDescent="0.2">
      <c r="A32" s="201"/>
      <c r="B32" s="201"/>
      <c r="C32" s="201"/>
      <c r="D32" s="201"/>
      <c r="E32" s="201"/>
      <c r="F32" s="201"/>
      <c r="G32" s="201"/>
      <c r="H32" s="201"/>
    </row>
    <row r="33" spans="1:8" x14ac:dyDescent="0.2">
      <c r="A33" s="201"/>
      <c r="B33" s="201"/>
      <c r="C33" s="201"/>
      <c r="D33" s="201"/>
      <c r="E33" s="201"/>
      <c r="F33" s="201"/>
      <c r="G33" s="201"/>
      <c r="H33" s="201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G34"/>
  <sheetViews>
    <sheetView workbookViewId="0">
      <selection activeCell="A2" sqref="A2:E34"/>
    </sheetView>
  </sheetViews>
  <sheetFormatPr defaultRowHeight="12.75" x14ac:dyDescent="0.2"/>
  <cols>
    <col min="1" max="1" width="69.5703125" customWidth="1"/>
    <col min="5" max="5" width="22.5703125" style="151" customWidth="1"/>
    <col min="6" max="7" width="18.7109375" customWidth="1"/>
  </cols>
  <sheetData>
    <row r="1" spans="1:7" s="1" customFormat="1" x14ac:dyDescent="0.2">
      <c r="A1" s="1" t="s">
        <v>812</v>
      </c>
      <c r="B1" s="1" t="s">
        <v>365</v>
      </c>
      <c r="C1" s="1" t="s">
        <v>170</v>
      </c>
      <c r="D1" s="1" t="s">
        <v>449</v>
      </c>
      <c r="E1" s="1" t="s">
        <v>7416</v>
      </c>
      <c r="F1" s="1" t="s">
        <v>815</v>
      </c>
      <c r="G1" s="1" t="s">
        <v>816</v>
      </c>
    </row>
    <row r="2" spans="1:7" x14ac:dyDescent="0.2">
      <c r="A2" s="187"/>
      <c r="B2" s="151"/>
      <c r="C2" s="151"/>
      <c r="E2" s="152" t="b">
        <v>0</v>
      </c>
      <c r="F2" s="151"/>
      <c r="G2" s="151"/>
    </row>
    <row r="3" spans="1:7" x14ac:dyDescent="0.2">
      <c r="A3" s="3" t="s">
        <v>112</v>
      </c>
      <c r="B3" s="151"/>
      <c r="C3" s="151"/>
      <c r="E3" s="152" t="b">
        <v>0</v>
      </c>
      <c r="F3" s="151" t="s">
        <v>283</v>
      </c>
      <c r="G3" s="151" t="s">
        <v>193</v>
      </c>
    </row>
    <row r="4" spans="1:7" x14ac:dyDescent="0.2">
      <c r="A4" s="199" t="s">
        <v>820</v>
      </c>
      <c r="B4" s="200">
        <v>48</v>
      </c>
      <c r="C4" s="200">
        <v>7.44</v>
      </c>
      <c r="D4" s="200">
        <v>7.44</v>
      </c>
      <c r="E4" s="152" t="b">
        <v>0</v>
      </c>
      <c r="F4" s="151" t="s">
        <v>191</v>
      </c>
      <c r="G4" s="151" t="s">
        <v>194</v>
      </c>
    </row>
    <row r="5" spans="1:7" x14ac:dyDescent="0.2">
      <c r="A5" s="199" t="s">
        <v>821</v>
      </c>
      <c r="B5" s="200">
        <v>72</v>
      </c>
      <c r="C5" s="200">
        <v>11.16</v>
      </c>
      <c r="D5" s="200">
        <v>11.16</v>
      </c>
      <c r="E5" s="152" t="b">
        <v>0</v>
      </c>
      <c r="F5" s="151" t="s">
        <v>192</v>
      </c>
      <c r="G5" s="151" t="s">
        <v>195</v>
      </c>
    </row>
    <row r="6" spans="1:7" x14ac:dyDescent="0.2">
      <c r="A6" s="199" t="s">
        <v>792</v>
      </c>
      <c r="B6" s="201"/>
      <c r="C6" s="201"/>
      <c r="E6" s="152" t="b">
        <v>1</v>
      </c>
    </row>
    <row r="7" spans="1:7" x14ac:dyDescent="0.2">
      <c r="A7" s="199" t="s">
        <v>822</v>
      </c>
      <c r="B7" s="200">
        <v>48</v>
      </c>
      <c r="C7" s="200">
        <v>7.44</v>
      </c>
      <c r="D7" s="200">
        <v>7.44</v>
      </c>
      <c r="E7" s="152" t="b">
        <v>1</v>
      </c>
    </row>
    <row r="8" spans="1:7" x14ac:dyDescent="0.2">
      <c r="A8" s="199" t="s">
        <v>823</v>
      </c>
      <c r="B8" s="200">
        <v>72</v>
      </c>
      <c r="C8" s="200">
        <v>11.16</v>
      </c>
      <c r="D8" s="200">
        <v>11.16</v>
      </c>
      <c r="E8" s="152" t="b">
        <v>1</v>
      </c>
    </row>
    <row r="9" spans="1:7" x14ac:dyDescent="0.2">
      <c r="A9" s="199" t="s">
        <v>69</v>
      </c>
      <c r="B9" s="201"/>
      <c r="C9" s="201"/>
      <c r="E9" s="152" t="b">
        <v>1</v>
      </c>
    </row>
    <row r="10" spans="1:7" x14ac:dyDescent="0.2">
      <c r="A10" s="199" t="s">
        <v>309</v>
      </c>
      <c r="B10" s="201"/>
      <c r="C10" s="201"/>
      <c r="E10" s="152" t="b">
        <v>1</v>
      </c>
    </row>
    <row r="11" spans="1:7" x14ac:dyDescent="0.2">
      <c r="A11" s="199" t="s">
        <v>310</v>
      </c>
      <c r="B11" s="201"/>
      <c r="C11" s="201"/>
      <c r="E11" s="152" t="b">
        <v>1</v>
      </c>
    </row>
    <row r="12" spans="1:7" x14ac:dyDescent="0.2">
      <c r="A12" s="199" t="s">
        <v>262</v>
      </c>
      <c r="B12" s="201"/>
      <c r="C12" s="201"/>
      <c r="E12" s="152" t="b">
        <v>1</v>
      </c>
    </row>
    <row r="13" spans="1:7" x14ac:dyDescent="0.2">
      <c r="A13" s="199" t="s">
        <v>263</v>
      </c>
      <c r="B13" s="201"/>
      <c r="C13" s="201"/>
      <c r="E13" s="152" t="b">
        <v>1</v>
      </c>
    </row>
    <row r="14" spans="1:7" x14ac:dyDescent="0.2">
      <c r="A14" s="199" t="s">
        <v>92</v>
      </c>
      <c r="B14" s="201"/>
      <c r="C14" s="201"/>
      <c r="E14" s="152" t="b">
        <v>1</v>
      </c>
    </row>
    <row r="15" spans="1:7" x14ac:dyDescent="0.2">
      <c r="A15" s="199" t="s">
        <v>824</v>
      </c>
      <c r="B15" s="200">
        <v>48</v>
      </c>
      <c r="C15" s="200">
        <v>7.44</v>
      </c>
      <c r="D15" s="200">
        <v>7.44</v>
      </c>
      <c r="E15" s="152" t="b">
        <v>1</v>
      </c>
    </row>
    <row r="16" spans="1:7" x14ac:dyDescent="0.2">
      <c r="A16" s="199" t="s">
        <v>825</v>
      </c>
      <c r="B16" s="200">
        <v>72</v>
      </c>
      <c r="C16" s="200">
        <v>11.16</v>
      </c>
      <c r="D16" s="200">
        <v>11.16</v>
      </c>
      <c r="E16" s="152" t="b">
        <v>1</v>
      </c>
    </row>
    <row r="17" spans="1:5" x14ac:dyDescent="0.2">
      <c r="A17" s="199" t="s">
        <v>136</v>
      </c>
      <c r="E17" s="152" t="b">
        <v>1</v>
      </c>
    </row>
    <row r="18" spans="1:5" x14ac:dyDescent="0.2">
      <c r="A18" s="199" t="s">
        <v>309</v>
      </c>
      <c r="E18" s="152" t="b">
        <v>1</v>
      </c>
    </row>
    <row r="19" spans="1:5" x14ac:dyDescent="0.2">
      <c r="A19" s="199" t="s">
        <v>310</v>
      </c>
      <c r="E19" s="152" t="b">
        <v>1</v>
      </c>
    </row>
    <row r="20" spans="1:5" x14ac:dyDescent="0.2">
      <c r="A20" s="199" t="s">
        <v>264</v>
      </c>
      <c r="E20" s="152" t="b">
        <v>1</v>
      </c>
    </row>
    <row r="21" spans="1:5" x14ac:dyDescent="0.2">
      <c r="A21" s="199" t="s">
        <v>242</v>
      </c>
      <c r="E21" s="152" t="b">
        <v>1</v>
      </c>
    </row>
    <row r="22" spans="1:5" x14ac:dyDescent="0.2">
      <c r="A22" s="199" t="s">
        <v>111</v>
      </c>
      <c r="E22" s="152" t="b">
        <v>0</v>
      </c>
    </row>
    <row r="23" spans="1:5" x14ac:dyDescent="0.2">
      <c r="A23" s="199" t="s">
        <v>243</v>
      </c>
      <c r="E23" s="152" t="b">
        <v>0</v>
      </c>
    </row>
    <row r="24" spans="1:5" x14ac:dyDescent="0.2">
      <c r="A24" s="199" t="s">
        <v>231</v>
      </c>
      <c r="E24" s="152" t="b">
        <v>0</v>
      </c>
    </row>
    <row r="25" spans="1:5" x14ac:dyDescent="0.2">
      <c r="A25" s="199" t="s">
        <v>826</v>
      </c>
      <c r="E25" s="152" t="b">
        <v>0</v>
      </c>
    </row>
    <row r="26" spans="1:5" x14ac:dyDescent="0.2">
      <c r="A26" s="199" t="s">
        <v>297</v>
      </c>
      <c r="E26" s="152" t="b">
        <v>0</v>
      </c>
    </row>
    <row r="27" spans="1:5" x14ac:dyDescent="0.2">
      <c r="A27" s="199" t="s">
        <v>295</v>
      </c>
      <c r="E27" s="152" t="b">
        <v>0</v>
      </c>
    </row>
    <row r="28" spans="1:5" x14ac:dyDescent="0.2">
      <c r="A28" s="199" t="s">
        <v>296</v>
      </c>
      <c r="E28" s="152" t="b">
        <v>0</v>
      </c>
    </row>
    <row r="29" spans="1:5" x14ac:dyDescent="0.2">
      <c r="A29" s="199" t="s">
        <v>827</v>
      </c>
      <c r="E29" s="152" t="b">
        <v>0</v>
      </c>
    </row>
    <row r="30" spans="1:5" x14ac:dyDescent="0.2">
      <c r="A30" s="199" t="s">
        <v>828</v>
      </c>
      <c r="E30" s="152" t="b">
        <v>0</v>
      </c>
    </row>
    <row r="31" spans="1:5" x14ac:dyDescent="0.2">
      <c r="A31" s="199" t="s">
        <v>324</v>
      </c>
      <c r="E31" s="152" t="b">
        <v>0</v>
      </c>
    </row>
    <row r="32" spans="1:5" x14ac:dyDescent="0.2">
      <c r="A32" s="199" t="s">
        <v>325</v>
      </c>
      <c r="E32" s="152" t="b">
        <v>0</v>
      </c>
    </row>
    <row r="33" spans="1:5" x14ac:dyDescent="0.2">
      <c r="A33" s="199" t="s">
        <v>852</v>
      </c>
      <c r="B33" s="200"/>
      <c r="C33" s="200"/>
      <c r="E33" s="152" t="b">
        <v>1</v>
      </c>
    </row>
    <row r="34" spans="1:5" x14ac:dyDescent="0.2">
      <c r="A34" s="199" t="s">
        <v>847</v>
      </c>
      <c r="B34" s="200">
        <v>48</v>
      </c>
      <c r="C34" s="200">
        <v>7.44</v>
      </c>
      <c r="D34" s="200">
        <v>7.44</v>
      </c>
      <c r="E34" s="152" t="b">
        <v>1</v>
      </c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B1:Y48"/>
  <sheetViews>
    <sheetView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321" customWidth="1"/>
    <col min="2" max="3" width="6" style="321" customWidth="1"/>
    <col min="4" max="4" width="3.140625" style="321" customWidth="1"/>
    <col min="5" max="5" width="20.28515625" style="321" customWidth="1"/>
    <col min="6" max="7" width="13.7109375" style="321" customWidth="1"/>
    <col min="8" max="8" width="18.7109375" style="321" customWidth="1"/>
    <col min="9" max="9" width="20.85546875" style="321" customWidth="1"/>
    <col min="10" max="10" width="7.140625" style="321" customWidth="1"/>
    <col min="11" max="11" width="22" style="321" customWidth="1"/>
    <col min="12" max="13" width="13.7109375" style="321" customWidth="1"/>
    <col min="14" max="14" width="17.85546875" style="321" customWidth="1"/>
    <col min="15" max="15" width="18.7109375" style="321" customWidth="1"/>
    <col min="16" max="16" width="10.42578125" style="321" customWidth="1"/>
    <col min="17" max="18" width="9.140625" style="321"/>
    <col min="19" max="19" width="10.7109375" style="321" bestFit="1" customWidth="1"/>
    <col min="20" max="21" width="9.140625" style="321"/>
    <col min="22" max="22" width="10.7109375" style="321" bestFit="1" customWidth="1"/>
    <col min="23" max="16384" width="9.140625" style="321"/>
  </cols>
  <sheetData>
    <row r="1" spans="2:25" s="314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486"/>
      <c r="P1" s="486"/>
    </row>
    <row r="2" spans="2:25" s="314" customFormat="1" ht="17.25" customHeight="1" x14ac:dyDescent="0.2">
      <c r="B2" s="566"/>
      <c r="C2" s="566"/>
      <c r="D2" s="569"/>
      <c r="E2" s="566" t="s">
        <v>229</v>
      </c>
      <c r="F2" s="570" t="str">
        <f ca="1">Txt_Pat_AfspraakDat</f>
        <v>14-nov-2018</v>
      </c>
      <c r="G2" s="571"/>
      <c r="H2" s="569"/>
      <c r="I2" s="573" t="s">
        <v>3460</v>
      </c>
      <c r="J2" s="573"/>
      <c r="K2" s="569" t="str">
        <f>Txt_Pat_OpnameDat</f>
        <v/>
      </c>
      <c r="L2" s="566" t="str">
        <f>Txt_Pat_Gewicht</f>
        <v>Gewicht:</v>
      </c>
      <c r="M2" s="566"/>
      <c r="N2" s="569" t="str">
        <f>Txt_Pat_Bed</f>
        <v/>
      </c>
      <c r="O2" s="486"/>
      <c r="P2" s="486"/>
    </row>
    <row r="3" spans="2:25" s="314" customFormat="1" ht="17.25" customHeight="1" x14ac:dyDescent="0.2">
      <c r="B3" s="566"/>
      <c r="C3" s="566"/>
      <c r="D3" s="569"/>
      <c r="E3" s="566" t="s">
        <v>27</v>
      </c>
      <c r="F3" s="574" t="str">
        <f>Txt_Pat_FullName</f>
        <v/>
      </c>
      <c r="G3" s="574"/>
      <c r="H3" s="569"/>
      <c r="I3" s="573" t="s">
        <v>3461</v>
      </c>
      <c r="J3" s="573"/>
      <c r="K3" s="569" t="str">
        <f ca="1">Txt_Pat_GeboorteDat</f>
        <v/>
      </c>
      <c r="L3" s="566" t="str">
        <f>Txt_Pat_Lengte</f>
        <v>Lengte:</v>
      </c>
      <c r="M3" s="582"/>
      <c r="N3" s="583"/>
      <c r="O3" s="486"/>
      <c r="P3" s="487"/>
    </row>
    <row r="4" spans="2:25" s="314" customFormat="1" ht="17.25" customHeight="1" x14ac:dyDescent="0.2">
      <c r="B4" s="566"/>
      <c r="C4" s="566"/>
      <c r="D4" s="569"/>
      <c r="E4" s="584" t="s">
        <v>3457</v>
      </c>
      <c r="F4" s="569" t="str">
        <f>Txt_Pat_PatNo</f>
        <v/>
      </c>
      <c r="G4" s="571"/>
      <c r="H4" s="569"/>
      <c r="I4" s="577" t="s">
        <v>208</v>
      </c>
      <c r="J4" s="577"/>
      <c r="K4" s="569" t="str">
        <f ca="1">Txt_Pat_Leeftijd</f>
        <v/>
      </c>
      <c r="L4" s="566" t="str">
        <f>Txt_Pat_Oppervlak</f>
        <v>Lichamelijk oppervlak:</v>
      </c>
      <c r="M4" s="582"/>
      <c r="N4" s="583"/>
      <c r="O4" s="486"/>
      <c r="P4" s="486"/>
    </row>
    <row r="5" spans="2:25" s="314" customFormat="1" ht="8.1" customHeight="1" x14ac:dyDescent="0.2">
      <c r="B5" s="566"/>
      <c r="C5" s="566"/>
      <c r="D5" s="569"/>
      <c r="E5" s="566"/>
      <c r="F5" s="566"/>
      <c r="G5" s="571"/>
      <c r="H5" s="569"/>
      <c r="I5" s="577"/>
      <c r="J5" s="577"/>
      <c r="K5" s="569"/>
      <c r="L5" s="566"/>
      <c r="M5" s="583"/>
      <c r="N5" s="583"/>
      <c r="O5" s="486"/>
      <c r="P5" s="486"/>
    </row>
    <row r="6" spans="2:25" s="314" customFormat="1" ht="8.1" customHeight="1" x14ac:dyDescent="0.2">
      <c r="D6" s="312"/>
      <c r="F6" s="312"/>
      <c r="G6" s="313"/>
      <c r="H6" s="312"/>
      <c r="I6" s="319"/>
      <c r="J6" s="319"/>
      <c r="K6" s="312"/>
    </row>
    <row r="7" spans="2:25" s="314" customFormat="1" ht="20.100000000000001" customHeight="1" x14ac:dyDescent="0.2">
      <c r="B7" s="609" t="s">
        <v>3291</v>
      </c>
      <c r="C7" s="609"/>
      <c r="D7" s="618" t="s">
        <v>3458</v>
      </c>
      <c r="E7" s="609"/>
      <c r="F7" s="618"/>
      <c r="G7" s="619"/>
      <c r="H7" s="618"/>
      <c r="I7" s="620"/>
      <c r="J7" s="620" t="s">
        <v>3291</v>
      </c>
      <c r="K7" s="618"/>
      <c r="L7" s="609"/>
      <c r="M7" s="609"/>
      <c r="N7" s="609"/>
      <c r="O7" s="486"/>
    </row>
    <row r="8" spans="2:25" ht="8.1" customHeight="1" x14ac:dyDescent="0.2">
      <c r="C8" s="329"/>
      <c r="E8" s="328"/>
      <c r="F8" s="299"/>
      <c r="G8" s="300"/>
      <c r="H8" s="699"/>
      <c r="I8" s="301"/>
      <c r="J8" s="301"/>
      <c r="K8" s="699"/>
      <c r="L8" s="699"/>
      <c r="M8" s="699"/>
      <c r="N8" s="699"/>
    </row>
    <row r="9" spans="2:25" ht="20.100000000000001" customHeight="1" x14ac:dyDescent="0.2">
      <c r="B9" s="489" t="str">
        <f>PedBerEnt!G3</f>
        <v/>
      </c>
      <c r="C9" s="489"/>
      <c r="D9" s="597"/>
      <c r="E9" s="597" t="s">
        <v>113</v>
      </c>
      <c r="H9" s="597"/>
      <c r="I9" s="327"/>
      <c r="J9" s="327"/>
      <c r="K9" s="597" t="s">
        <v>3459</v>
      </c>
      <c r="L9" s="597"/>
      <c r="M9" s="597"/>
      <c r="Q9" s="330"/>
    </row>
    <row r="10" spans="2:25" ht="20.100000000000001" customHeight="1" thickBot="1" x14ac:dyDescent="0.25">
      <c r="B10" s="489"/>
      <c r="C10" s="489"/>
      <c r="E10" s="327"/>
      <c r="I10" s="327"/>
      <c r="J10" s="327"/>
      <c r="K10" s="602" t="str">
        <f>PedBerEnt!A11</f>
        <v>energy</v>
      </c>
      <c r="L10" s="438">
        <f>PedBerEnt!B11</f>
        <v>0</v>
      </c>
      <c r="M10" s="327" t="s">
        <v>4043</v>
      </c>
      <c r="O10" s="331"/>
      <c r="Q10" s="330"/>
    </row>
    <row r="11" spans="2:25" ht="20.100000000000001" customHeight="1" thickTop="1" thickBot="1" x14ac:dyDescent="0.25">
      <c r="B11" s="489"/>
      <c r="C11" s="489"/>
      <c r="D11" s="597"/>
      <c r="E11" s="601" t="s">
        <v>212</v>
      </c>
      <c r="F11" s="597"/>
      <c r="G11" s="597"/>
      <c r="H11" s="597"/>
      <c r="I11" s="328"/>
      <c r="J11" s="327"/>
      <c r="K11" s="602" t="str">
        <f>PedBerEnt!A12</f>
        <v>eiwit</v>
      </c>
      <c r="L11" s="423">
        <f>PedBerEnt!B12</f>
        <v>0</v>
      </c>
      <c r="M11" s="332" t="s">
        <v>29</v>
      </c>
    </row>
    <row r="12" spans="2:25" ht="20.100000000000001" customHeight="1" thickTop="1" thickBot="1" x14ac:dyDescent="0.25">
      <c r="B12" s="489" t="str">
        <f>PedBerEnt!G4</f>
        <v/>
      </c>
      <c r="C12" s="489"/>
      <c r="D12" s="597"/>
      <c r="E12" s="698" t="str">
        <f>PedBerEnt!H4</f>
        <v/>
      </c>
      <c r="F12" s="698" t="str">
        <f>IF(PedBerEnt!E4&lt;&gt;0,PedBerEnt!D4&amp;" ml","")</f>
        <v/>
      </c>
      <c r="I12" s="333" t="str">
        <f>PedBerEnt!J4</f>
        <v/>
      </c>
      <c r="J12" s="333"/>
      <c r="K12" s="602" t="str">
        <f>PedBerEnt!A13</f>
        <v>KH</v>
      </c>
      <c r="L12" s="423">
        <f>PedBerEnt!B13</f>
        <v>0</v>
      </c>
      <c r="M12" s="332" t="s">
        <v>29</v>
      </c>
      <c r="S12" s="334"/>
      <c r="T12" s="334"/>
      <c r="U12" s="334"/>
      <c r="V12" s="334"/>
      <c r="W12" s="334"/>
      <c r="X12" s="334"/>
      <c r="Y12" s="334"/>
    </row>
    <row r="13" spans="2:25" ht="20.100000000000001" customHeight="1" thickTop="1" thickBot="1" x14ac:dyDescent="0.25">
      <c r="B13" s="489"/>
      <c r="C13" s="489"/>
      <c r="D13" s="597"/>
      <c r="E13" s="597" t="s">
        <v>786</v>
      </c>
      <c r="F13" s="600"/>
      <c r="G13" s="597"/>
      <c r="H13" s="597"/>
      <c r="I13" s="333"/>
      <c r="J13" s="333"/>
      <c r="K13" s="603" t="str">
        <f>PedBerEnt!A14</f>
        <v>vet</v>
      </c>
      <c r="L13" s="423">
        <f>PedBerEnt!B14</f>
        <v>0</v>
      </c>
      <c r="M13" s="332" t="s">
        <v>29</v>
      </c>
      <c r="S13" s="334"/>
      <c r="T13" s="334"/>
      <c r="U13" s="334"/>
      <c r="V13" s="334"/>
      <c r="W13" s="334"/>
      <c r="X13" s="334"/>
      <c r="Y13" s="334"/>
    </row>
    <row r="14" spans="2:25" ht="20.100000000000001" customHeight="1" thickTop="1" thickBot="1" x14ac:dyDescent="0.25">
      <c r="B14" s="489" t="str">
        <f>PedBerEnt!$G5</f>
        <v/>
      </c>
      <c r="C14" s="489"/>
      <c r="D14" s="597"/>
      <c r="E14" s="698" t="str">
        <f>PedBerEnt!H5</f>
        <v/>
      </c>
      <c r="F14" s="698" t="str">
        <f>IF(PedBerEnt!F5&gt;1,PedBerEnt!D5&amp;" gram","")</f>
        <v/>
      </c>
      <c r="I14" s="333" t="str">
        <f>PedBerEnt!J5</f>
        <v/>
      </c>
      <c r="J14" s="333"/>
      <c r="K14" s="603" t="str">
        <f>PedBerEnt!A15</f>
        <v>Na</v>
      </c>
      <c r="L14" s="423">
        <f>PedBerEnt!B15</f>
        <v>0</v>
      </c>
      <c r="M14" s="332" t="s">
        <v>118</v>
      </c>
      <c r="S14" s="334"/>
      <c r="T14" s="334"/>
      <c r="U14" s="334"/>
      <c r="V14" s="334"/>
      <c r="W14" s="334"/>
      <c r="X14" s="334"/>
      <c r="Y14" s="334"/>
    </row>
    <row r="15" spans="2:25" ht="20.100000000000001" customHeight="1" thickTop="1" thickBot="1" x14ac:dyDescent="0.25">
      <c r="B15" s="489" t="str">
        <f>PedBerEnt!$G6</f>
        <v/>
      </c>
      <c r="C15" s="489"/>
      <c r="D15" s="597"/>
      <c r="E15" s="420" t="str">
        <f>PedBerEnt!H6</f>
        <v/>
      </c>
      <c r="F15" s="420" t="str">
        <f>IF(PedBerEnt!F6&gt;1,PedBerEnt!D6&amp;" gram","")</f>
        <v/>
      </c>
      <c r="I15" s="333" t="str">
        <f>PedBerEnt!J6</f>
        <v/>
      </c>
      <c r="J15" s="333"/>
      <c r="K15" s="603" t="str">
        <f>PedBerEnt!A16</f>
        <v>K</v>
      </c>
      <c r="L15" s="423">
        <f>PedBerEnt!B16</f>
        <v>0</v>
      </c>
      <c r="M15" s="332" t="s">
        <v>118</v>
      </c>
      <c r="S15" s="334"/>
      <c r="T15" s="334"/>
      <c r="U15" s="334"/>
      <c r="V15" s="334"/>
      <c r="W15" s="334"/>
      <c r="X15" s="334"/>
      <c r="Y15" s="334"/>
    </row>
    <row r="16" spans="2:25" ht="20.100000000000001" customHeight="1" thickTop="1" thickBot="1" x14ac:dyDescent="0.25">
      <c r="B16" s="489" t="str">
        <f>PedBerEnt!$G7</f>
        <v/>
      </c>
      <c r="C16" s="489"/>
      <c r="D16" s="597"/>
      <c r="E16" s="416" t="str">
        <f>PedBerEnt!H7</f>
        <v/>
      </c>
      <c r="F16" s="416" t="str">
        <f>IF(PedBerEnt!F7&gt;1,PedBerEnt!D7&amp;" gram","")</f>
        <v/>
      </c>
      <c r="I16" s="333" t="str">
        <f>PedBerEnt!J7</f>
        <v/>
      </c>
      <c r="J16" s="333"/>
      <c r="K16" s="603" t="str">
        <f>PedBerEnt!A17</f>
        <v>Ca</v>
      </c>
      <c r="L16" s="423">
        <f>PedBerEnt!B17</f>
        <v>0</v>
      </c>
      <c r="M16" s="332" t="s">
        <v>118</v>
      </c>
      <c r="S16" s="334"/>
      <c r="T16" s="334"/>
      <c r="U16" s="334"/>
      <c r="V16" s="334"/>
      <c r="W16" s="334"/>
      <c r="X16" s="334"/>
      <c r="Y16" s="334"/>
    </row>
    <row r="17" spans="2:25" ht="20.100000000000001" customHeight="1" thickTop="1" thickBot="1" x14ac:dyDescent="0.25">
      <c r="B17" s="489"/>
      <c r="C17" s="489"/>
      <c r="E17" s="308"/>
      <c r="F17" s="699"/>
      <c r="K17" s="602" t="str">
        <f>PedBerEnt!A18</f>
        <v>P</v>
      </c>
      <c r="L17" s="423">
        <f>PedBerEnt!B18</f>
        <v>0</v>
      </c>
      <c r="M17" s="332" t="s">
        <v>118</v>
      </c>
      <c r="O17" s="334"/>
      <c r="S17" s="334"/>
      <c r="T17" s="334"/>
      <c r="U17" s="334"/>
      <c r="V17" s="334"/>
      <c r="W17" s="334"/>
      <c r="X17" s="334"/>
      <c r="Y17" s="334"/>
    </row>
    <row r="18" spans="2:25" ht="20.100000000000001" customHeight="1" thickTop="1" thickBot="1" x14ac:dyDescent="0.25">
      <c r="B18" s="489" t="str">
        <f>PedBerEnt!$G9</f>
        <v/>
      </c>
      <c r="C18" s="489"/>
      <c r="D18" s="597"/>
      <c r="E18" s="602" t="s">
        <v>219</v>
      </c>
      <c r="F18" s="824">
        <f>_Ped_Ent_Opm</f>
        <v>0</v>
      </c>
      <c r="G18" s="825"/>
      <c r="H18" s="825"/>
      <c r="I18" s="825"/>
      <c r="J18" s="699"/>
      <c r="K18" s="603" t="str">
        <f>PedBerEnt!A19</f>
        <v>Mg</v>
      </c>
      <c r="L18" s="414">
        <f>PedBerEnt!B19</f>
        <v>0</v>
      </c>
      <c r="M18" s="332" t="s">
        <v>118</v>
      </c>
      <c r="O18" s="334"/>
      <c r="S18" s="334"/>
      <c r="T18" s="334"/>
      <c r="U18" s="334"/>
      <c r="V18" s="334"/>
      <c r="W18" s="334"/>
      <c r="X18" s="334"/>
      <c r="Y18" s="334"/>
    </row>
    <row r="19" spans="2:25" ht="8.1" customHeight="1" thickTop="1" x14ac:dyDescent="0.2">
      <c r="E19" s="335"/>
      <c r="F19" s="699"/>
      <c r="K19" s="327"/>
      <c r="L19" s="336"/>
      <c r="N19" s="334"/>
      <c r="O19" s="334"/>
      <c r="S19" s="334"/>
      <c r="T19" s="334"/>
      <c r="U19" s="334"/>
      <c r="V19" s="334"/>
      <c r="W19" s="334"/>
      <c r="X19" s="334"/>
      <c r="Y19" s="334"/>
    </row>
    <row r="20" spans="2:25" ht="20.100000000000001" customHeight="1" x14ac:dyDescent="0.2">
      <c r="B20" s="609" t="s">
        <v>3291</v>
      </c>
      <c r="C20" s="609"/>
      <c r="D20" s="609" t="s">
        <v>413</v>
      </c>
      <c r="E20" s="609"/>
      <c r="F20" s="609"/>
      <c r="G20" s="609"/>
      <c r="H20" s="609"/>
      <c r="I20" s="609"/>
      <c r="J20" s="609" t="s">
        <v>3291</v>
      </c>
      <c r="K20" s="616"/>
      <c r="L20" s="609"/>
      <c r="M20" s="621"/>
      <c r="N20" s="621"/>
      <c r="O20" s="492"/>
      <c r="S20" s="334"/>
      <c r="T20" s="334"/>
      <c r="U20" s="334"/>
      <c r="V20" s="334"/>
      <c r="W20" s="334"/>
      <c r="X20" s="334"/>
      <c r="Y20" s="334"/>
    </row>
    <row r="21" spans="2:25" ht="8.1" customHeight="1" thickBot="1" x14ac:dyDescent="0.25">
      <c r="C21" s="315"/>
      <c r="D21" s="315"/>
      <c r="E21" s="314"/>
      <c r="F21" s="315"/>
      <c r="G21" s="315"/>
      <c r="H21" s="315"/>
      <c r="I21" s="315"/>
      <c r="J21" s="315"/>
      <c r="K21" s="337"/>
      <c r="L21" s="315"/>
      <c r="M21" s="338"/>
      <c r="N21" s="338"/>
      <c r="O21" s="334"/>
      <c r="S21" s="334"/>
      <c r="T21" s="334"/>
      <c r="U21" s="334"/>
      <c r="V21" s="334"/>
      <c r="W21" s="334"/>
      <c r="X21" s="334"/>
      <c r="Y21" s="334"/>
    </row>
    <row r="22" spans="2:25" ht="20.100000000000001" customHeight="1" thickTop="1" thickBot="1" x14ac:dyDescent="0.25">
      <c r="B22" s="489" t="str">
        <f>PedBerTPN!Y3</f>
        <v/>
      </c>
      <c r="C22" s="489"/>
      <c r="D22" s="597"/>
      <c r="E22" s="602" t="s">
        <v>3465</v>
      </c>
      <c r="F22" s="414" t="str">
        <f>PedBerTPN!V3</f>
        <v/>
      </c>
      <c r="G22" s="328"/>
      <c r="H22" s="327"/>
      <c r="I22" s="328" t="str">
        <f>PedBerTPN!AB3</f>
        <v/>
      </c>
      <c r="J22" s="489" t="str">
        <f>PedBerTPN!Y21</f>
        <v/>
      </c>
      <c r="K22" s="602" t="s">
        <v>3474</v>
      </c>
      <c r="L22" s="438" t="str">
        <f>PedBerTPN!V21</f>
        <v/>
      </c>
      <c r="M22" s="327"/>
      <c r="N22" s="328" t="str">
        <f>PedBerTPN!AB21</f>
        <v/>
      </c>
      <c r="S22" s="334"/>
      <c r="W22" s="334"/>
      <c r="X22" s="334"/>
      <c r="Y22" s="334"/>
    </row>
    <row r="23" spans="2:25" ht="20.100000000000001" customHeight="1" thickTop="1" thickBot="1" x14ac:dyDescent="0.25">
      <c r="B23" s="489" t="str">
        <f>PedBerTPN!Y5</f>
        <v/>
      </c>
      <c r="C23" s="489" t="str">
        <f>PedBerTPN!Z5</f>
        <v/>
      </c>
      <c r="D23" s="597"/>
      <c r="E23" s="597"/>
      <c r="F23" s="327" t="str">
        <f>PedBerTPN!V5</f>
        <v/>
      </c>
      <c r="G23" s="438" t="str">
        <f>PedBerTPN!W5</f>
        <v/>
      </c>
      <c r="H23" s="328"/>
      <c r="I23" s="328" t="str">
        <f>PedBerTPN!AB5</f>
        <v/>
      </c>
      <c r="J23" s="489"/>
      <c r="K23" s="597"/>
      <c r="M23" s="332"/>
      <c r="N23" s="332"/>
      <c r="S23" s="334"/>
      <c r="W23" s="334"/>
      <c r="X23" s="334"/>
      <c r="Y23" s="334"/>
    </row>
    <row r="24" spans="2:25" ht="20.100000000000001" customHeight="1" thickTop="1" thickBot="1" x14ac:dyDescent="0.25">
      <c r="B24" s="489" t="str">
        <f>PedBerTPN!Y6</f>
        <v/>
      </c>
      <c r="C24" s="489"/>
      <c r="D24" s="597"/>
      <c r="E24" s="602" t="s">
        <v>3466</v>
      </c>
      <c r="F24" s="327" t="str">
        <f>PedBerTPN!V6</f>
        <v/>
      </c>
      <c r="G24" s="414" t="str">
        <f>PedBerTPN!W6</f>
        <v/>
      </c>
      <c r="H24" s="328" t="str">
        <f>IF(PedBerTPN!W7="",""," + "&amp;PedBerTPN!W7&amp;" gluc 10%")</f>
        <v/>
      </c>
      <c r="I24" s="328" t="str">
        <f>PedBerTPN!AB6</f>
        <v/>
      </c>
      <c r="J24" s="489"/>
      <c r="K24" s="597"/>
      <c r="L24" s="339" t="str">
        <f>PedBerTPN!W22</f>
        <v/>
      </c>
      <c r="M24" s="332"/>
      <c r="N24" s="332"/>
      <c r="S24" s="334"/>
      <c r="W24" s="334"/>
      <c r="X24" s="334"/>
      <c r="Y24" s="334"/>
    </row>
    <row r="25" spans="2:25" ht="20.100000000000001" customHeight="1" thickTop="1" x14ac:dyDescent="0.2">
      <c r="B25" s="489"/>
      <c r="C25" s="489"/>
      <c r="D25" s="597"/>
      <c r="E25" s="597"/>
      <c r="G25" s="780" t="str">
        <f>PedBerTPN!W8</f>
        <v/>
      </c>
      <c r="H25" s="490"/>
      <c r="I25" s="491"/>
      <c r="J25" s="488"/>
      <c r="K25" s="597"/>
      <c r="M25" s="327"/>
      <c r="N25" s="327"/>
      <c r="S25" s="334"/>
      <c r="W25" s="334"/>
      <c r="X25" s="334"/>
      <c r="Y25" s="334"/>
    </row>
    <row r="26" spans="2:25" ht="20.100000000000001" customHeight="1" thickBot="1" x14ac:dyDescent="0.25">
      <c r="B26" s="489" t="str">
        <f>PedBerTPN!Y9</f>
        <v/>
      </c>
      <c r="C26" s="489"/>
      <c r="D26" s="597"/>
      <c r="E26" s="602" t="s">
        <v>7891</v>
      </c>
      <c r="F26" s="327"/>
      <c r="G26" s="438" t="str">
        <f>PedBerTPN!W9</f>
        <v/>
      </c>
      <c r="H26" s="333"/>
      <c r="I26" s="328"/>
      <c r="J26" s="489" t="str">
        <f>PedBerTPN!Y23</f>
        <v/>
      </c>
      <c r="K26" s="602" t="s">
        <v>7891</v>
      </c>
      <c r="L26" s="438" t="str">
        <f>PedBerTPN!W23</f>
        <v/>
      </c>
      <c r="M26" s="327"/>
      <c r="N26" s="327"/>
      <c r="S26" s="334"/>
      <c r="W26" s="334"/>
      <c r="X26" s="334"/>
      <c r="Y26" s="334"/>
    </row>
    <row r="27" spans="2:25" ht="20.100000000000001" customHeight="1" thickTop="1" thickBot="1" x14ac:dyDescent="0.25">
      <c r="B27" s="489" t="str">
        <f>PedBerTPN!Y10</f>
        <v/>
      </c>
      <c r="C27" s="489"/>
      <c r="D27" s="597"/>
      <c r="E27" s="602" t="s">
        <v>3467</v>
      </c>
      <c r="F27" s="327"/>
      <c r="G27" s="414" t="str">
        <f>PedBerTPN!W10</f>
        <v/>
      </c>
      <c r="H27" s="333"/>
      <c r="I27" s="328"/>
      <c r="J27" s="489" t="str">
        <f>PedBerTPN!Y24</f>
        <v/>
      </c>
      <c r="K27" s="602" t="s">
        <v>3467</v>
      </c>
      <c r="L27" s="414" t="str">
        <f>PedBerTPN!W24</f>
        <v/>
      </c>
      <c r="M27" s="327"/>
      <c r="N27" s="327"/>
      <c r="S27" s="334"/>
      <c r="W27" s="334"/>
      <c r="X27" s="334"/>
      <c r="Y27" s="334"/>
    </row>
    <row r="28" spans="2:25" ht="9.9499999999999993" customHeight="1" thickTop="1" x14ac:dyDescent="0.2">
      <c r="B28" s="489"/>
      <c r="C28" s="489"/>
      <c r="D28" s="597"/>
      <c r="E28" s="602"/>
      <c r="F28" s="327"/>
      <c r="G28" s="330"/>
      <c r="H28" s="333"/>
      <c r="I28" s="328"/>
      <c r="J28" s="327"/>
      <c r="K28" s="308"/>
      <c r="M28" s="330"/>
      <c r="N28" s="330"/>
      <c r="S28" s="334"/>
      <c r="W28" s="334"/>
      <c r="X28" s="334"/>
      <c r="Y28" s="334"/>
    </row>
    <row r="29" spans="2:25" ht="20.100000000000001" customHeight="1" thickBot="1" x14ac:dyDescent="0.25">
      <c r="B29" s="489" t="str">
        <f>PedBerTPN!Y12</f>
        <v/>
      </c>
      <c r="C29" s="489"/>
      <c r="D29" s="597"/>
      <c r="E29" s="602" t="s">
        <v>3468</v>
      </c>
      <c r="F29" s="327" t="str">
        <f>PedBerTPN!V11</f>
        <v/>
      </c>
      <c r="G29" s="438" t="str">
        <f>PedBerTPN!W12</f>
        <v/>
      </c>
      <c r="H29" s="328" t="str">
        <f>IF(PedBerTPN!W11="",""," + "&amp;PedBerTPN!W11&amp;" gluc 10%")</f>
        <v/>
      </c>
      <c r="I29" s="328" t="str">
        <f>PedBerTPN!AB11</f>
        <v/>
      </c>
      <c r="J29" s="327"/>
      <c r="K29" s="308"/>
      <c r="M29" s="334"/>
      <c r="N29" s="334"/>
      <c r="O29" s="334"/>
      <c r="Q29" s="334"/>
      <c r="R29" s="334"/>
      <c r="S29" s="334"/>
      <c r="W29" s="334"/>
      <c r="X29" s="334"/>
      <c r="Y29" s="334"/>
    </row>
    <row r="30" spans="2:25" ht="20.100000000000001" customHeight="1" thickTop="1" thickBot="1" x14ac:dyDescent="0.25">
      <c r="B30" s="489" t="str">
        <f>PedBerTPN!Y13</f>
        <v/>
      </c>
      <c r="C30" s="489"/>
      <c r="D30" s="597"/>
      <c r="E30" s="602" t="s">
        <v>7428</v>
      </c>
      <c r="F30" s="327"/>
      <c r="G30" s="414" t="str">
        <f>PedBerTPN!W13</f>
        <v/>
      </c>
      <c r="H30" s="333"/>
      <c r="I30" s="328"/>
      <c r="J30" s="339"/>
      <c r="M30" s="334"/>
      <c r="N30" s="334"/>
      <c r="O30" s="334"/>
      <c r="P30" s="334"/>
      <c r="Q30" s="334"/>
      <c r="R30" s="334"/>
      <c r="S30" s="334"/>
      <c r="W30" s="334"/>
      <c r="X30" s="334"/>
      <c r="Y30" s="334"/>
    </row>
    <row r="31" spans="2:25" ht="9.9499999999999993" customHeight="1" thickTop="1" x14ac:dyDescent="0.2">
      <c r="B31" s="489"/>
      <c r="C31" s="489"/>
      <c r="E31" s="326"/>
      <c r="F31" s="327"/>
      <c r="G31" s="330"/>
      <c r="H31" s="333"/>
      <c r="I31" s="328"/>
      <c r="J31" s="327"/>
      <c r="M31" s="334"/>
      <c r="N31" s="334"/>
      <c r="O31" s="334"/>
      <c r="P31" s="334"/>
      <c r="Q31" s="334"/>
      <c r="R31" s="334"/>
      <c r="S31" s="334"/>
      <c r="W31" s="334"/>
      <c r="X31" s="334"/>
      <c r="Y31" s="334"/>
    </row>
    <row r="32" spans="2:25" ht="20.100000000000001" customHeight="1" x14ac:dyDescent="0.2">
      <c r="B32" s="489" t="str">
        <f>PedBerTPN!Y15</f>
        <v/>
      </c>
      <c r="C32" s="489"/>
      <c r="D32" s="597"/>
      <c r="E32" s="602" t="s">
        <v>4735</v>
      </c>
      <c r="F32" s="327" t="str">
        <f>PedBerTPN!V14</f>
        <v/>
      </c>
      <c r="G32" s="438" t="str">
        <f>PedBerTPN!W15</f>
        <v/>
      </c>
      <c r="H32" s="328" t="str">
        <f>IF(PedBerTPN!W14="",""," + "&amp;PedBerTPN!W14&amp;" gluc 5%")</f>
        <v/>
      </c>
      <c r="I32" s="328" t="str">
        <f>PedBerTPN!AB14</f>
        <v/>
      </c>
      <c r="J32" s="327"/>
      <c r="M32" s="334"/>
      <c r="N32" s="334"/>
      <c r="O32" s="334"/>
      <c r="P32" s="334"/>
      <c r="Q32" s="334"/>
      <c r="R32" s="334"/>
      <c r="S32" s="334"/>
      <c r="W32" s="334"/>
      <c r="X32" s="334"/>
      <c r="Y32" s="334"/>
    </row>
    <row r="33" spans="2:25" ht="8.1" customHeight="1" x14ac:dyDescent="0.2">
      <c r="B33" s="489"/>
      <c r="C33" s="489"/>
      <c r="D33" s="315"/>
      <c r="E33" s="326"/>
      <c r="G33" s="330"/>
      <c r="H33" s="327"/>
      <c r="I33" s="328"/>
      <c r="J33" s="327"/>
      <c r="M33" s="334"/>
      <c r="N33" s="334"/>
      <c r="O33" s="334"/>
      <c r="P33" s="334"/>
      <c r="Q33" s="334"/>
      <c r="R33" s="334"/>
      <c r="S33" s="334"/>
      <c r="W33" s="334"/>
      <c r="X33" s="334"/>
      <c r="Y33" s="334"/>
    </row>
    <row r="34" spans="2:25" ht="20.100000000000001" customHeight="1" x14ac:dyDescent="0.2">
      <c r="B34" s="489" t="str">
        <f>PedBerTPN!Y16</f>
        <v/>
      </c>
      <c r="C34" s="489"/>
      <c r="D34" s="597"/>
      <c r="E34" s="602" t="s">
        <v>3469</v>
      </c>
      <c r="F34" s="438" t="str">
        <f>PedBerTPN!V16</f>
        <v/>
      </c>
      <c r="G34" s="327"/>
      <c r="H34" s="327"/>
      <c r="I34" s="328" t="str">
        <f>PedBerTPN!AB16</f>
        <v/>
      </c>
      <c r="J34" s="327"/>
      <c r="M34" s="334"/>
      <c r="N34" s="334"/>
      <c r="O34" s="334"/>
      <c r="P34" s="334"/>
      <c r="Q34" s="334"/>
      <c r="R34" s="334"/>
      <c r="S34" s="334"/>
      <c r="W34" s="334"/>
      <c r="X34" s="334"/>
      <c r="Y34" s="334"/>
    </row>
    <row r="35" spans="2:25" ht="20.100000000000001" customHeight="1" x14ac:dyDescent="0.2">
      <c r="B35" s="489"/>
      <c r="C35" s="489"/>
      <c r="D35" s="597"/>
      <c r="E35" s="602" t="s">
        <v>3470</v>
      </c>
      <c r="F35" s="327"/>
      <c r="G35" s="327" t="str">
        <f>PedBerTPN!W17</f>
        <v/>
      </c>
      <c r="H35" s="327"/>
      <c r="I35" s="328"/>
      <c r="J35" s="327"/>
      <c r="M35" s="334"/>
      <c r="N35" s="334"/>
      <c r="O35" s="334"/>
      <c r="P35" s="334"/>
      <c r="Q35" s="334"/>
      <c r="R35" s="334"/>
      <c r="S35" s="334"/>
      <c r="W35" s="334"/>
      <c r="X35" s="334"/>
      <c r="Y35" s="334"/>
    </row>
    <row r="36" spans="2:25" ht="20.100000000000001" customHeight="1" thickBot="1" x14ac:dyDescent="0.25">
      <c r="B36" s="489" t="str">
        <f>PedBerTPN!Y18</f>
        <v/>
      </c>
      <c r="C36" s="489"/>
      <c r="D36" s="597"/>
      <c r="E36" s="602" t="s">
        <v>3471</v>
      </c>
      <c r="F36" s="327"/>
      <c r="G36" s="438" t="str">
        <f>PedBerTPN!W18</f>
        <v/>
      </c>
      <c r="H36" s="327"/>
      <c r="I36" s="328"/>
      <c r="J36" s="327"/>
      <c r="M36" s="334"/>
      <c r="N36" s="334"/>
      <c r="O36" s="334"/>
      <c r="P36" s="334"/>
      <c r="Q36" s="334"/>
      <c r="R36" s="334"/>
      <c r="S36" s="334"/>
      <c r="T36" s="334"/>
      <c r="U36" s="334"/>
      <c r="V36" s="334"/>
      <c r="W36" s="334"/>
      <c r="X36" s="334"/>
      <c r="Y36" s="334"/>
    </row>
    <row r="37" spans="2:25" ht="20.100000000000001" customHeight="1" thickTop="1" thickBot="1" x14ac:dyDescent="0.25">
      <c r="B37" s="489" t="str">
        <f>PedBerTPN!Y19</f>
        <v/>
      </c>
      <c r="C37" s="489"/>
      <c r="D37" s="597"/>
      <c r="E37" s="602" t="s">
        <v>3472</v>
      </c>
      <c r="F37" s="327"/>
      <c r="G37" s="414" t="str">
        <f>PedBerTPN!W19</f>
        <v/>
      </c>
      <c r="H37" s="327"/>
      <c r="I37" s="328"/>
      <c r="J37" s="327"/>
      <c r="M37" s="334"/>
      <c r="N37" s="334"/>
      <c r="O37" s="334"/>
      <c r="P37" s="334"/>
      <c r="Q37" s="334"/>
      <c r="R37" s="334"/>
      <c r="S37" s="334"/>
      <c r="T37" s="334"/>
      <c r="U37" s="334"/>
      <c r="V37" s="334"/>
      <c r="W37" s="334"/>
      <c r="X37" s="334"/>
      <c r="Y37" s="334"/>
    </row>
    <row r="38" spans="2:25" ht="9.9499999999999993" customHeight="1" thickTop="1" x14ac:dyDescent="0.2">
      <c r="B38" s="489"/>
      <c r="C38" s="489"/>
      <c r="G38" s="330"/>
      <c r="M38" s="334"/>
      <c r="N38" s="334"/>
      <c r="O38" s="334"/>
      <c r="P38" s="334"/>
      <c r="Q38" s="334"/>
      <c r="R38" s="334"/>
      <c r="S38" s="334"/>
      <c r="T38" s="334"/>
      <c r="U38" s="334"/>
      <c r="V38" s="334"/>
      <c r="W38" s="334"/>
      <c r="X38" s="334"/>
      <c r="Y38" s="334"/>
    </row>
    <row r="39" spans="2:25" ht="20.100000000000001" customHeight="1" x14ac:dyDescent="0.2">
      <c r="B39" s="489" t="str">
        <f>IF(OR(F39=0,F39=""),"","verw")</f>
        <v/>
      </c>
      <c r="C39" s="489"/>
      <c r="D39" s="597"/>
      <c r="E39" s="602" t="s">
        <v>3473</v>
      </c>
      <c r="F39" s="824">
        <f>_Ped_TPN_Opm</f>
        <v>0</v>
      </c>
      <c r="G39" s="825"/>
      <c r="H39" s="825"/>
      <c r="I39" s="825"/>
      <c r="J39" s="699"/>
      <c r="M39" s="334"/>
      <c r="N39" s="334"/>
      <c r="O39" s="334"/>
      <c r="P39" s="334"/>
      <c r="Q39" s="334"/>
      <c r="R39" s="334"/>
      <c r="S39" s="334"/>
      <c r="T39" s="334"/>
      <c r="U39" s="334"/>
      <c r="V39" s="334"/>
      <c r="W39" s="334"/>
      <c r="X39" s="334"/>
      <c r="Y39" s="334"/>
    </row>
    <row r="40" spans="2:25" ht="10.5" customHeight="1" x14ac:dyDescent="0.2">
      <c r="E40" s="330"/>
      <c r="G40" s="330"/>
      <c r="M40" s="334"/>
      <c r="N40" s="334"/>
      <c r="O40" s="334"/>
      <c r="P40" s="334"/>
      <c r="Q40" s="334"/>
      <c r="R40" s="334"/>
      <c r="S40" s="334"/>
      <c r="T40" s="334"/>
      <c r="U40" s="334"/>
      <c r="V40" s="334"/>
      <c r="W40" s="334"/>
      <c r="X40" s="334"/>
      <c r="Y40" s="334"/>
    </row>
    <row r="41" spans="2:25" s="453" customFormat="1" x14ac:dyDescent="0.2">
      <c r="B41" s="629"/>
      <c r="C41" s="629"/>
      <c r="D41" s="629"/>
      <c r="E41" s="633" t="s">
        <v>4761</v>
      </c>
      <c r="F41" s="633" t="s">
        <v>85</v>
      </c>
      <c r="G41" s="633" t="s">
        <v>418</v>
      </c>
      <c r="H41" s="633"/>
      <c r="I41" s="663" t="s">
        <v>88</v>
      </c>
      <c r="J41" s="633"/>
      <c r="K41" s="633" t="s">
        <v>4761</v>
      </c>
      <c r="L41" s="633" t="s">
        <v>85</v>
      </c>
      <c r="M41" s="634" t="s">
        <v>418</v>
      </c>
      <c r="N41" s="664" t="s">
        <v>88</v>
      </c>
      <c r="O41" s="492"/>
    </row>
    <row r="42" spans="2:25" x14ac:dyDescent="0.2">
      <c r="B42" s="629"/>
      <c r="C42" s="629"/>
      <c r="D42" s="635"/>
      <c r="E42" s="636" t="s">
        <v>259</v>
      </c>
      <c r="F42" s="636" t="str">
        <f t="shared" ref="F42:F48" si="0">VLOOKUP($E42,Tbl_Ped_Totalen, 13,FALSE)</f>
        <v>0 ml/kg</v>
      </c>
      <c r="G42" s="636" t="str">
        <f t="shared" ref="G42:G48" ca="1" si="1">VLOOKUP($E42,Tbl_Ped_Totalen, 10,FALSE)</f>
        <v>150 ml/kg</v>
      </c>
      <c r="H42" s="636" t="str">
        <f>"= "&amp;PedBerTot!H4&amp;" ml/dag"</f>
        <v>= 0 ml/dag</v>
      </c>
      <c r="I42" s="636"/>
      <c r="J42" s="636"/>
      <c r="K42" s="636"/>
      <c r="L42" s="636"/>
      <c r="M42" s="636"/>
      <c r="N42" s="636"/>
      <c r="O42" s="493"/>
    </row>
    <row r="43" spans="2:25" x14ac:dyDescent="0.2">
      <c r="B43" s="629"/>
      <c r="C43" s="629"/>
      <c r="D43" s="635"/>
      <c r="E43" s="636" t="s">
        <v>175</v>
      </c>
      <c r="F43" s="636" t="str">
        <f t="shared" si="0"/>
        <v>0 kcal/kg</v>
      </c>
      <c r="G43" s="636" t="str">
        <f t="shared" si="1"/>
        <v xml:space="preserve"> kcal/kg</v>
      </c>
      <c r="H43" s="636"/>
      <c r="I43" s="636"/>
      <c r="J43" s="636"/>
      <c r="K43" s="636" t="s">
        <v>260</v>
      </c>
      <c r="L43" s="636" t="str">
        <f t="shared" ref="L43:L48" si="2">VLOOKUP($K43,Tbl_Ped_Totalen, 13,FALSE)</f>
        <v>0 mmol/kg</v>
      </c>
      <c r="M43" s="636" t="str">
        <f t="shared" ref="M43:M48" si="3">VLOOKUP($K43,Tbl_Ped_Totalen,10,FALSE)</f>
        <v>2-4 mmol/kg</v>
      </c>
      <c r="N43" s="636" t="str">
        <f>IF(_Glob_Lab_Natrium&gt;0,_Glob_Lab_Natrium,"")</f>
        <v/>
      </c>
      <c r="O43" s="493"/>
    </row>
    <row r="44" spans="2:25" x14ac:dyDescent="0.2">
      <c r="B44" s="629"/>
      <c r="C44" s="629"/>
      <c r="D44" s="635"/>
      <c r="E44" s="636" t="s">
        <v>140</v>
      </c>
      <c r="F44" s="636" t="str">
        <f t="shared" si="0"/>
        <v>0 gram/kg</v>
      </c>
      <c r="G44" s="636" t="str">
        <f t="shared" si="1"/>
        <v xml:space="preserve"> gram/kg</v>
      </c>
      <c r="H44" s="636" t="str">
        <f>"= "&amp;ROUND(PedBerTot!I5/1.4,1)&amp;" mg/kg/min"</f>
        <v>= 0 mg/kg/min</v>
      </c>
      <c r="I44" s="636" t="str">
        <f>IF(_Glob_Lab_Glucose&gt;0,_Glob_Lab_Glucose,"")</f>
        <v/>
      </c>
      <c r="J44" s="636"/>
      <c r="K44" s="636" t="s">
        <v>261</v>
      </c>
      <c r="L44" s="636" t="str">
        <f t="shared" si="2"/>
        <v>0 mmol/kg</v>
      </c>
      <c r="M44" s="636" t="str">
        <f t="shared" si="3"/>
        <v>1-2 mmol/kg</v>
      </c>
      <c r="N44" s="636" t="str">
        <f>IF(_Glob_Lab_Kalium&gt;0,_Glob_Lab_Kalium,"")</f>
        <v/>
      </c>
      <c r="O44" s="493"/>
    </row>
    <row r="45" spans="2:25" x14ac:dyDescent="0.2">
      <c r="B45" s="629"/>
      <c r="C45" s="629"/>
      <c r="D45" s="635"/>
      <c r="E45" s="636" t="s">
        <v>144</v>
      </c>
      <c r="F45" s="636" t="str">
        <f t="shared" si="0"/>
        <v>0 gram/kg</v>
      </c>
      <c r="G45" s="636" t="str">
        <f t="shared" si="1"/>
        <v xml:space="preserve"> gram/kg</v>
      </c>
      <c r="H45" s="636"/>
      <c r="I45" s="636" t="str">
        <f>IF(_Glob_Lab_Albumine&gt;0,_Glob_Lab_Albumine,"")</f>
        <v/>
      </c>
      <c r="J45" s="636"/>
      <c r="K45" s="636" t="s">
        <v>806</v>
      </c>
      <c r="L45" s="636" t="str">
        <f t="shared" si="2"/>
        <v>0 mmol/kg</v>
      </c>
      <c r="M45" s="636" t="str">
        <f t="shared" si="3"/>
        <v/>
      </c>
      <c r="N45" s="636" t="str">
        <f>IF(_Glob_Lab_Chloride&gt;0,_Glob_Lab_Chloride,"")</f>
        <v/>
      </c>
      <c r="O45" s="493"/>
    </row>
    <row r="46" spans="2:25" x14ac:dyDescent="0.2">
      <c r="B46" s="629"/>
      <c r="C46" s="629"/>
      <c r="D46" s="635"/>
      <c r="E46" s="636" t="s">
        <v>145</v>
      </c>
      <c r="F46" s="636" t="str">
        <f t="shared" si="0"/>
        <v>0 gram/kg</v>
      </c>
      <c r="G46" s="636" t="str">
        <f t="shared" si="1"/>
        <v xml:space="preserve"> gram/kg</v>
      </c>
      <c r="H46" s="636"/>
      <c r="I46" s="636" t="str">
        <f>IF(_Glob_Lab_Triglyceriden&gt;0,_Glob_Lab_Triglyceriden,"")</f>
        <v/>
      </c>
      <c r="J46" s="636"/>
      <c r="K46" s="636" t="s">
        <v>141</v>
      </c>
      <c r="L46" s="636" t="str">
        <f t="shared" si="2"/>
        <v>0 mmol/kg</v>
      </c>
      <c r="M46" s="636" t="str">
        <f t="shared" si="3"/>
        <v>0,8 mmol/kg</v>
      </c>
      <c r="N46" s="636" t="str">
        <f>IF(_Glob_Lab_Calcium&gt;0,_Glob_Lab_Calcium,"")</f>
        <v/>
      </c>
      <c r="O46" s="493"/>
    </row>
    <row r="47" spans="2:25" x14ac:dyDescent="0.2">
      <c r="B47" s="629"/>
      <c r="C47" s="629"/>
      <c r="D47" s="635"/>
      <c r="E47" s="636" t="s">
        <v>807</v>
      </c>
      <c r="F47" s="636" t="str">
        <f t="shared" si="0"/>
        <v>0 IE</v>
      </c>
      <c r="G47" s="636" t="str">
        <f t="shared" si="1"/>
        <v/>
      </c>
      <c r="H47" s="636"/>
      <c r="I47" s="636"/>
      <c r="J47" s="636"/>
      <c r="K47" s="636" t="s">
        <v>143</v>
      </c>
      <c r="L47" s="636" t="str">
        <f t="shared" si="2"/>
        <v>0 mmol/kg</v>
      </c>
      <c r="M47" s="636" t="str">
        <f t="shared" si="3"/>
        <v>0,1-0,3 mmol/kg</v>
      </c>
      <c r="N47" s="636" t="str">
        <f>IF(_Glob_Lab_Magnesium&gt;0,_Glob_Lab_Magnesium,"")</f>
        <v/>
      </c>
    </row>
    <row r="48" spans="2:25" x14ac:dyDescent="0.2">
      <c r="B48" s="629"/>
      <c r="C48" s="629"/>
      <c r="D48" s="635"/>
      <c r="E48" s="636" t="s">
        <v>808</v>
      </c>
      <c r="F48" s="636" t="str">
        <f t="shared" si="0"/>
        <v>0 mmol/kg</v>
      </c>
      <c r="G48" s="636" t="str">
        <f t="shared" si="1"/>
        <v/>
      </c>
      <c r="H48" s="636"/>
      <c r="I48" s="636" t="str">
        <f>IF(_Glob_Lab_Ijzer&gt;0,_Glob_Lab_Ijzer,"")</f>
        <v/>
      </c>
      <c r="J48" s="636"/>
      <c r="K48" s="636" t="s">
        <v>142</v>
      </c>
      <c r="L48" s="636" t="str">
        <f t="shared" si="2"/>
        <v>0 mmol/kg</v>
      </c>
      <c r="M48" s="636" t="str">
        <f t="shared" si="3"/>
        <v>0,75 mmol/kg</v>
      </c>
      <c r="N48" s="636" t="str">
        <f>IF(_Glob_Lab_Fosfaat&gt;0,_Glob_Lab_Fosfaat,"")</f>
        <v/>
      </c>
    </row>
  </sheetData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7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 macro="[0]!PedEntTPN_ChangeEnt_1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 macro="[0]!PedEntTPN_ChangeEnt_1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_1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9525</xdr:rowOff>
                  </from>
                  <to>
                    <xdr:col>6</xdr:col>
                    <xdr:colOff>142875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 macro="[0]!PedEntTPN_ChangeTPNVol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 macro="[0]!PedEntTPN_ChangeEnt_2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 macro="[0]!PedEntTPN_ChangeEnt_2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_2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 macro="[0]!PedEntTPN_ChangeEnt_3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 macro="[0]!PedEntTPN_ChangeEnt_3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_3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 macro="[0]!PedEntTPN_ChangeEnt_4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 macro="[0]!PedEntTPN_ChangeEnt_4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_4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49" name="Drop Down 77">
              <controlPr defaultSize="0" print="0" autoLine="0" autoPict="0">
                <anchor moveWithCells="1">
                  <from>
                    <xdr:col>3</xdr:col>
                    <xdr:colOff>9525</xdr:colOff>
                    <xdr:row>34</xdr:row>
                    <xdr:rowOff>19050</xdr:rowOff>
                  </from>
                  <to>
                    <xdr:col>4</xdr:col>
                    <xdr:colOff>1343025</xdr:colOff>
                    <xdr:row>35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PedBerTPN!D17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G35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J5" sqref="J5"/>
    </sheetView>
  </sheetViews>
  <sheetFormatPr defaultColWidth="9.140625" defaultRowHeight="12.75" x14ac:dyDescent="0.2"/>
  <cols>
    <col min="1" max="1" width="13.42578125" style="161" customWidth="1"/>
    <col min="2" max="3" width="9.140625" style="161"/>
    <col min="4" max="4" width="9.42578125" style="161" bestFit="1" customWidth="1"/>
    <col min="5" max="6" width="9.140625" style="161"/>
    <col min="7" max="7" width="10.5703125" style="161" customWidth="1"/>
    <col min="8" max="9" width="12.7109375" style="161" customWidth="1"/>
    <col min="10" max="10" width="25.140625" style="161" customWidth="1"/>
    <col min="11" max="11" width="28.85546875" style="161" customWidth="1"/>
    <col min="12" max="23" width="10.5703125" style="161" customWidth="1"/>
    <col min="24" max="25" width="9.140625" style="161"/>
    <col min="26" max="26" width="58.7109375" style="161" customWidth="1"/>
    <col min="27" max="16384" width="9.140625" style="161"/>
  </cols>
  <sheetData>
    <row r="1" spans="1:26" x14ac:dyDescent="0.2">
      <c r="K1" s="161">
        <v>1</v>
      </c>
      <c r="L1" s="161">
        <v>3</v>
      </c>
      <c r="M1" s="161">
        <v>4</v>
      </c>
      <c r="N1" s="161">
        <v>5</v>
      </c>
      <c r="O1" s="161">
        <v>6</v>
      </c>
      <c r="P1" s="161">
        <v>7</v>
      </c>
      <c r="Q1" s="161">
        <v>8</v>
      </c>
      <c r="R1" s="161">
        <v>9</v>
      </c>
      <c r="S1" s="161">
        <v>10</v>
      </c>
      <c r="T1" s="161">
        <v>11</v>
      </c>
      <c r="U1" s="161">
        <v>12</v>
      </c>
      <c r="V1" s="161">
        <v>13</v>
      </c>
      <c r="W1" s="161">
        <v>14</v>
      </c>
    </row>
    <row r="2" spans="1:26" x14ac:dyDescent="0.2">
      <c r="A2" s="162"/>
      <c r="B2" s="161" t="s">
        <v>86</v>
      </c>
      <c r="C2" s="161" t="s">
        <v>72</v>
      </c>
      <c r="E2" s="161" t="s">
        <v>211</v>
      </c>
      <c r="F2" s="161" t="s">
        <v>180</v>
      </c>
      <c r="G2" s="162" t="s">
        <v>3284</v>
      </c>
      <c r="H2" s="162" t="s">
        <v>3462</v>
      </c>
      <c r="I2" s="162" t="s">
        <v>3463</v>
      </c>
      <c r="J2" s="162" t="s">
        <v>3464</v>
      </c>
      <c r="K2" s="162" t="s">
        <v>212</v>
      </c>
      <c r="L2" s="10" t="s">
        <v>175</v>
      </c>
      <c r="M2" s="10" t="s">
        <v>144</v>
      </c>
      <c r="N2" s="52" t="s">
        <v>140</v>
      </c>
      <c r="O2" s="10" t="s">
        <v>145</v>
      </c>
      <c r="P2" s="52" t="s">
        <v>260</v>
      </c>
      <c r="Q2" s="52" t="s">
        <v>261</v>
      </c>
      <c r="R2" s="52" t="s">
        <v>141</v>
      </c>
      <c r="S2" s="52" t="s">
        <v>142</v>
      </c>
      <c r="T2" s="52" t="s">
        <v>143</v>
      </c>
      <c r="U2" s="52" t="s">
        <v>808</v>
      </c>
      <c r="V2" s="52" t="s">
        <v>807</v>
      </c>
      <c r="W2" s="52" t="s">
        <v>806</v>
      </c>
      <c r="X2" s="52" t="s">
        <v>259</v>
      </c>
      <c r="Z2" s="52" t="s">
        <v>4069</v>
      </c>
    </row>
    <row r="3" spans="1:26" x14ac:dyDescent="0.2">
      <c r="A3" s="162" t="s">
        <v>155</v>
      </c>
      <c r="F3" s="161">
        <v>0</v>
      </c>
      <c r="G3" s="161" t="str">
        <f>IF(F3&gt;1,"verw","")</f>
        <v/>
      </c>
      <c r="H3" s="162"/>
      <c r="I3" s="162"/>
      <c r="J3" s="162"/>
      <c r="K3" s="162" t="str">
        <f>IF(_Ped_Ent_Sonde &gt; 0, INDEX(Tbl_Ped_Sonde,_Ped_Ent_Sonde,1),"")</f>
        <v/>
      </c>
      <c r="L3" s="10"/>
      <c r="M3" s="10"/>
      <c r="N3" s="52"/>
      <c r="O3" s="10"/>
      <c r="P3" s="52"/>
      <c r="Q3" s="52"/>
      <c r="R3" s="52"/>
      <c r="S3" s="52"/>
      <c r="T3" s="52"/>
      <c r="U3" s="52"/>
      <c r="V3" s="52"/>
      <c r="W3" s="52"/>
      <c r="X3" s="52"/>
      <c r="Z3" s="161" t="str">
        <f>TRIM(K3&amp;" "&amp;H3&amp;" "&amp;I3)</f>
        <v/>
      </c>
    </row>
    <row r="4" spans="1:26" x14ac:dyDescent="0.2">
      <c r="A4" s="52" t="s">
        <v>212</v>
      </c>
      <c r="B4" s="10">
        <v>1</v>
      </c>
      <c r="C4" s="10">
        <v>0</v>
      </c>
      <c r="D4" s="161">
        <f>IF(C4&lt;51,C4/10,IF(C4&lt;66,(C4-49)+4,IF(C4&lt;82,(C4-61)*5,IF(C4&lt;122,(C4-71)*10,(C4-111)*50))))</f>
        <v>0</v>
      </c>
      <c r="E4" s="10">
        <f>IF(F4&gt;1,B4*D4,0)</f>
        <v>0</v>
      </c>
      <c r="F4" s="161">
        <v>1</v>
      </c>
      <c r="G4" s="161" t="str">
        <f>IF(F4&gt;1,"verw","")</f>
        <v/>
      </c>
      <c r="H4" s="161" t="str">
        <f>IF(AND(E4&lt;&gt;0,E4&lt;&gt;""),IF(B4=24,"continue drip",B4&amp;" dd"),"")</f>
        <v/>
      </c>
      <c r="I4" s="161" t="str">
        <f>IF(OR(D4=0,D4=""),"",D4&amp;" mL")</f>
        <v/>
      </c>
      <c r="J4" s="161" t="str">
        <f>IF(F4&gt;1,E4&amp;" mL/dag","")</f>
        <v/>
      </c>
      <c r="K4" s="161">
        <f>IF(F4&gt;0,INDEX(Tbl_Ped_Voeding,$F4,2),"")</f>
        <v>0</v>
      </c>
      <c r="L4" s="161">
        <f t="shared" ref="L4:W4" si="0">IF($F4&gt;0,INDEX(Tbl_Ped_Voeding,$F4,L$1),0)*$E4</f>
        <v>0</v>
      </c>
      <c r="M4" s="161">
        <f t="shared" si="0"/>
        <v>0</v>
      </c>
      <c r="N4" s="161">
        <f t="shared" si="0"/>
        <v>0</v>
      </c>
      <c r="O4" s="161">
        <f t="shared" si="0"/>
        <v>0</v>
      </c>
      <c r="P4" s="161">
        <f t="shared" si="0"/>
        <v>0</v>
      </c>
      <c r="Q4" s="161">
        <f t="shared" si="0"/>
        <v>0</v>
      </c>
      <c r="R4" s="161">
        <f t="shared" si="0"/>
        <v>0</v>
      </c>
      <c r="S4" s="161">
        <f t="shared" si="0"/>
        <v>0</v>
      </c>
      <c r="T4" s="161">
        <f t="shared" si="0"/>
        <v>0</v>
      </c>
      <c r="U4" s="161">
        <f t="shared" si="0"/>
        <v>0</v>
      </c>
      <c r="V4" s="161">
        <f t="shared" si="0"/>
        <v>0</v>
      </c>
      <c r="W4" s="161">
        <f t="shared" si="0"/>
        <v>0</v>
      </c>
      <c r="Z4" s="161" t="str">
        <f t="shared" ref="Z4:Z7" si="1">TRIM(K4&amp;" "&amp;H4&amp;" "&amp;I4)</f>
        <v>0</v>
      </c>
    </row>
    <row r="5" spans="1:26" x14ac:dyDescent="0.2">
      <c r="A5" s="52" t="s">
        <v>4040</v>
      </c>
      <c r="B5" s="161">
        <v>1</v>
      </c>
      <c r="C5" s="161">
        <v>0</v>
      </c>
      <c r="D5" s="161">
        <f>IF(C5&lt;51,C5/10,IF(C5&lt;66,(C5-49)+4,IF(C5&lt;82,(C5-61)*5,IF(C5&lt;122,(C5-71)*10,(C5-111)*50))))</f>
        <v>0</v>
      </c>
      <c r="E5" s="10">
        <f>IF(F5&gt;1,B5*D5,0)</f>
        <v>0</v>
      </c>
      <c r="F5" s="161">
        <v>1</v>
      </c>
      <c r="G5" s="161" t="str">
        <f>IF(F5&gt;1,"verw","")</f>
        <v/>
      </c>
      <c r="H5" s="161" t="str">
        <f>IF(AND(E5&lt;&gt;0,E5&lt;&gt;""),B5&amp;" dd","")</f>
        <v/>
      </c>
      <c r="I5" s="161" t="str">
        <f>IF(OR(D5=0,D5=""),"",D5&amp;" gram")</f>
        <v/>
      </c>
      <c r="J5" s="161" t="str">
        <f>IF(PedBerEnt!F5&gt;1,PedBerEnt!E5&amp;" gram/dag ("&amp;ROUND(100*E5/$E$4,0)&amp;"%)","")</f>
        <v/>
      </c>
      <c r="K5" s="161">
        <f>IF(F5&gt;0,INDEX(Tbl_Ped_Poeder,$F5,2),"")</f>
        <v>0</v>
      </c>
      <c r="L5" s="161">
        <f t="shared" ref="L5:W7" si="2">IF($F5&gt;0,INDEX(Tbl_Ped_Poeder,$F5,L$1),0)*$E5</f>
        <v>0</v>
      </c>
      <c r="M5" s="161">
        <f t="shared" si="2"/>
        <v>0</v>
      </c>
      <c r="N5" s="161">
        <f t="shared" si="2"/>
        <v>0</v>
      </c>
      <c r="O5" s="161">
        <f t="shared" si="2"/>
        <v>0</v>
      </c>
      <c r="P5" s="161">
        <f t="shared" si="2"/>
        <v>0</v>
      </c>
      <c r="Q5" s="161">
        <f t="shared" si="2"/>
        <v>0</v>
      </c>
      <c r="R5" s="161">
        <f t="shared" si="2"/>
        <v>0</v>
      </c>
      <c r="S5" s="161">
        <f t="shared" si="2"/>
        <v>0</v>
      </c>
      <c r="T5" s="161">
        <f t="shared" si="2"/>
        <v>0</v>
      </c>
      <c r="U5" s="161">
        <f t="shared" si="2"/>
        <v>0</v>
      </c>
      <c r="V5" s="161">
        <f t="shared" si="2"/>
        <v>0</v>
      </c>
      <c r="W5" s="161">
        <f t="shared" si="2"/>
        <v>0</v>
      </c>
      <c r="Z5" s="161" t="str">
        <f t="shared" si="1"/>
        <v>0</v>
      </c>
    </row>
    <row r="6" spans="1:26" x14ac:dyDescent="0.2">
      <c r="A6" s="52" t="s">
        <v>4041</v>
      </c>
      <c r="B6" s="161">
        <v>1</v>
      </c>
      <c r="C6" s="161">
        <v>0</v>
      </c>
      <c r="D6" s="161">
        <f>IF(C6&lt;51,C6/10,IF(C6&lt;66,(C6-49)+4,IF(C6&lt;82,(C6-61)*5,IF(C6&lt;122,(C6-71)*10,(C6-111)*50))))</f>
        <v>0</v>
      </c>
      <c r="E6" s="10">
        <f>IF(F6&gt;1,B6*D6,0)</f>
        <v>0</v>
      </c>
      <c r="F6" s="161">
        <v>1</v>
      </c>
      <c r="G6" s="161" t="str">
        <f>IF(F6&gt;1,"verw","")</f>
        <v/>
      </c>
      <c r="H6" s="161" t="str">
        <f>IF(AND(E6&lt;&gt;0,E6&lt;&gt;""),B6&amp;" dd","")</f>
        <v/>
      </c>
      <c r="I6" s="161" t="str">
        <f>IF(OR(D6=0,D6=""),"",D6&amp;" gram")</f>
        <v/>
      </c>
      <c r="J6" s="161" t="str">
        <f>IF(PedBerEnt!F6&gt;1,PedBerEnt!E6&amp;" gram/dag ("&amp;ROUND(100*E6/$E$4,0)&amp;"%)","")</f>
        <v/>
      </c>
      <c r="K6" s="161">
        <f>IF(F6&gt;0,INDEX(Tbl_Ped_Poeder,$F6,2),"")</f>
        <v>0</v>
      </c>
      <c r="L6" s="161">
        <f t="shared" si="2"/>
        <v>0</v>
      </c>
      <c r="M6" s="161">
        <f t="shared" si="2"/>
        <v>0</v>
      </c>
      <c r="N6" s="161">
        <f t="shared" si="2"/>
        <v>0</v>
      </c>
      <c r="O6" s="161">
        <f t="shared" si="2"/>
        <v>0</v>
      </c>
      <c r="P6" s="161">
        <f t="shared" si="2"/>
        <v>0</v>
      </c>
      <c r="Q6" s="161">
        <f t="shared" si="2"/>
        <v>0</v>
      </c>
      <c r="R6" s="161">
        <f t="shared" si="2"/>
        <v>0</v>
      </c>
      <c r="S6" s="161">
        <f t="shared" si="2"/>
        <v>0</v>
      </c>
      <c r="T6" s="161">
        <f t="shared" si="2"/>
        <v>0</v>
      </c>
      <c r="U6" s="161">
        <f t="shared" si="2"/>
        <v>0</v>
      </c>
      <c r="V6" s="161">
        <f t="shared" si="2"/>
        <v>0</v>
      </c>
      <c r="W6" s="161">
        <f t="shared" si="2"/>
        <v>0</v>
      </c>
      <c r="Z6" s="161" t="str">
        <f t="shared" si="1"/>
        <v>0</v>
      </c>
    </row>
    <row r="7" spans="1:26" x14ac:dyDescent="0.2">
      <c r="A7" s="52" t="s">
        <v>4042</v>
      </c>
      <c r="B7" s="161">
        <v>1</v>
      </c>
      <c r="C7" s="161">
        <v>0</v>
      </c>
      <c r="D7" s="161">
        <f>IF(C7&lt;51,C7/10,IF(C7&lt;66,(C7-49)+4,IF(C7&lt;82,(C7-61)*5,IF(C7&lt;122,(C7-71)*10,(C7-111)*50))))</f>
        <v>0</v>
      </c>
      <c r="E7" s="10">
        <f>IF(F7&gt;1,B7*D7,0)</f>
        <v>0</v>
      </c>
      <c r="F7" s="161">
        <v>1</v>
      </c>
      <c r="G7" s="161" t="str">
        <f>IF(F7&gt;1,"verw","")</f>
        <v/>
      </c>
      <c r="H7" s="161" t="str">
        <f>IF(AND(E7&lt;&gt;0,E7&lt;&gt;""),B7&amp;" dd","")</f>
        <v/>
      </c>
      <c r="I7" s="161" t="str">
        <f>IF(OR(D7=0,D7=""),"",D7&amp;" gram")</f>
        <v/>
      </c>
      <c r="J7" s="161" t="str">
        <f>IF(PedBerEnt!F7&gt;1,PedBerEnt!E7&amp;" gram/dag ("&amp;ROUND(100*E7/$E$4,0)&amp;"%)","")</f>
        <v/>
      </c>
      <c r="K7" s="161">
        <f>IF(F7&gt;0,INDEX(Tbl_Ped_Poeder,$F7,2),"")</f>
        <v>0</v>
      </c>
      <c r="L7" s="161">
        <f t="shared" si="2"/>
        <v>0</v>
      </c>
      <c r="M7" s="161">
        <f t="shared" si="2"/>
        <v>0</v>
      </c>
      <c r="N7" s="161">
        <f t="shared" si="2"/>
        <v>0</v>
      </c>
      <c r="O7" s="161">
        <f t="shared" si="2"/>
        <v>0</v>
      </c>
      <c r="P7" s="161">
        <f t="shared" si="2"/>
        <v>0</v>
      </c>
      <c r="Q7" s="161">
        <f t="shared" si="2"/>
        <v>0</v>
      </c>
      <c r="R7" s="161">
        <f t="shared" si="2"/>
        <v>0</v>
      </c>
      <c r="S7" s="161">
        <f t="shared" si="2"/>
        <v>0</v>
      </c>
      <c r="T7" s="161">
        <f t="shared" si="2"/>
        <v>0</v>
      </c>
      <c r="U7" s="161">
        <f t="shared" si="2"/>
        <v>0</v>
      </c>
      <c r="V7" s="161">
        <f t="shared" si="2"/>
        <v>0</v>
      </c>
      <c r="W7" s="161">
        <f t="shared" si="2"/>
        <v>0</v>
      </c>
      <c r="Z7" s="161" t="str">
        <f t="shared" si="1"/>
        <v>0</v>
      </c>
    </row>
    <row r="8" spans="1:26" x14ac:dyDescent="0.2">
      <c r="A8" s="52" t="s">
        <v>163</v>
      </c>
      <c r="E8" s="52">
        <f>E4</f>
        <v>0</v>
      </c>
      <c r="L8" s="161">
        <f>SUM(L4:L7)</f>
        <v>0</v>
      </c>
      <c r="M8" s="161">
        <f t="shared" ref="M8:W8" si="3">SUM(M4:M7)</f>
        <v>0</v>
      </c>
      <c r="N8" s="161">
        <f t="shared" si="3"/>
        <v>0</v>
      </c>
      <c r="O8" s="161">
        <f t="shared" si="3"/>
        <v>0</v>
      </c>
      <c r="P8" s="161">
        <f t="shared" si="3"/>
        <v>0</v>
      </c>
      <c r="Q8" s="161">
        <f t="shared" si="3"/>
        <v>0</v>
      </c>
      <c r="R8" s="161">
        <f t="shared" si="3"/>
        <v>0</v>
      </c>
      <c r="S8" s="161">
        <f t="shared" si="3"/>
        <v>0</v>
      </c>
      <c r="T8" s="161">
        <f t="shared" si="3"/>
        <v>0</v>
      </c>
      <c r="U8" s="161">
        <f t="shared" si="3"/>
        <v>0</v>
      </c>
      <c r="V8" s="161">
        <f t="shared" si="3"/>
        <v>0</v>
      </c>
      <c r="W8" s="161">
        <f t="shared" si="3"/>
        <v>0</v>
      </c>
      <c r="X8" s="161">
        <f>E8</f>
        <v>0</v>
      </c>
    </row>
    <row r="9" spans="1:26" x14ac:dyDescent="0.2">
      <c r="A9" s="52" t="s">
        <v>344</v>
      </c>
      <c r="G9" s="161" t="str">
        <f>IF(ISBLANK(_Ped_Ent_Opm),"","verw")</f>
        <v/>
      </c>
    </row>
    <row r="10" spans="1:26" x14ac:dyDescent="0.2">
      <c r="A10" s="10"/>
    </row>
    <row r="11" spans="1:26" ht="15" x14ac:dyDescent="0.25">
      <c r="A11" s="356" t="s">
        <v>175</v>
      </c>
      <c r="B11" s="161">
        <f>_Glob_SpecialeVoeding_01</f>
        <v>0</v>
      </c>
      <c r="C11" s="161">
        <f t="shared" ref="C11:C22" si="4">VLOOKUP(A11,Tbl_Glob_Conversie,2,FALSE)*B11</f>
        <v>0</v>
      </c>
      <c r="E11" s="356"/>
      <c r="L11" s="152"/>
    </row>
    <row r="12" spans="1:26" ht="15" x14ac:dyDescent="0.25">
      <c r="A12" s="356" t="s">
        <v>144</v>
      </c>
      <c r="B12" s="161">
        <f>_Glob_SpecialeVoeding_02</f>
        <v>0</v>
      </c>
      <c r="C12" s="161">
        <f t="shared" si="4"/>
        <v>0</v>
      </c>
      <c r="E12" s="356"/>
      <c r="L12" s="152"/>
    </row>
    <row r="13" spans="1:26" ht="15" x14ac:dyDescent="0.25">
      <c r="A13" s="356" t="s">
        <v>176</v>
      </c>
      <c r="B13" s="161">
        <f>_Glob_SpecialeVoeding_03</f>
        <v>0</v>
      </c>
      <c r="C13" s="161">
        <f t="shared" si="4"/>
        <v>0</v>
      </c>
      <c r="E13" s="356"/>
      <c r="L13" s="157"/>
    </row>
    <row r="14" spans="1:26" ht="15" x14ac:dyDescent="0.25">
      <c r="A14" s="356" t="s">
        <v>145</v>
      </c>
      <c r="B14" s="161">
        <f>_Glob_SpecialeVoeding_04</f>
        <v>0</v>
      </c>
      <c r="C14" s="161">
        <f t="shared" si="4"/>
        <v>0</v>
      </c>
      <c r="E14" s="356"/>
      <c r="L14" s="152"/>
    </row>
    <row r="15" spans="1:26" ht="15" x14ac:dyDescent="0.25">
      <c r="A15" s="356" t="s">
        <v>170</v>
      </c>
      <c r="B15" s="161">
        <f>_Glob_SpecialeVoeding_05</f>
        <v>0</v>
      </c>
      <c r="C15" s="161">
        <f t="shared" si="4"/>
        <v>0</v>
      </c>
      <c r="E15" s="356"/>
      <c r="L15" s="152"/>
    </row>
    <row r="16" spans="1:26" ht="15" x14ac:dyDescent="0.25">
      <c r="A16" s="356" t="s">
        <v>171</v>
      </c>
      <c r="B16" s="161">
        <f>_Glob_SpecialeVoeding_06</f>
        <v>0</v>
      </c>
      <c r="C16" s="161">
        <f t="shared" si="4"/>
        <v>0</v>
      </c>
      <c r="E16" s="356"/>
      <c r="L16" s="152"/>
    </row>
    <row r="17" spans="1:12" ht="15" x14ac:dyDescent="0.25">
      <c r="A17" s="356" t="s">
        <v>172</v>
      </c>
      <c r="B17" s="161">
        <f>_Glob_SpecialeVoeding_07</f>
        <v>0</v>
      </c>
      <c r="C17" s="161">
        <f t="shared" si="4"/>
        <v>0</v>
      </c>
      <c r="E17" s="356"/>
      <c r="L17" s="152"/>
    </row>
    <row r="18" spans="1:12" ht="15" x14ac:dyDescent="0.25">
      <c r="A18" s="356" t="s">
        <v>177</v>
      </c>
      <c r="B18" s="161">
        <f>_Glob_SpecialeVoeding_08</f>
        <v>0</v>
      </c>
      <c r="C18" s="161">
        <f t="shared" si="4"/>
        <v>0</v>
      </c>
      <c r="E18" s="356"/>
      <c r="L18" s="152"/>
    </row>
    <row r="19" spans="1:12" ht="15" x14ac:dyDescent="0.25">
      <c r="A19" s="356" t="s">
        <v>173</v>
      </c>
      <c r="B19" s="161">
        <f>_Glob_SpecialeVoeding_09</f>
        <v>0</v>
      </c>
      <c r="C19" s="161">
        <f t="shared" si="4"/>
        <v>0</v>
      </c>
      <c r="E19" s="356"/>
      <c r="L19" s="152"/>
    </row>
    <row r="20" spans="1:12" ht="15" x14ac:dyDescent="0.25">
      <c r="A20" s="356" t="s">
        <v>723</v>
      </c>
      <c r="B20" s="161">
        <f>_Glob_SpecialeVoeding_10</f>
        <v>0</v>
      </c>
      <c r="C20" s="161">
        <f t="shared" si="4"/>
        <v>0</v>
      </c>
      <c r="E20" s="356"/>
      <c r="L20" s="152"/>
    </row>
    <row r="21" spans="1:12" ht="15" x14ac:dyDescent="0.25">
      <c r="A21" s="356" t="s">
        <v>724</v>
      </c>
      <c r="B21" s="161">
        <f>_Glob_SpecialeVoeding_11</f>
        <v>0</v>
      </c>
      <c r="C21" s="161">
        <f t="shared" si="4"/>
        <v>0</v>
      </c>
      <c r="E21" s="356"/>
      <c r="L21" s="152"/>
    </row>
    <row r="22" spans="1:12" ht="15" x14ac:dyDescent="0.25">
      <c r="A22" s="356" t="s">
        <v>449</v>
      </c>
      <c r="B22" s="161">
        <f>_Glob_SpecialeVoeding_12</f>
        <v>0</v>
      </c>
      <c r="C22" s="161">
        <f t="shared" si="4"/>
        <v>0</v>
      </c>
      <c r="E22" s="356"/>
      <c r="L22" s="152"/>
    </row>
    <row r="23" spans="1:12" x14ac:dyDescent="0.2">
      <c r="L23" s="152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7" type="noConversion"/>
  <pageMargins left="0" right="0" top="0" bottom="0" header="0" footer="0"/>
  <pageSetup paperSize="9" orientation="landscape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AB45"/>
  <sheetViews>
    <sheetView workbookViewId="0">
      <pane xSplit="1" ySplit="2" topLeftCell="B6" activePane="bottomRight" state="frozen"/>
      <selection pane="topRight" activeCell="B1" sqref="B1"/>
      <selection pane="bottomLeft" activeCell="A3" sqref="A3"/>
      <selection pane="bottomRight" activeCell="H18" sqref="H18"/>
    </sheetView>
  </sheetViews>
  <sheetFormatPr defaultRowHeight="12.75" x14ac:dyDescent="0.2"/>
  <cols>
    <col min="1" max="1" width="16.42578125" customWidth="1"/>
    <col min="2" max="2" width="15.140625" customWidth="1"/>
    <col min="3" max="3" width="9.28515625" customWidth="1"/>
    <col min="4" max="4" width="9.28515625" style="151" customWidth="1"/>
    <col min="5" max="5" width="7.42578125" style="151" customWidth="1"/>
    <col min="6" max="6" width="9.28515625" style="151" customWidth="1"/>
    <col min="7" max="7" width="9.28515625" customWidth="1"/>
    <col min="8" max="8" width="23.5703125" customWidth="1"/>
    <col min="9" max="21" width="11.140625" style="497" customWidth="1"/>
    <col min="22" max="22" width="13" style="151" customWidth="1"/>
    <col min="23" max="23" width="9.5703125" customWidth="1"/>
    <col min="24" max="24" width="9.5703125" style="151" customWidth="1"/>
    <col min="27" max="27" width="12.28515625" customWidth="1"/>
  </cols>
  <sheetData>
    <row r="1" spans="1:28" x14ac:dyDescent="0.2">
      <c r="A1" s="179"/>
      <c r="H1" s="151"/>
      <c r="I1" s="497">
        <v>2</v>
      </c>
      <c r="J1" s="497">
        <v>3</v>
      </c>
      <c r="K1" s="497">
        <v>4</v>
      </c>
      <c r="L1" s="497">
        <v>5</v>
      </c>
      <c r="M1" s="497">
        <v>6</v>
      </c>
      <c r="N1" s="497">
        <v>7</v>
      </c>
      <c r="O1" s="497">
        <v>8</v>
      </c>
      <c r="P1" s="497">
        <v>9</v>
      </c>
      <c r="Q1" s="497">
        <v>10</v>
      </c>
      <c r="R1" s="497">
        <v>11</v>
      </c>
      <c r="S1" s="497">
        <v>12</v>
      </c>
      <c r="T1" s="497">
        <v>13</v>
      </c>
      <c r="U1" s="497">
        <v>14</v>
      </c>
    </row>
    <row r="2" spans="1:28" ht="25.5" x14ac:dyDescent="0.2">
      <c r="B2" t="s">
        <v>180</v>
      </c>
      <c r="C2" s="51" t="s">
        <v>878</v>
      </c>
      <c r="D2" s="51" t="s">
        <v>4737</v>
      </c>
      <c r="E2" s="51" t="s">
        <v>4740</v>
      </c>
      <c r="F2" s="51" t="s">
        <v>4738</v>
      </c>
      <c r="G2" s="51" t="s">
        <v>4736</v>
      </c>
      <c r="H2" s="152" t="s">
        <v>351</v>
      </c>
      <c r="I2" s="497" t="s">
        <v>175</v>
      </c>
      <c r="J2" s="497" t="s">
        <v>144</v>
      </c>
      <c r="K2" s="498" t="s">
        <v>176</v>
      </c>
      <c r="L2" s="497" t="s">
        <v>145</v>
      </c>
      <c r="M2" s="497" t="s">
        <v>170</v>
      </c>
      <c r="N2" s="497" t="s">
        <v>171</v>
      </c>
      <c r="O2" s="497" t="s">
        <v>172</v>
      </c>
      <c r="P2" s="497" t="s">
        <v>177</v>
      </c>
      <c r="Q2" s="497" t="s">
        <v>173</v>
      </c>
      <c r="R2" s="497" t="s">
        <v>723</v>
      </c>
      <c r="S2" s="497" t="s">
        <v>724</v>
      </c>
      <c r="T2" s="497" t="s">
        <v>449</v>
      </c>
      <c r="V2" s="155" t="s">
        <v>4733</v>
      </c>
      <c r="W2" s="155" t="s">
        <v>4734</v>
      </c>
      <c r="X2" s="710" t="s">
        <v>5183</v>
      </c>
      <c r="Y2" s="152" t="s">
        <v>4731</v>
      </c>
      <c r="Z2" s="152" t="s">
        <v>4250</v>
      </c>
      <c r="AA2" s="152" t="s">
        <v>7412</v>
      </c>
      <c r="AB2" s="152" t="s">
        <v>4069</v>
      </c>
    </row>
    <row r="3" spans="1:28" x14ac:dyDescent="0.2">
      <c r="A3" s="152" t="s">
        <v>4823</v>
      </c>
      <c r="C3">
        <v>0</v>
      </c>
      <c r="F3">
        <f>IF(C3&lt;100,C3/10,IF(C3&lt;140,C3-90,(C3-130)*5))</f>
        <v>0</v>
      </c>
      <c r="G3">
        <f>ROUND(F3*24+IF(D6,0,G6)+IF(D5,0,E5*G5)+G9*E9+G10*E10+IF(D11,0,G12*E12+G13*E13),1)</f>
        <v>0</v>
      </c>
      <c r="H3" s="151" t="str">
        <f>IF(F3=0,"",A3)</f>
        <v/>
      </c>
      <c r="V3" s="151" t="str">
        <f>IF(G3&gt;0,IF(F3&gt;10,ROUNDUP(G3/24,0),ROUNDUP(G3/24,1))&amp;" ml/uur","")</f>
        <v/>
      </c>
      <c r="W3" s="151" t="str">
        <f>IF(G3=0,"",G3&amp;" ml")</f>
        <v/>
      </c>
      <c r="X3" s="151" t="str">
        <f>W3</f>
        <v/>
      </c>
      <c r="Y3" t="str">
        <f>IF(_Ped_TPN_SST1Stand=0,"","verw")</f>
        <v/>
      </c>
      <c r="AA3" t="str">
        <f>IF(G3&gt;0,"in "&amp;ROUND(G3/IF(F3&gt;10,ROUNDUP(G3/24,0),ROUNDUP(G3/24,1)),1)&amp;" uur","")</f>
        <v/>
      </c>
      <c r="AB3" t="str">
        <f>IF(X3="","",X3&amp;" "&amp;AA3)</f>
        <v/>
      </c>
    </row>
    <row r="4" spans="1:28" s="151" customFormat="1" x14ac:dyDescent="0.2">
      <c r="A4" s="152" t="s">
        <v>4739</v>
      </c>
      <c r="B4" s="151">
        <v>0</v>
      </c>
      <c r="I4" s="497"/>
      <c r="J4" s="497"/>
      <c r="K4" s="497"/>
      <c r="L4" s="497"/>
      <c r="M4" s="497"/>
      <c r="N4" s="497"/>
      <c r="O4" s="497"/>
      <c r="P4" s="497"/>
      <c r="Q4" s="497"/>
      <c r="R4" s="497"/>
      <c r="S4" s="497"/>
      <c r="T4" s="497"/>
      <c r="U4" s="497"/>
      <c r="AB4" s="151" t="str">
        <f t="shared" ref="AB4:AB24" si="0">IF(X4="","",X4&amp;" "&amp;AA4)</f>
        <v/>
      </c>
    </row>
    <row r="5" spans="1:28" x14ac:dyDescent="0.2">
      <c r="A5" t="s">
        <v>174</v>
      </c>
      <c r="B5">
        <v>1</v>
      </c>
      <c r="C5">
        <v>0</v>
      </c>
      <c r="D5" s="151" t="b">
        <f>_Ped_TPN_Keuze=6</f>
        <v>0</v>
      </c>
      <c r="E5" s="151">
        <v>2</v>
      </c>
      <c r="F5">
        <f>IF((_Ped_TPN_Keuze=6),G5/24,0)</f>
        <v>0</v>
      </c>
      <c r="G5">
        <f>ROUND(IF(AND(OR(_Ped_TPN_SST1Keuze&lt;12,_Ped_TPN_Keuze=6),_Ped_TPN_Keuze&gt;1),_Ped_TPN_Vol,0),1)</f>
        <v>0</v>
      </c>
      <c r="H5" s="151" t="str">
        <f>IF(B5=1,"",INDEX(Tbl_Ped_TPN,B5,1))</f>
        <v/>
      </c>
      <c r="I5" s="497">
        <f t="shared" ref="I5:T15" si="1">IF($H5="",0,VLOOKUP($H5,Tbl_Glob_ParEnt,I$1,FALSE))*$G5</f>
        <v>0</v>
      </c>
      <c r="J5" s="497">
        <f t="shared" si="1"/>
        <v>0</v>
      </c>
      <c r="K5" s="497">
        <f t="shared" si="1"/>
        <v>0</v>
      </c>
      <c r="L5" s="497">
        <f t="shared" si="1"/>
        <v>0</v>
      </c>
      <c r="M5" s="497">
        <f t="shared" si="1"/>
        <v>0</v>
      </c>
      <c r="N5" s="497">
        <f t="shared" si="1"/>
        <v>0</v>
      </c>
      <c r="O5" s="497">
        <f t="shared" si="1"/>
        <v>0</v>
      </c>
      <c r="P5" s="497">
        <f t="shared" si="1"/>
        <v>0</v>
      </c>
      <c r="Q5" s="497">
        <f t="shared" si="1"/>
        <v>0</v>
      </c>
      <c r="R5" s="497">
        <f t="shared" si="1"/>
        <v>0</v>
      </c>
      <c r="S5" s="497">
        <f t="shared" si="1"/>
        <v>0</v>
      </c>
      <c r="T5" s="497">
        <f t="shared" si="1"/>
        <v>0</v>
      </c>
      <c r="V5" s="151" t="str">
        <f>IF(F5&gt;0,IF(F5&gt;10,ROUNDUP(F5,0),ROUNDUP(F5,1))&amp;" ml/uur","")</f>
        <v/>
      </c>
      <c r="W5" s="151" t="str">
        <f t="shared" ref="W5:W24" si="2">IF(G5=0,"",G5&amp;" ml")</f>
        <v/>
      </c>
      <c r="X5" s="151" t="str">
        <f>IF(V5="","",W5)</f>
        <v/>
      </c>
      <c r="Y5" t="str">
        <f>IF(_Ped_TPN_Keuze=1,"","verw")</f>
        <v/>
      </c>
      <c r="Z5" t="str">
        <f>IF(OR(_Ped_TPN_Keuze=GetPedTPNIndexForWeight(),_Ped_TPN_Keuze=1),"","stand")</f>
        <v/>
      </c>
      <c r="AA5" t="str">
        <f>IF(F5&gt;0,"in "&amp;ROUND(G5/IF(F5&gt;10,ROUNDUP(F5,0),ROUNDUP(F5,1)),1)&amp;" uur","")</f>
        <v/>
      </c>
      <c r="AB5" s="151" t="str">
        <f t="shared" si="0"/>
        <v/>
      </c>
    </row>
    <row r="6" spans="1:28" x14ac:dyDescent="0.2">
      <c r="A6" t="s">
        <v>234</v>
      </c>
      <c r="C6">
        <v>0</v>
      </c>
      <c r="D6" s="151" t="b">
        <f>_Ped_TPN_Keuze=6</f>
        <v>0</v>
      </c>
      <c r="F6" s="151">
        <f>IF(D6,(G6+G7)/24,0)</f>
        <v>0</v>
      </c>
      <c r="G6">
        <f>ROUND(IF(AND(_Ped_TPN_Keuze&gt;3),C6,0),1)</f>
        <v>0</v>
      </c>
      <c r="H6" s="151" t="str">
        <f>IF(G6=0,"",A6)</f>
        <v/>
      </c>
      <c r="I6" s="497">
        <f t="shared" si="1"/>
        <v>0</v>
      </c>
      <c r="J6" s="497">
        <f t="shared" si="1"/>
        <v>0</v>
      </c>
      <c r="K6" s="497">
        <f t="shared" si="1"/>
        <v>0</v>
      </c>
      <c r="L6" s="497">
        <f t="shared" si="1"/>
        <v>0</v>
      </c>
      <c r="M6" s="497">
        <f t="shared" si="1"/>
        <v>0</v>
      </c>
      <c r="N6" s="497">
        <f t="shared" si="1"/>
        <v>0</v>
      </c>
      <c r="O6" s="497">
        <f t="shared" si="1"/>
        <v>0</v>
      </c>
      <c r="P6" s="497">
        <f t="shared" si="1"/>
        <v>0</v>
      </c>
      <c r="Q6" s="497">
        <f t="shared" si="1"/>
        <v>0</v>
      </c>
      <c r="R6" s="497">
        <f t="shared" si="1"/>
        <v>0</v>
      </c>
      <c r="S6" s="497">
        <f t="shared" si="1"/>
        <v>0</v>
      </c>
      <c r="T6" s="497">
        <f t="shared" si="1"/>
        <v>0</v>
      </c>
      <c r="V6" s="151" t="str">
        <f t="shared" ref="V6:V24" si="3">IF(F6&gt;0,IF(F6&gt;10,ROUNDUP(F6,0),ROUNDUP(F6,1))&amp;" ml/uur","")</f>
        <v/>
      </c>
      <c r="W6" s="151" t="str">
        <f t="shared" si="2"/>
        <v/>
      </c>
      <c r="X6" s="151" t="str">
        <f>IF(V6="","", SUM(G6:G7)&amp;" ml")</f>
        <v/>
      </c>
      <c r="Y6" t="str">
        <f>IF(G6=0,"","verw")</f>
        <v/>
      </c>
      <c r="AA6" s="151" t="str">
        <f>IF(F6&gt;0,"in "&amp;ROUND(SUM(G6:G7)/IF(F6&gt;10,ROUNDUP(F6,0),ROUNDUP(F6,1)),1)&amp;" uur","")</f>
        <v/>
      </c>
      <c r="AB6" s="151" t="str">
        <f t="shared" si="0"/>
        <v/>
      </c>
    </row>
    <row r="7" spans="1:28" s="151" customFormat="1" x14ac:dyDescent="0.2">
      <c r="A7" s="152" t="s">
        <v>453</v>
      </c>
      <c r="G7" s="151">
        <f>IF(AND(D6,G6&gt;0),100,0)</f>
        <v>0</v>
      </c>
      <c r="H7" s="151" t="str">
        <f>IF(G7=0,"",A7)</f>
        <v/>
      </c>
      <c r="I7" s="497">
        <f t="shared" si="1"/>
        <v>0</v>
      </c>
      <c r="J7" s="497">
        <f t="shared" si="1"/>
        <v>0</v>
      </c>
      <c r="K7" s="497">
        <f t="shared" si="1"/>
        <v>0</v>
      </c>
      <c r="L7" s="497">
        <f t="shared" si="1"/>
        <v>0</v>
      </c>
      <c r="M7" s="497">
        <f t="shared" si="1"/>
        <v>0</v>
      </c>
      <c r="N7" s="497">
        <f t="shared" si="1"/>
        <v>0</v>
      </c>
      <c r="O7" s="497">
        <f t="shared" si="1"/>
        <v>0</v>
      </c>
      <c r="P7" s="497">
        <f t="shared" si="1"/>
        <v>0</v>
      </c>
      <c r="Q7" s="497">
        <f t="shared" si="1"/>
        <v>0</v>
      </c>
      <c r="R7" s="497">
        <f t="shared" si="1"/>
        <v>0</v>
      </c>
      <c r="S7" s="497">
        <f t="shared" si="1"/>
        <v>0</v>
      </c>
      <c r="T7" s="497">
        <f t="shared" si="1"/>
        <v>0</v>
      </c>
      <c r="U7" s="497"/>
      <c r="W7" s="151" t="str">
        <f>IF(G7=0,"",G7&amp;" ml")</f>
        <v/>
      </c>
      <c r="AB7" s="151" t="str">
        <f t="shared" si="0"/>
        <v/>
      </c>
    </row>
    <row r="8" spans="1:28" x14ac:dyDescent="0.2">
      <c r="A8" s="179" t="s">
        <v>221</v>
      </c>
      <c r="B8">
        <v>1</v>
      </c>
      <c r="G8">
        <f>ROUND(G3-(IF(D5,0,G5))-(IF(D6,0,G6))-G9-G10-(IF(D11,0,G12))-(IF(D11,0,G13)),1)</f>
        <v>0</v>
      </c>
      <c r="H8" s="151" t="str">
        <f>IF(B8=1,"",INDEX(Tbl_Ped_SST,B8,1))</f>
        <v/>
      </c>
      <c r="I8" s="497">
        <f t="shared" si="1"/>
        <v>0</v>
      </c>
      <c r="J8" s="497">
        <f t="shared" si="1"/>
        <v>0</v>
      </c>
      <c r="K8" s="497">
        <f t="shared" si="1"/>
        <v>0</v>
      </c>
      <c r="L8" s="497">
        <f t="shared" si="1"/>
        <v>0</v>
      </c>
      <c r="M8" s="497">
        <f t="shared" si="1"/>
        <v>0</v>
      </c>
      <c r="N8" s="497">
        <f t="shared" si="1"/>
        <v>0</v>
      </c>
      <c r="O8" s="497">
        <f t="shared" si="1"/>
        <v>0</v>
      </c>
      <c r="P8" s="497">
        <f t="shared" si="1"/>
        <v>0</v>
      </c>
      <c r="Q8" s="497">
        <f t="shared" si="1"/>
        <v>0</v>
      </c>
      <c r="R8" s="497">
        <f t="shared" si="1"/>
        <v>0</v>
      </c>
      <c r="S8" s="497">
        <f t="shared" si="1"/>
        <v>0</v>
      </c>
      <c r="T8" s="497">
        <f t="shared" si="1"/>
        <v>0</v>
      </c>
      <c r="V8" s="151" t="str">
        <f t="shared" si="3"/>
        <v/>
      </c>
      <c r="W8" s="151" t="str">
        <f t="shared" si="2"/>
        <v/>
      </c>
      <c r="Y8" s="151" t="str">
        <f t="shared" ref="Y8:Y24" si="4">IF(G8=0,"","verw")</f>
        <v/>
      </c>
      <c r="AA8" s="151"/>
      <c r="AB8" s="151" t="str">
        <f t="shared" si="0"/>
        <v/>
      </c>
    </row>
    <row r="9" spans="1:28" x14ac:dyDescent="0.2">
      <c r="A9" t="s">
        <v>7890</v>
      </c>
      <c r="B9" t="b">
        <v>0</v>
      </c>
      <c r="C9">
        <v>0</v>
      </c>
      <c r="E9" s="151">
        <v>2</v>
      </c>
      <c r="G9">
        <f>ROUND(IF(B9,C9,0),1)</f>
        <v>0</v>
      </c>
      <c r="H9" s="151" t="str">
        <f>IF(B9,A9,"")</f>
        <v/>
      </c>
      <c r="I9" s="497">
        <f t="shared" si="1"/>
        <v>0</v>
      </c>
      <c r="J9" s="497">
        <f t="shared" si="1"/>
        <v>0</v>
      </c>
      <c r="K9" s="497">
        <f t="shared" si="1"/>
        <v>0</v>
      </c>
      <c r="L9" s="497">
        <f t="shared" si="1"/>
        <v>0</v>
      </c>
      <c r="M9" s="497">
        <f t="shared" si="1"/>
        <v>0</v>
      </c>
      <c r="N9" s="497">
        <f t="shared" si="1"/>
        <v>0</v>
      </c>
      <c r="O9" s="497">
        <f t="shared" si="1"/>
        <v>0</v>
      </c>
      <c r="P9" s="497">
        <f t="shared" si="1"/>
        <v>0</v>
      </c>
      <c r="Q9" s="497">
        <f t="shared" si="1"/>
        <v>0</v>
      </c>
      <c r="R9" s="497">
        <f t="shared" si="1"/>
        <v>0</v>
      </c>
      <c r="S9" s="497">
        <f t="shared" si="1"/>
        <v>0</v>
      </c>
      <c r="T9" s="497">
        <f t="shared" si="1"/>
        <v>0</v>
      </c>
      <c r="V9" s="151" t="str">
        <f t="shared" si="3"/>
        <v/>
      </c>
      <c r="W9" s="151" t="str">
        <f t="shared" si="2"/>
        <v/>
      </c>
      <c r="Y9" s="151" t="str">
        <f t="shared" si="4"/>
        <v/>
      </c>
      <c r="AA9" s="151"/>
      <c r="AB9" s="151" t="str">
        <f t="shared" si="0"/>
        <v/>
      </c>
    </row>
    <row r="10" spans="1:28" x14ac:dyDescent="0.2">
      <c r="A10" t="s">
        <v>168</v>
      </c>
      <c r="B10" t="b">
        <v>0</v>
      </c>
      <c r="C10">
        <v>0</v>
      </c>
      <c r="E10" s="151">
        <f>IF(PedBerIVenPM!K2,5,12.5)</f>
        <v>12.5</v>
      </c>
      <c r="G10" s="151">
        <f>ROUND(IF(B10,C10,0),1)</f>
        <v>0</v>
      </c>
      <c r="H10" s="151" t="str">
        <f>IF(B10,A10,"")</f>
        <v/>
      </c>
      <c r="I10" s="497">
        <f t="shared" si="1"/>
        <v>0</v>
      </c>
      <c r="J10" s="497">
        <f t="shared" si="1"/>
        <v>0</v>
      </c>
      <c r="K10" s="497">
        <f t="shared" si="1"/>
        <v>0</v>
      </c>
      <c r="L10" s="497">
        <f t="shared" si="1"/>
        <v>0</v>
      </c>
      <c r="M10" s="497">
        <f t="shared" si="1"/>
        <v>0</v>
      </c>
      <c r="N10" s="497">
        <f t="shared" si="1"/>
        <v>0</v>
      </c>
      <c r="O10" s="497">
        <f t="shared" si="1"/>
        <v>0</v>
      </c>
      <c r="P10" s="497">
        <f t="shared" si="1"/>
        <v>0</v>
      </c>
      <c r="Q10" s="497">
        <f t="shared" si="1"/>
        <v>0</v>
      </c>
      <c r="R10" s="497">
        <f t="shared" si="1"/>
        <v>0</v>
      </c>
      <c r="S10" s="497">
        <f t="shared" si="1"/>
        <v>0</v>
      </c>
      <c r="T10" s="497">
        <f t="shared" si="1"/>
        <v>0</v>
      </c>
      <c r="V10" s="151" t="str">
        <f t="shared" si="3"/>
        <v/>
      </c>
      <c r="W10" s="151" t="str">
        <f t="shared" si="2"/>
        <v/>
      </c>
      <c r="Y10" s="151" t="str">
        <f t="shared" si="4"/>
        <v/>
      </c>
      <c r="AA10" s="151"/>
      <c r="AB10" s="151" t="str">
        <f t="shared" si="0"/>
        <v/>
      </c>
    </row>
    <row r="11" spans="1:28" s="151" customFormat="1" x14ac:dyDescent="0.2">
      <c r="A11" s="152" t="s">
        <v>453</v>
      </c>
      <c r="B11"/>
      <c r="C11"/>
      <c r="D11" s="151" t="b">
        <f>AND(_Ped_TPN_Keuze&gt;1,_Ped_TPN_Keuze&lt;6,_Ped_TPN_SST1Keuze&lt;=12)</f>
        <v>0</v>
      </c>
      <c r="F11" s="151">
        <f>IF(D11,SUM(G12,G13,G11)/24,0)</f>
        <v>0</v>
      </c>
      <c r="G11">
        <f>ROUND(IF(D11,(G12*E12+G13*E13)-(G12+G13),0),1)</f>
        <v>0</v>
      </c>
      <c r="H11" s="152" t="str">
        <f>IF(G11=0,"",A11)</f>
        <v/>
      </c>
      <c r="I11" s="497">
        <f t="shared" ref="I11:T11" si="5">IF($H11="",0,VLOOKUP($H11,Tbl_Glob_ParEnt,I$1,FALSE))*$G11</f>
        <v>0</v>
      </c>
      <c r="J11" s="497">
        <f t="shared" si="5"/>
        <v>0</v>
      </c>
      <c r="K11" s="497">
        <f t="shared" si="5"/>
        <v>0</v>
      </c>
      <c r="L11" s="497">
        <f t="shared" si="5"/>
        <v>0</v>
      </c>
      <c r="M11" s="497">
        <f t="shared" si="5"/>
        <v>0</v>
      </c>
      <c r="N11" s="497">
        <f t="shared" si="5"/>
        <v>0</v>
      </c>
      <c r="O11" s="497">
        <f t="shared" si="5"/>
        <v>0</v>
      </c>
      <c r="P11" s="497">
        <f t="shared" si="5"/>
        <v>0</v>
      </c>
      <c r="Q11" s="497">
        <f t="shared" si="5"/>
        <v>0</v>
      </c>
      <c r="R11" s="497">
        <f t="shared" si="5"/>
        <v>0</v>
      </c>
      <c r="S11" s="497">
        <f t="shared" si="5"/>
        <v>0</v>
      </c>
      <c r="T11" s="497">
        <f t="shared" si="5"/>
        <v>0</v>
      </c>
      <c r="U11" s="497"/>
      <c r="V11" s="151" t="str">
        <f t="shared" si="3"/>
        <v/>
      </c>
      <c r="W11" s="151" t="str">
        <f>IF(G11=0,"",G11&amp;" ml")</f>
        <v/>
      </c>
      <c r="X11" s="151" t="str">
        <f>IF(V11="","",SUM(G11:G13)&amp;" ml")</f>
        <v/>
      </c>
      <c r="Y11" s="151" t="str">
        <f>IF(G11=0,"","verw")</f>
        <v/>
      </c>
      <c r="AA11" s="151" t="str">
        <f>IF(F11&gt;0,"in "&amp;ROUND(SUM(G11:G13)/IF(F11&gt;10,ROUNDUP(F11,0),ROUNDUP(F11,1)),1)&amp;" uur","")</f>
        <v/>
      </c>
      <c r="AB11" s="151" t="str">
        <f t="shared" si="0"/>
        <v/>
      </c>
    </row>
    <row r="12" spans="1:28" x14ac:dyDescent="0.2">
      <c r="A12" t="s">
        <v>258</v>
      </c>
      <c r="B12" t="b">
        <v>0</v>
      </c>
      <c r="C12">
        <v>0</v>
      </c>
      <c r="E12" s="151">
        <v>5</v>
      </c>
      <c r="G12" s="151">
        <f>ROUND(IF(B12,C12,0),1)</f>
        <v>0</v>
      </c>
      <c r="H12" s="151" t="str">
        <f>IF(B12,A12,"")</f>
        <v/>
      </c>
      <c r="I12" s="497">
        <f t="shared" si="1"/>
        <v>0</v>
      </c>
      <c r="J12" s="497">
        <f t="shared" si="1"/>
        <v>0</v>
      </c>
      <c r="K12" s="497">
        <f t="shared" si="1"/>
        <v>0</v>
      </c>
      <c r="L12" s="497">
        <f t="shared" si="1"/>
        <v>0</v>
      </c>
      <c r="M12" s="497">
        <f t="shared" si="1"/>
        <v>0</v>
      </c>
      <c r="N12" s="497">
        <f t="shared" si="1"/>
        <v>0</v>
      </c>
      <c r="O12" s="497">
        <f t="shared" si="1"/>
        <v>0</v>
      </c>
      <c r="P12" s="497">
        <f t="shared" si="1"/>
        <v>0</v>
      </c>
      <c r="Q12" s="497">
        <f t="shared" si="1"/>
        <v>0</v>
      </c>
      <c r="R12" s="497">
        <f t="shared" si="1"/>
        <v>0</v>
      </c>
      <c r="S12" s="497">
        <f t="shared" si="1"/>
        <v>0</v>
      </c>
      <c r="T12" s="497">
        <f t="shared" si="1"/>
        <v>0</v>
      </c>
      <c r="V12" s="151" t="str">
        <f t="shared" si="3"/>
        <v/>
      </c>
      <c r="W12" s="151" t="str">
        <f t="shared" si="2"/>
        <v/>
      </c>
      <c r="Y12" s="151" t="str">
        <f t="shared" si="4"/>
        <v/>
      </c>
      <c r="AA12" s="151"/>
      <c r="AB12" s="151" t="str">
        <f t="shared" si="0"/>
        <v/>
      </c>
    </row>
    <row r="13" spans="1:28" x14ac:dyDescent="0.2">
      <c r="A13" s="152" t="s">
        <v>7427</v>
      </c>
      <c r="B13" t="b">
        <v>0</v>
      </c>
      <c r="C13">
        <v>0</v>
      </c>
      <c r="E13" s="151">
        <v>5</v>
      </c>
      <c r="G13" s="151">
        <f>ROUND(IF(B13,C13,0),1)</f>
        <v>0</v>
      </c>
      <c r="H13" s="151" t="str">
        <f>IF(B13,A13,"")</f>
        <v/>
      </c>
      <c r="I13" s="497">
        <f t="shared" si="1"/>
        <v>0</v>
      </c>
      <c r="J13" s="497">
        <f t="shared" si="1"/>
        <v>0</v>
      </c>
      <c r="K13" s="497">
        <f t="shared" si="1"/>
        <v>0</v>
      </c>
      <c r="L13" s="497">
        <f t="shared" si="1"/>
        <v>0</v>
      </c>
      <c r="M13" s="497">
        <f t="shared" si="1"/>
        <v>0</v>
      </c>
      <c r="N13" s="497">
        <f t="shared" si="1"/>
        <v>0</v>
      </c>
      <c r="O13" s="497">
        <f t="shared" si="1"/>
        <v>0</v>
      </c>
      <c r="P13" s="497">
        <f t="shared" si="1"/>
        <v>0</v>
      </c>
      <c r="Q13" s="497">
        <f t="shared" si="1"/>
        <v>0</v>
      </c>
      <c r="R13" s="497">
        <f t="shared" si="1"/>
        <v>0</v>
      </c>
      <c r="S13" s="497">
        <f t="shared" si="1"/>
        <v>0</v>
      </c>
      <c r="T13" s="497">
        <f t="shared" si="1"/>
        <v>0</v>
      </c>
      <c r="V13" s="151" t="str">
        <f t="shared" si="3"/>
        <v/>
      </c>
      <c r="W13" s="151" t="str">
        <f t="shared" si="2"/>
        <v/>
      </c>
      <c r="Y13" s="151" t="str">
        <f t="shared" si="4"/>
        <v/>
      </c>
      <c r="AA13" s="151"/>
      <c r="AB13" s="151" t="str">
        <f t="shared" si="0"/>
        <v/>
      </c>
    </row>
    <row r="14" spans="1:28" s="151" customFormat="1" x14ac:dyDescent="0.2">
      <c r="A14" s="152" t="s">
        <v>450</v>
      </c>
      <c r="B14"/>
      <c r="C14"/>
      <c r="F14" s="151">
        <f>SUM(G14:G15)/24</f>
        <v>0</v>
      </c>
      <c r="G14">
        <f>ROUND(IF(G15&gt;0,G15*E15,0),1)</f>
        <v>0</v>
      </c>
      <c r="H14" s="152" t="str">
        <f>IF(G14=0,"",A14)</f>
        <v/>
      </c>
      <c r="I14" s="497">
        <f t="shared" ref="I14:T14" si="6">IF($H14="",0,VLOOKUP($H14,Tbl_Glob_ParEnt,I$1,FALSE))*$G14</f>
        <v>0</v>
      </c>
      <c r="J14" s="497">
        <f t="shared" si="6"/>
        <v>0</v>
      </c>
      <c r="K14" s="497">
        <f t="shared" si="6"/>
        <v>0</v>
      </c>
      <c r="L14" s="497">
        <f t="shared" si="6"/>
        <v>0</v>
      </c>
      <c r="M14" s="497">
        <f t="shared" si="6"/>
        <v>0</v>
      </c>
      <c r="N14" s="497">
        <f t="shared" si="6"/>
        <v>0</v>
      </c>
      <c r="O14" s="497">
        <f t="shared" si="6"/>
        <v>0</v>
      </c>
      <c r="P14" s="497">
        <f t="shared" si="6"/>
        <v>0</v>
      </c>
      <c r="Q14" s="497">
        <f t="shared" si="6"/>
        <v>0</v>
      </c>
      <c r="R14" s="497">
        <f t="shared" si="6"/>
        <v>0</v>
      </c>
      <c r="S14" s="497">
        <f t="shared" si="6"/>
        <v>0</v>
      </c>
      <c r="T14" s="497">
        <f t="shared" si="6"/>
        <v>0</v>
      </c>
      <c r="U14" s="497"/>
      <c r="V14" s="151" t="str">
        <f t="shared" si="3"/>
        <v/>
      </c>
      <c r="W14" s="151" t="str">
        <f>IF(G14=0,"",G14&amp;" ml")</f>
        <v/>
      </c>
      <c r="X14" s="151" t="str">
        <f>IF(V14="","",SUM(G14:G15)&amp;" ml")</f>
        <v/>
      </c>
      <c r="Y14" s="151" t="str">
        <f>IF(G14=0,"","verw")</f>
        <v/>
      </c>
      <c r="Z14"/>
      <c r="AA14" s="151" t="str">
        <f>IF(F14&gt;0,"in "&amp;ROUND(SUM(G14:G15)/IF(F14&gt;10,ROUNDUP(F14,0),ROUNDUP(F14,1)),1)&amp;" uur","")</f>
        <v/>
      </c>
      <c r="AB14" s="151" t="str">
        <f t="shared" si="0"/>
        <v/>
      </c>
    </row>
    <row r="15" spans="1:28" x14ac:dyDescent="0.2">
      <c r="A15" t="s">
        <v>239</v>
      </c>
      <c r="B15" t="b">
        <v>0</v>
      </c>
      <c r="C15">
        <v>0</v>
      </c>
      <c r="E15" s="151">
        <f>IF(PedBerIVenPM!K2,5,15)</f>
        <v>15</v>
      </c>
      <c r="F15"/>
      <c r="G15">
        <f>ROUND(IF(B15,SUM(IF(C15&lt;50,C15/10,C15-45)),0),1)</f>
        <v>0</v>
      </c>
      <c r="H15" s="151" t="str">
        <f>IF(B15,A15,"")</f>
        <v/>
      </c>
      <c r="I15" s="497">
        <f t="shared" si="1"/>
        <v>0</v>
      </c>
      <c r="J15" s="497">
        <f t="shared" si="1"/>
        <v>0</v>
      </c>
      <c r="K15" s="497">
        <f t="shared" si="1"/>
        <v>0</v>
      </c>
      <c r="L15" s="497">
        <f t="shared" si="1"/>
        <v>0</v>
      </c>
      <c r="M15" s="497">
        <f t="shared" si="1"/>
        <v>0</v>
      </c>
      <c r="N15" s="497">
        <f t="shared" si="1"/>
        <v>0</v>
      </c>
      <c r="O15" s="497">
        <f t="shared" si="1"/>
        <v>0</v>
      </c>
      <c r="P15" s="497">
        <f t="shared" si="1"/>
        <v>0</v>
      </c>
      <c r="Q15" s="497">
        <f t="shared" si="1"/>
        <v>0</v>
      </c>
      <c r="R15" s="497">
        <f t="shared" si="1"/>
        <v>0</v>
      </c>
      <c r="S15" s="497">
        <f t="shared" si="1"/>
        <v>0</v>
      </c>
      <c r="T15" s="497">
        <f t="shared" si="1"/>
        <v>0</v>
      </c>
      <c r="V15" s="151" t="str">
        <f t="shared" si="3"/>
        <v/>
      </c>
      <c r="W15" s="151" t="str">
        <f>IF(G15=0,"",SUM(G15)&amp;" ml")</f>
        <v/>
      </c>
      <c r="Y15" s="151" t="str">
        <f t="shared" si="4"/>
        <v/>
      </c>
      <c r="AA15" s="151"/>
      <c r="AB15" s="151" t="str">
        <f t="shared" si="0"/>
        <v/>
      </c>
    </row>
    <row r="16" spans="1:28" x14ac:dyDescent="0.2">
      <c r="A16" t="s">
        <v>146</v>
      </c>
      <c r="C16">
        <v>0</v>
      </c>
      <c r="F16" s="151">
        <f>IF(C16&lt;50,C16/10,IF(C16&lt;146,C16-45,(C16-125)*5))</f>
        <v>0</v>
      </c>
      <c r="G16">
        <f>ROUND(F16*24,1)</f>
        <v>0</v>
      </c>
      <c r="H16" s="151" t="str">
        <f>IF(F16=0,"",A16)</f>
        <v/>
      </c>
      <c r="V16" s="151" t="str">
        <f t="shared" si="3"/>
        <v/>
      </c>
      <c r="W16" s="151" t="str">
        <f t="shared" ref="W16" si="7">IF(G16=0,"",G16&amp;" ml")</f>
        <v/>
      </c>
      <c r="X16" s="151" t="str">
        <f>IF(V16="","",SUM(G16)&amp;" ml")</f>
        <v/>
      </c>
      <c r="Y16" s="151" t="str">
        <f t="shared" ref="Y16" si="8">IF(G16=0,"","verw")</f>
        <v/>
      </c>
      <c r="Z16" s="151"/>
      <c r="AA16" s="151" t="str">
        <f>IF(F16&gt;0,"in "&amp;ROUND(G16/IF(F16&gt;10,ROUNDUP(F16,0),ROUNDUP(F16,1)),1)&amp;" uur","")</f>
        <v/>
      </c>
      <c r="AB16" s="151" t="str">
        <f t="shared" si="0"/>
        <v/>
      </c>
    </row>
    <row r="17" spans="1:28" x14ac:dyDescent="0.2">
      <c r="A17" s="152" t="s">
        <v>7640</v>
      </c>
      <c r="B17">
        <v>1</v>
      </c>
      <c r="D17" s="151" t="b">
        <f>G17&lt;0</f>
        <v>0</v>
      </c>
      <c r="G17">
        <f>ROUND(G16-G18-G19,1)</f>
        <v>0</v>
      </c>
      <c r="H17" s="151" t="str">
        <f>IF(G17=0,"",INDEX(Tbl_Ped_Lipid,B17,1))</f>
        <v/>
      </c>
      <c r="I17" s="497">
        <f t="shared" ref="I17:T19" si="9">IF($H17="",0,VLOOKUP($H17,Tbl_Glob_ParEnt,I$1,FALSE))*$G17</f>
        <v>0</v>
      </c>
      <c r="J17" s="497">
        <f t="shared" si="9"/>
        <v>0</v>
      </c>
      <c r="K17" s="497">
        <f t="shared" si="9"/>
        <v>0</v>
      </c>
      <c r="L17" s="497">
        <f t="shared" si="9"/>
        <v>0</v>
      </c>
      <c r="M17" s="497">
        <f t="shared" si="9"/>
        <v>0</v>
      </c>
      <c r="N17" s="497">
        <f t="shared" si="9"/>
        <v>0</v>
      </c>
      <c r="O17" s="497">
        <f t="shared" si="9"/>
        <v>0</v>
      </c>
      <c r="P17" s="497">
        <f t="shared" si="9"/>
        <v>0</v>
      </c>
      <c r="Q17" s="497">
        <f t="shared" si="9"/>
        <v>0</v>
      </c>
      <c r="R17" s="497">
        <f t="shared" si="9"/>
        <v>0</v>
      </c>
      <c r="S17" s="497">
        <f t="shared" si="9"/>
        <v>0</v>
      </c>
      <c r="T17" s="497">
        <f t="shared" si="9"/>
        <v>0</v>
      </c>
      <c r="V17" s="151" t="str">
        <f t="shared" si="3"/>
        <v/>
      </c>
      <c r="W17" s="151" t="str">
        <f t="shared" si="2"/>
        <v/>
      </c>
      <c r="Y17" s="151" t="str">
        <f t="shared" si="4"/>
        <v/>
      </c>
      <c r="AA17" s="151"/>
      <c r="AB17" s="151" t="str">
        <f t="shared" si="0"/>
        <v/>
      </c>
    </row>
    <row r="18" spans="1:28" x14ac:dyDescent="0.2">
      <c r="A18" t="s">
        <v>148</v>
      </c>
      <c r="B18" t="b">
        <v>0</v>
      </c>
      <c r="C18">
        <v>1</v>
      </c>
      <c r="G18">
        <f>ROUND(IF(AND(B18,C$16&gt;0),IF(C18&lt;50,C18/10,C18-45),0),1)</f>
        <v>0</v>
      </c>
      <c r="H18" s="151" t="str">
        <f>IF(B18,A18,"")</f>
        <v/>
      </c>
      <c r="I18" s="497">
        <f>IF($H18="",0,VLOOKUP($H18,Tbl_Glob_ParEnt,I$1,FALSE))*$G18</f>
        <v>0</v>
      </c>
      <c r="J18" s="497">
        <f t="shared" si="9"/>
        <v>0</v>
      </c>
      <c r="K18" s="497">
        <f t="shared" si="9"/>
        <v>0</v>
      </c>
      <c r="L18" s="497">
        <f t="shared" si="9"/>
        <v>0</v>
      </c>
      <c r="M18" s="497">
        <f t="shared" si="9"/>
        <v>0</v>
      </c>
      <c r="N18" s="497">
        <f t="shared" si="9"/>
        <v>0</v>
      </c>
      <c r="O18" s="497">
        <f t="shared" si="9"/>
        <v>0</v>
      </c>
      <c r="P18" s="497">
        <f t="shared" si="9"/>
        <v>0</v>
      </c>
      <c r="Q18" s="497">
        <f t="shared" si="9"/>
        <v>0</v>
      </c>
      <c r="R18" s="497">
        <f t="shared" si="9"/>
        <v>0</v>
      </c>
      <c r="S18" s="497">
        <f t="shared" si="9"/>
        <v>0</v>
      </c>
      <c r="T18" s="497">
        <f t="shared" si="9"/>
        <v>0</v>
      </c>
      <c r="V18" s="151" t="str">
        <f t="shared" si="3"/>
        <v/>
      </c>
      <c r="W18" s="151" t="str">
        <f>IF(G18=0,"",G18&amp;" ml")</f>
        <v/>
      </c>
      <c r="Y18" s="151" t="str">
        <f>IF(G18=0,"","verw")</f>
        <v/>
      </c>
      <c r="AA18" s="151"/>
      <c r="AB18" s="151" t="str">
        <f t="shared" si="0"/>
        <v/>
      </c>
    </row>
    <row r="19" spans="1:28" x14ac:dyDescent="0.2">
      <c r="A19" t="s">
        <v>149</v>
      </c>
      <c r="B19" t="b">
        <v>0</v>
      </c>
      <c r="C19">
        <v>1</v>
      </c>
      <c r="G19" s="151">
        <f>ROUND(IF(AND(B19,C$16&gt;0),IF(C19&lt;50,C19/10,C19-45),0),1)</f>
        <v>0</v>
      </c>
      <c r="H19" s="151" t="str">
        <f>IF(B19,A19,"")</f>
        <v/>
      </c>
      <c r="I19" s="497">
        <f>IF($H19="",0,VLOOKUP($H19,Tbl_Glob_ParEnt,I$1,FALSE))*$G19</f>
        <v>0</v>
      </c>
      <c r="J19" s="497">
        <f t="shared" si="9"/>
        <v>0</v>
      </c>
      <c r="K19" s="497">
        <f t="shared" si="9"/>
        <v>0</v>
      </c>
      <c r="L19" s="497">
        <f t="shared" si="9"/>
        <v>0</v>
      </c>
      <c r="M19" s="497">
        <f t="shared" si="9"/>
        <v>0</v>
      </c>
      <c r="N19" s="497">
        <f t="shared" si="9"/>
        <v>0</v>
      </c>
      <c r="O19" s="497">
        <f t="shared" si="9"/>
        <v>0</v>
      </c>
      <c r="P19" s="497">
        <f t="shared" si="9"/>
        <v>0</v>
      </c>
      <c r="Q19" s="497">
        <f t="shared" si="9"/>
        <v>0</v>
      </c>
      <c r="R19" s="497">
        <f t="shared" si="9"/>
        <v>0</v>
      </c>
      <c r="S19" s="497">
        <f t="shared" si="9"/>
        <v>0</v>
      </c>
      <c r="T19" s="497">
        <f t="shared" si="9"/>
        <v>0</v>
      </c>
      <c r="V19" s="151" t="str">
        <f t="shared" si="3"/>
        <v/>
      </c>
      <c r="W19" s="151" t="str">
        <f>IF(G19=0,"",G19&amp;" ml")</f>
        <v/>
      </c>
      <c r="Y19" s="151" t="str">
        <f>IF(G19=0,"","verw")</f>
        <v/>
      </c>
      <c r="AA19" s="151"/>
      <c r="AB19" s="151" t="str">
        <f t="shared" si="0"/>
        <v/>
      </c>
    </row>
    <row r="20" spans="1:28" s="151" customFormat="1" x14ac:dyDescent="0.2">
      <c r="A20" s="152"/>
      <c r="B20" s="151">
        <v>0</v>
      </c>
      <c r="I20" s="497"/>
      <c r="J20" s="497"/>
      <c r="K20" s="497"/>
      <c r="L20" s="497"/>
      <c r="M20" s="497"/>
      <c r="N20" s="497"/>
      <c r="O20" s="497"/>
      <c r="P20" s="497"/>
      <c r="Q20" s="497"/>
      <c r="R20" s="497"/>
      <c r="S20" s="497"/>
      <c r="T20" s="497"/>
      <c r="U20" s="497"/>
    </row>
    <row r="21" spans="1:28" x14ac:dyDescent="0.2">
      <c r="A21" s="152" t="s">
        <v>4824</v>
      </c>
      <c r="C21">
        <v>0</v>
      </c>
      <c r="F21" s="151">
        <f>IF(C21&lt;50,C21/10,IF(C21&lt;146,C21-45,(C21-125)*5))</f>
        <v>0</v>
      </c>
      <c r="G21">
        <f>ROUND(F21*24+G23*E23+G24*E24,1)</f>
        <v>0</v>
      </c>
      <c r="H21" s="151" t="str">
        <f>IF(F21=0,"",A21)</f>
        <v/>
      </c>
      <c r="V21" s="151" t="str">
        <f>IF(F21&gt;0,IF(F21&gt;10,ROUNDUP(G21/24,0),ROUNDUP(G21/24,1))&amp;" ml/uur","")</f>
        <v/>
      </c>
      <c r="W21" s="151" t="str">
        <f t="shared" si="2"/>
        <v/>
      </c>
      <c r="X21" s="151" t="str">
        <f>IF(V21="","",W21)</f>
        <v/>
      </c>
      <c r="Y21" s="151" t="str">
        <f t="shared" si="4"/>
        <v/>
      </c>
      <c r="AA21" s="151" t="str">
        <f>IF(F21&gt;0,"in "&amp;ROUND(G21/IF(F21&gt;10,ROUNDUP(G21/24,0),ROUNDUP(G21/24,1)),1)&amp;" uur","")</f>
        <v/>
      </c>
      <c r="AB21" s="151" t="str">
        <f t="shared" si="0"/>
        <v/>
      </c>
    </row>
    <row r="22" spans="1:28" x14ac:dyDescent="0.2">
      <c r="A22" t="s">
        <v>221</v>
      </c>
      <c r="B22">
        <v>1</v>
      </c>
      <c r="G22">
        <f>ROUND(IF(G21-G23-G24&lt;0,0,G21-G23-G24),1)</f>
        <v>0</v>
      </c>
      <c r="H22" s="151" t="str">
        <f>IF(B22=1,"",INDEX(Tbl_Ped_SST,B22,1))</f>
        <v/>
      </c>
      <c r="I22" s="497">
        <f t="shared" ref="I22:T24" si="10">IF($H22="",0,VLOOKUP($H22,Tbl_Glob_ParEnt,I$1,FALSE))*$G22</f>
        <v>0</v>
      </c>
      <c r="J22" s="497">
        <f t="shared" si="10"/>
        <v>0</v>
      </c>
      <c r="K22" s="497">
        <f t="shared" si="10"/>
        <v>0</v>
      </c>
      <c r="L22" s="497">
        <f t="shared" si="10"/>
        <v>0</v>
      </c>
      <c r="M22" s="497">
        <f t="shared" si="10"/>
        <v>0</v>
      </c>
      <c r="N22" s="497">
        <f t="shared" si="10"/>
        <v>0</v>
      </c>
      <c r="O22" s="497">
        <f t="shared" si="10"/>
        <v>0</v>
      </c>
      <c r="P22" s="497">
        <f t="shared" si="10"/>
        <v>0</v>
      </c>
      <c r="Q22" s="497">
        <f t="shared" si="10"/>
        <v>0</v>
      </c>
      <c r="R22" s="497">
        <f t="shared" si="10"/>
        <v>0</v>
      </c>
      <c r="S22" s="497">
        <f t="shared" si="10"/>
        <v>0</v>
      </c>
      <c r="T22" s="497">
        <f t="shared" si="10"/>
        <v>0</v>
      </c>
      <c r="V22" s="151" t="str">
        <f t="shared" si="3"/>
        <v/>
      </c>
      <c r="W22" s="151" t="str">
        <f t="shared" si="2"/>
        <v/>
      </c>
      <c r="Y22" s="151" t="str">
        <f t="shared" si="4"/>
        <v/>
      </c>
      <c r="AA22" s="151"/>
      <c r="AB22" s="151" t="str">
        <f t="shared" si="0"/>
        <v/>
      </c>
    </row>
    <row r="23" spans="1:28" x14ac:dyDescent="0.2">
      <c r="A23" t="s">
        <v>7890</v>
      </c>
      <c r="B23" t="b">
        <v>0</v>
      </c>
      <c r="C23">
        <v>0</v>
      </c>
      <c r="E23" s="151">
        <v>2</v>
      </c>
      <c r="G23">
        <f>ROUND(IF(B23,IF(C23&lt;50,C23/10,C23-45),0),1)</f>
        <v>0</v>
      </c>
      <c r="H23" s="151" t="str">
        <f>IF(B23,A23,"")</f>
        <v/>
      </c>
      <c r="I23" s="497">
        <f t="shared" si="10"/>
        <v>0</v>
      </c>
      <c r="J23" s="497">
        <f t="shared" si="10"/>
        <v>0</v>
      </c>
      <c r="K23" s="497">
        <f t="shared" si="10"/>
        <v>0</v>
      </c>
      <c r="L23" s="497">
        <f t="shared" si="10"/>
        <v>0</v>
      </c>
      <c r="M23" s="497">
        <f t="shared" si="10"/>
        <v>0</v>
      </c>
      <c r="N23" s="497">
        <f t="shared" si="10"/>
        <v>0</v>
      </c>
      <c r="O23" s="497">
        <f t="shared" si="10"/>
        <v>0</v>
      </c>
      <c r="P23" s="497">
        <f t="shared" si="10"/>
        <v>0</v>
      </c>
      <c r="Q23" s="497">
        <f t="shared" si="10"/>
        <v>0</v>
      </c>
      <c r="R23" s="497">
        <f t="shared" si="10"/>
        <v>0</v>
      </c>
      <c r="S23" s="497">
        <f t="shared" si="10"/>
        <v>0</v>
      </c>
      <c r="T23" s="497">
        <f t="shared" si="10"/>
        <v>0</v>
      </c>
      <c r="V23" s="151" t="str">
        <f t="shared" si="3"/>
        <v/>
      </c>
      <c r="W23" s="151" t="str">
        <f t="shared" si="2"/>
        <v/>
      </c>
      <c r="Y23" s="151" t="str">
        <f t="shared" si="4"/>
        <v/>
      </c>
      <c r="AA23" s="151"/>
      <c r="AB23" s="151" t="str">
        <f t="shared" si="0"/>
        <v/>
      </c>
    </row>
    <row r="24" spans="1:28" x14ac:dyDescent="0.2">
      <c r="A24" t="s">
        <v>168</v>
      </c>
      <c r="B24" t="b">
        <v>0</v>
      </c>
      <c r="C24">
        <v>0</v>
      </c>
      <c r="E24" s="151">
        <f>IF(PedBerIVenPM!K2,5,12.5)</f>
        <v>12.5</v>
      </c>
      <c r="G24" s="151">
        <f>ROUND(IF(B24,IF(C24&lt;50,C24/10,C24-45),0),1)</f>
        <v>0</v>
      </c>
      <c r="H24" s="151" t="str">
        <f>IF(B24,A24,"")</f>
        <v/>
      </c>
      <c r="I24" s="497">
        <f t="shared" si="10"/>
        <v>0</v>
      </c>
      <c r="J24" s="497">
        <f t="shared" si="10"/>
        <v>0</v>
      </c>
      <c r="K24" s="497">
        <f t="shared" si="10"/>
        <v>0</v>
      </c>
      <c r="L24" s="497">
        <f t="shared" si="10"/>
        <v>0</v>
      </c>
      <c r="M24" s="497">
        <f t="shared" si="10"/>
        <v>0</v>
      </c>
      <c r="N24" s="497">
        <f t="shared" si="10"/>
        <v>0</v>
      </c>
      <c r="O24" s="497">
        <f t="shared" si="10"/>
        <v>0</v>
      </c>
      <c r="P24" s="497">
        <f t="shared" si="10"/>
        <v>0</v>
      </c>
      <c r="Q24" s="497">
        <f t="shared" si="10"/>
        <v>0</v>
      </c>
      <c r="R24" s="497">
        <f t="shared" si="10"/>
        <v>0</v>
      </c>
      <c r="S24" s="497">
        <f t="shared" si="10"/>
        <v>0</v>
      </c>
      <c r="T24" s="497">
        <f t="shared" si="10"/>
        <v>0</v>
      </c>
      <c r="V24" s="151" t="str">
        <f t="shared" si="3"/>
        <v/>
      </c>
      <c r="W24" s="151" t="str">
        <f t="shared" si="2"/>
        <v/>
      </c>
      <c r="Y24" s="151" t="str">
        <f t="shared" si="4"/>
        <v/>
      </c>
      <c r="AA24" s="151"/>
      <c r="AB24" s="151" t="str">
        <f t="shared" si="0"/>
        <v/>
      </c>
    </row>
    <row r="25" spans="1:28" x14ac:dyDescent="0.2">
      <c r="I25" s="498" t="s">
        <v>175</v>
      </c>
      <c r="J25" s="498" t="s">
        <v>144</v>
      </c>
      <c r="K25" s="498" t="s">
        <v>140</v>
      </c>
      <c r="L25" s="498" t="s">
        <v>145</v>
      </c>
      <c r="M25" s="498" t="s">
        <v>260</v>
      </c>
      <c r="N25" s="498" t="s">
        <v>261</v>
      </c>
      <c r="O25" s="498" t="s">
        <v>141</v>
      </c>
      <c r="P25" s="498" t="s">
        <v>142</v>
      </c>
      <c r="Q25" s="498" t="s">
        <v>143</v>
      </c>
      <c r="R25" s="498" t="s">
        <v>808</v>
      </c>
      <c r="S25" s="498" t="s">
        <v>807</v>
      </c>
      <c r="T25" s="498" t="s">
        <v>806</v>
      </c>
      <c r="U25" s="498" t="s">
        <v>259</v>
      </c>
    </row>
    <row r="26" spans="1:28" x14ac:dyDescent="0.2">
      <c r="A26" t="s">
        <v>85</v>
      </c>
      <c r="G26">
        <f>SUM(G5:G24)-G21-G16</f>
        <v>0</v>
      </c>
      <c r="I26" s="497">
        <f t="shared" ref="I26:T26" si="11">SUM(I3:I24)</f>
        <v>0</v>
      </c>
      <c r="J26" s="497">
        <f t="shared" si="11"/>
        <v>0</v>
      </c>
      <c r="K26" s="497">
        <f t="shared" si="11"/>
        <v>0</v>
      </c>
      <c r="L26" s="497">
        <f t="shared" si="11"/>
        <v>0</v>
      </c>
      <c r="M26" s="497">
        <f t="shared" si="11"/>
        <v>0</v>
      </c>
      <c r="N26" s="497">
        <f t="shared" si="11"/>
        <v>0</v>
      </c>
      <c r="O26" s="497">
        <f t="shared" si="11"/>
        <v>0</v>
      </c>
      <c r="P26" s="497">
        <f t="shared" si="11"/>
        <v>0</v>
      </c>
      <c r="Q26" s="497">
        <f t="shared" si="11"/>
        <v>0</v>
      </c>
      <c r="R26" s="497">
        <f t="shared" si="11"/>
        <v>0</v>
      </c>
      <c r="S26" s="497">
        <f t="shared" si="11"/>
        <v>0</v>
      </c>
      <c r="T26" s="497">
        <f t="shared" si="11"/>
        <v>0</v>
      </c>
      <c r="U26" s="497">
        <f>G26</f>
        <v>0</v>
      </c>
    </row>
    <row r="27" spans="1:28" x14ac:dyDescent="0.2">
      <c r="A27" s="363"/>
      <c r="B27" s="363"/>
      <c r="C27" s="363"/>
      <c r="D27" s="363"/>
      <c r="E27" s="363"/>
      <c r="F27" s="363"/>
      <c r="G27" s="363"/>
      <c r="H27" s="363"/>
      <c r="I27" s="357"/>
      <c r="J27" s="357"/>
      <c r="K27" s="357"/>
      <c r="L27" s="357"/>
      <c r="M27" s="357"/>
      <c r="N27" s="357"/>
      <c r="O27" s="357"/>
      <c r="P27" s="357"/>
      <c r="Q27" s="357"/>
      <c r="R27" s="357"/>
    </row>
    <row r="28" spans="1:28" x14ac:dyDescent="0.2">
      <c r="A28" s="496" t="s">
        <v>181</v>
      </c>
      <c r="B28" s="701">
        <v>0</v>
      </c>
      <c r="C28" s="357"/>
      <c r="D28" s="357"/>
      <c r="E28" s="357"/>
      <c r="F28" s="357"/>
      <c r="G28" s="357"/>
      <c r="H28" s="357"/>
      <c r="I28" s="357"/>
      <c r="J28" s="357"/>
      <c r="K28" s="357"/>
      <c r="L28" s="357"/>
      <c r="M28" s="357"/>
      <c r="N28" s="357"/>
      <c r="O28" s="357"/>
      <c r="P28" s="357"/>
      <c r="Q28" s="357"/>
      <c r="R28" s="357"/>
    </row>
    <row r="29" spans="1:28" x14ac:dyDescent="0.2">
      <c r="A29" s="363"/>
      <c r="B29" s="363"/>
      <c r="C29" s="363"/>
      <c r="D29" s="363"/>
      <c r="E29" s="363"/>
      <c r="F29" s="363"/>
      <c r="G29" s="363"/>
      <c r="H29" s="363"/>
      <c r="I29" s="357"/>
      <c r="J29" s="357"/>
      <c r="K29" s="357"/>
      <c r="L29" s="357"/>
      <c r="M29" s="357"/>
      <c r="N29" s="357"/>
      <c r="O29" s="357"/>
      <c r="P29" s="357"/>
      <c r="Q29" s="357"/>
      <c r="R29" s="357"/>
    </row>
    <row r="30" spans="1:28" ht="38.25" x14ac:dyDescent="0.2">
      <c r="A30" s="357"/>
      <c r="B30" s="709" t="s">
        <v>5161</v>
      </c>
      <c r="C30" s="709" t="s">
        <v>5162</v>
      </c>
      <c r="D30" s="709" t="s">
        <v>5163</v>
      </c>
      <c r="E30" s="709" t="s">
        <v>5164</v>
      </c>
      <c r="F30" s="709" t="s">
        <v>5165</v>
      </c>
      <c r="G30" s="709" t="s">
        <v>5166</v>
      </c>
      <c r="H30" s="709" t="s">
        <v>5167</v>
      </c>
      <c r="I30" s="357"/>
      <c r="J30" s="357"/>
      <c r="K30" s="357"/>
      <c r="L30" s="357"/>
      <c r="M30" s="357"/>
      <c r="N30" s="357"/>
      <c r="O30" s="357"/>
      <c r="P30" s="357"/>
      <c r="Q30" s="357"/>
      <c r="R30" s="357"/>
    </row>
    <row r="31" spans="1:28" x14ac:dyDescent="0.2">
      <c r="B31" s="709" t="str">
        <f>IF(NOT(D5),IF(H5="","",H5&amp;"::"&amp;W5),"")</f>
        <v/>
      </c>
      <c r="C31" s="709" t="str">
        <f>IF(NOT($H$21=""),H22&amp;"::"&amp;W22,"")</f>
        <v/>
      </c>
      <c r="D31" s="709" t="str">
        <f>IF(AND(D5,H5&lt;&gt;""),H5&amp;"::"&amp;W5,"")</f>
        <v/>
      </c>
      <c r="E31" s="709" t="str">
        <f>IF(AND(D6,H6&lt;&gt;""),H6&amp;"::"&amp;W6,"")</f>
        <v/>
      </c>
      <c r="F31" s="709" t="str">
        <f>IF(D11,IF(H11="","",H11&amp;"::"&amp;W11),"")</f>
        <v/>
      </c>
      <c r="G31" s="709" t="str">
        <f>IF(H14="","",H14&amp;"::"&amp;W14)</f>
        <v/>
      </c>
      <c r="H31" s="709" t="str">
        <f>IF(H17="","",H17&amp;"::"&amp;W17)</f>
        <v/>
      </c>
      <c r="I31" s="357"/>
      <c r="J31" s="357"/>
      <c r="K31" s="357"/>
      <c r="L31" s="357"/>
      <c r="M31" s="357"/>
      <c r="N31" s="357"/>
      <c r="O31" s="357"/>
      <c r="P31" s="357"/>
      <c r="Q31" s="357"/>
      <c r="R31" s="357"/>
    </row>
    <row r="32" spans="1:28" x14ac:dyDescent="0.2">
      <c r="B32" s="709" t="str">
        <f>IF(NOT(D6),IF(H6="","",H6&amp;"::"&amp;W6),"")</f>
        <v/>
      </c>
      <c r="C32" s="709" t="str">
        <f t="shared" ref="C32:C33" si="12">IF(NOT($H$21=""),H23&amp;"::"&amp;W23,"")</f>
        <v/>
      </c>
      <c r="D32" s="709"/>
      <c r="E32" s="709" t="str">
        <f>IF(AND(D7,H7&lt;&gt;""),H7&amp;"::"&amp;W7,"")</f>
        <v/>
      </c>
      <c r="F32" s="709" t="str">
        <f>IF(D11,IF(H12="","",H12&amp;"::"&amp;W12),"")</f>
        <v/>
      </c>
      <c r="G32" s="709" t="str">
        <f>IF(H15="","",H15&amp;"::"&amp;W15)</f>
        <v/>
      </c>
      <c r="H32" s="709" t="str">
        <f t="shared" ref="H32:H33" si="13">IF(H18="","",H18&amp;"::"&amp;W18)</f>
        <v/>
      </c>
      <c r="I32" s="357"/>
      <c r="J32" s="357"/>
      <c r="K32" s="357"/>
      <c r="L32" s="357"/>
      <c r="M32" s="357"/>
      <c r="N32" s="357"/>
      <c r="O32" s="357"/>
      <c r="P32" s="357"/>
      <c r="Q32" s="357"/>
      <c r="R32" s="357"/>
    </row>
    <row r="33" spans="1:18" x14ac:dyDescent="0.2">
      <c r="B33" s="709" t="str">
        <f>IF(B8&gt;1,H8&amp;"::"&amp;W8,"")</f>
        <v/>
      </c>
      <c r="C33" s="709" t="str">
        <f t="shared" si="12"/>
        <v/>
      </c>
      <c r="D33" s="709"/>
      <c r="E33" s="709"/>
      <c r="F33" s="709" t="str">
        <f>IF(D11,IF(H13="","",H13&amp;"::"&amp;W13),"")</f>
        <v/>
      </c>
      <c r="G33" s="709"/>
      <c r="H33" s="709" t="str">
        <f t="shared" si="13"/>
        <v/>
      </c>
      <c r="I33" s="357"/>
      <c r="J33" s="357"/>
      <c r="K33" s="357"/>
      <c r="L33" s="357"/>
      <c r="M33" s="357"/>
      <c r="N33" s="357"/>
      <c r="O33" s="357"/>
      <c r="P33" s="357"/>
      <c r="Q33" s="357"/>
      <c r="R33" s="357"/>
    </row>
    <row r="34" spans="1:18" x14ac:dyDescent="0.2">
      <c r="B34" s="709" t="str">
        <f>IF(B9,H9&amp;"::"&amp;W9,"")</f>
        <v/>
      </c>
      <c r="C34" s="709"/>
      <c r="D34" s="709"/>
      <c r="E34" s="709"/>
      <c r="F34" s="709"/>
      <c r="G34" s="709"/>
      <c r="H34" s="709"/>
      <c r="I34" s="357"/>
      <c r="J34" s="357"/>
      <c r="K34" s="357"/>
      <c r="L34" s="357"/>
      <c r="M34" s="357"/>
      <c r="N34" s="357"/>
      <c r="O34" s="357"/>
      <c r="P34" s="357"/>
      <c r="Q34" s="357"/>
      <c r="R34" s="357"/>
    </row>
    <row r="35" spans="1:18" x14ac:dyDescent="0.2">
      <c r="B35" s="709" t="str">
        <f>IF(B10,H10&amp;"::"&amp;W10,"")</f>
        <v/>
      </c>
      <c r="C35" s="709" t="str">
        <f t="shared" ref="C35:C36" si="14">IF(NOT(E9),I9&amp;"::"&amp;Y9,"")</f>
        <v/>
      </c>
      <c r="D35" s="709"/>
      <c r="E35" s="709"/>
      <c r="F35" s="709"/>
      <c r="G35" s="709"/>
      <c r="H35" s="709"/>
      <c r="I35" s="357"/>
      <c r="J35" s="357"/>
      <c r="K35" s="357"/>
      <c r="L35" s="357"/>
      <c r="M35" s="357"/>
      <c r="N35" s="357"/>
      <c r="O35" s="357"/>
      <c r="P35" s="357"/>
      <c r="Q35" s="357"/>
      <c r="R35" s="357"/>
    </row>
    <row r="36" spans="1:18" x14ac:dyDescent="0.2">
      <c r="B36" s="709" t="str">
        <f>IF(AND(H12&lt;&gt;"",NOT(D11)),H12&amp;"::"&amp;W12,"")</f>
        <v/>
      </c>
      <c r="C36" s="709" t="str">
        <f t="shared" si="14"/>
        <v/>
      </c>
      <c r="D36" s="709"/>
      <c r="E36" s="709"/>
      <c r="F36" s="709"/>
      <c r="G36" s="709"/>
      <c r="H36" s="709"/>
      <c r="I36" s="357"/>
      <c r="J36" s="357"/>
      <c r="K36" s="357"/>
      <c r="L36" s="357"/>
      <c r="M36" s="357"/>
      <c r="N36" s="357"/>
      <c r="O36" s="357"/>
      <c r="P36" s="357"/>
      <c r="Q36" s="357"/>
      <c r="R36" s="357"/>
    </row>
    <row r="37" spans="1:18" x14ac:dyDescent="0.2">
      <c r="B37" s="709" t="str">
        <f>IF(AND(H13&lt;&gt;"",NOT(D11)),H13&amp;"::"&amp;W13,"")</f>
        <v/>
      </c>
      <c r="C37" s="709"/>
      <c r="D37" s="709"/>
      <c r="E37" s="709"/>
      <c r="F37" s="709"/>
      <c r="G37" s="709"/>
      <c r="H37" s="709"/>
      <c r="I37" s="357"/>
      <c r="J37" s="357"/>
      <c r="K37" s="357"/>
      <c r="L37" s="357"/>
      <c r="M37" s="357"/>
      <c r="N37" s="357"/>
      <c r="O37" s="357"/>
      <c r="P37" s="357"/>
      <c r="Q37" s="357"/>
      <c r="R37" s="357"/>
    </row>
    <row r="38" spans="1:18" x14ac:dyDescent="0.2">
      <c r="A38" s="707"/>
      <c r="B38" s="709" t="str">
        <f>ConcatenateRange(B31:B37,"##")</f>
        <v/>
      </c>
      <c r="C38" s="709" t="str">
        <f>ConcatenateRange(C31:C37,"##")</f>
        <v/>
      </c>
      <c r="D38" s="709" t="str">
        <f>ConcatenateRange(D31:D37,"##")</f>
        <v/>
      </c>
      <c r="E38" s="709" t="str">
        <f>ConcatenateRange(E31:E37,"##")</f>
        <v/>
      </c>
      <c r="F38" s="709" t="str">
        <f>ConcatenateRange(F31:F37,"##")</f>
        <v/>
      </c>
      <c r="G38" s="709" t="str">
        <f>ConcatenateRange(G31:G37,"##")</f>
        <v/>
      </c>
      <c r="H38" s="709" t="str">
        <f>ConcatenateRange(H31:H37,"##")</f>
        <v/>
      </c>
      <c r="I38" s="357"/>
      <c r="J38" s="357"/>
      <c r="K38" s="357"/>
      <c r="L38" s="357"/>
      <c r="M38" s="357"/>
      <c r="N38" s="357"/>
      <c r="O38" s="357"/>
      <c r="P38" s="357"/>
      <c r="Q38" s="357"/>
      <c r="R38" s="357"/>
    </row>
    <row r="39" spans="1:18" x14ac:dyDescent="0.2">
      <c r="A39" s="357"/>
      <c r="B39" s="707"/>
      <c r="D39" s="363"/>
      <c r="E39" s="363"/>
      <c r="F39" s="363"/>
      <c r="G39" s="363"/>
      <c r="H39" s="363"/>
      <c r="I39" s="357"/>
      <c r="J39" s="357"/>
      <c r="K39" s="357"/>
      <c r="L39" s="357"/>
      <c r="M39" s="357"/>
      <c r="N39" s="357"/>
      <c r="O39" s="357"/>
      <c r="P39" s="357"/>
      <c r="Q39" s="357"/>
      <c r="R39" s="357"/>
    </row>
    <row r="40" spans="1:18" x14ac:dyDescent="0.2">
      <c r="A40" s="357"/>
      <c r="B40" s="363"/>
      <c r="D40" s="363"/>
      <c r="E40" s="363"/>
      <c r="F40" s="363"/>
      <c r="G40" s="363"/>
      <c r="H40" s="363"/>
      <c r="I40" s="357"/>
      <c r="J40" s="357"/>
      <c r="K40" s="357"/>
      <c r="L40" s="357"/>
      <c r="M40" s="357"/>
      <c r="N40" s="357"/>
      <c r="O40" s="357"/>
      <c r="P40" s="357"/>
      <c r="Q40" s="357"/>
      <c r="R40" s="357"/>
    </row>
    <row r="41" spans="1:18" x14ac:dyDescent="0.2">
      <c r="A41" s="357"/>
      <c r="B41" s="363"/>
      <c r="D41" s="363"/>
      <c r="E41" s="363"/>
      <c r="F41" s="363"/>
      <c r="G41" s="363"/>
      <c r="H41" s="363"/>
      <c r="I41" s="357"/>
      <c r="J41" s="357"/>
      <c r="K41" s="357"/>
      <c r="L41" s="357"/>
      <c r="M41" s="357"/>
      <c r="N41" s="357"/>
      <c r="O41" s="357"/>
      <c r="P41" s="357"/>
      <c r="Q41" s="357"/>
      <c r="R41" s="357"/>
    </row>
    <row r="42" spans="1:18" x14ac:dyDescent="0.2">
      <c r="A42" s="357"/>
      <c r="B42" s="363"/>
      <c r="C42" s="363"/>
      <c r="D42" s="363"/>
      <c r="E42" s="363"/>
      <c r="F42" s="363"/>
      <c r="G42" s="363"/>
      <c r="H42" s="363"/>
      <c r="I42" s="357"/>
      <c r="J42" s="357"/>
      <c r="K42" s="357"/>
      <c r="L42" s="509"/>
      <c r="M42" s="357"/>
      <c r="N42" s="357"/>
      <c r="O42" s="357"/>
      <c r="P42" s="357"/>
      <c r="Q42" s="357"/>
      <c r="R42" s="357"/>
    </row>
    <row r="43" spans="1:18" x14ac:dyDescent="0.2">
      <c r="A43" s="363"/>
      <c r="C43" s="363"/>
      <c r="D43" s="363"/>
      <c r="E43" s="363"/>
      <c r="F43" s="363"/>
      <c r="G43" s="363"/>
      <c r="H43" s="363"/>
      <c r="I43" s="357"/>
      <c r="J43" s="357"/>
      <c r="K43" s="357"/>
      <c r="L43" s="357"/>
      <c r="M43" s="357"/>
      <c r="N43" s="357"/>
      <c r="O43" s="357"/>
      <c r="P43" s="357"/>
      <c r="Q43" s="357"/>
      <c r="R43" s="357"/>
    </row>
    <row r="44" spans="1:18" x14ac:dyDescent="0.2">
      <c r="A44" s="363"/>
      <c r="C44" s="363"/>
      <c r="D44" s="363"/>
      <c r="E44" s="363"/>
      <c r="F44" s="363"/>
      <c r="G44" s="363"/>
      <c r="H44" s="363"/>
      <c r="I44" s="357"/>
      <c r="J44" s="357"/>
      <c r="K44" s="357"/>
      <c r="L44" s="357"/>
      <c r="M44" s="357"/>
      <c r="N44" s="357"/>
      <c r="O44" s="357"/>
      <c r="P44" s="357"/>
      <c r="Q44" s="357"/>
      <c r="R44" s="357"/>
    </row>
    <row r="45" spans="1:18" x14ac:dyDescent="0.2">
      <c r="P45" s="498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7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G8" sqref="G8"/>
    </sheetView>
  </sheetViews>
  <sheetFormatPr defaultRowHeight="12.75" x14ac:dyDescent="0.2"/>
  <cols>
    <col min="1" max="1" width="21.85546875" style="151" customWidth="1"/>
    <col min="2" max="9" width="13" style="151" customWidth="1"/>
    <col min="10" max="10" width="14.85546875" style="151" customWidth="1"/>
    <col min="11" max="13" width="13" style="151" customWidth="1"/>
  </cols>
  <sheetData>
    <row r="1" spans="1:14" s="151" customFormat="1" x14ac:dyDescent="0.2">
      <c r="A1" s="497">
        <v>1</v>
      </c>
      <c r="B1" s="497">
        <v>2</v>
      </c>
      <c r="C1" s="497">
        <v>3</v>
      </c>
      <c r="D1" s="497">
        <v>4</v>
      </c>
      <c r="E1" s="497">
        <v>5</v>
      </c>
      <c r="F1" s="497">
        <v>6</v>
      </c>
      <c r="G1" s="497">
        <v>7</v>
      </c>
      <c r="H1" s="497">
        <v>8</v>
      </c>
      <c r="I1" s="497">
        <v>9</v>
      </c>
      <c r="J1" s="497">
        <v>10</v>
      </c>
      <c r="K1" s="497">
        <v>11</v>
      </c>
      <c r="L1" s="497">
        <v>12</v>
      </c>
      <c r="M1" s="497">
        <v>13</v>
      </c>
    </row>
    <row r="2" spans="1:14" s="9" customFormat="1" x14ac:dyDescent="0.2">
      <c r="A2" s="51" t="s">
        <v>4761</v>
      </c>
      <c r="B2" s="51" t="s">
        <v>3285</v>
      </c>
      <c r="C2" s="51" t="s">
        <v>4762</v>
      </c>
      <c r="D2" s="51" t="s">
        <v>4763</v>
      </c>
      <c r="E2" s="51" t="s">
        <v>4764</v>
      </c>
      <c r="F2" s="51" t="s">
        <v>4765</v>
      </c>
      <c r="G2" s="51" t="s">
        <v>174</v>
      </c>
      <c r="H2" s="51" t="s">
        <v>85</v>
      </c>
      <c r="I2" s="51" t="s">
        <v>4056</v>
      </c>
      <c r="J2" s="51" t="s">
        <v>418</v>
      </c>
      <c r="K2" s="51" t="s">
        <v>88</v>
      </c>
    </row>
    <row r="3" spans="1:14" x14ac:dyDescent="0.2">
      <c r="A3" s="152" t="s">
        <v>175</v>
      </c>
      <c r="B3" s="152" t="s">
        <v>4043</v>
      </c>
      <c r="C3" s="152">
        <f>C5*4+C6*4+C7*9</f>
        <v>0</v>
      </c>
      <c r="D3" s="152">
        <f t="shared" ref="D3:E3" si="0">D5*4+D6*4+D7*9</f>
        <v>0</v>
      </c>
      <c r="E3" s="152">
        <f t="shared" si="0"/>
        <v>0</v>
      </c>
      <c r="F3" s="152">
        <f>HLOOKUP(A3,PedBerEnt!$L$2:$X$8,7,FALSE)</f>
        <v>0</v>
      </c>
      <c r="G3" s="152">
        <f>HLOOKUP(PedBerTot!A3,PedBerTPN!$I$25:$U$26,2,FALSE)</f>
        <v>0</v>
      </c>
      <c r="H3" s="152">
        <f>SUM($C3:$G3)</f>
        <v>0</v>
      </c>
      <c r="I3" s="152">
        <f t="shared" ref="I3:I15" si="1">IF(_Pat_Gewicht&gt;0, H3/(_Pat_Gewicht),0)</f>
        <v>0</v>
      </c>
      <c r="J3" s="151" t="str">
        <f>IF(N3&gt;2,FixPrecision(HLOOKUP(A3,Tbl_Ped_TPN_Advice,N3,FALSE),2),"")&amp;" "&amp;B3&amp;"/kg"</f>
        <v xml:space="preserve"> kcal/kg</v>
      </c>
      <c r="L3" s="151" t="str">
        <f>FixPrecision(H3,1)&amp;" "&amp;$B3</f>
        <v>0 kcal</v>
      </c>
      <c r="M3" s="151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152" t="s">
        <v>259</v>
      </c>
      <c r="B4" s="152" t="s">
        <v>119</v>
      </c>
      <c r="C4" s="152">
        <f>HLOOKUP(A4,PedBerMedIV!$M$26:$U$27, 2,FALSE)</f>
        <v>0</v>
      </c>
      <c r="D4" s="152">
        <f>HLOOKUP(A4,GlobBerMedDisc!$Q$32:$T$33, 2,FALSE)</f>
        <v>0</v>
      </c>
      <c r="E4" s="152">
        <f>HLOOKUP(A4,PedBerIVenPM!$E$8:$G$9,2,FALSE)</f>
        <v>0</v>
      </c>
      <c r="F4" s="152">
        <f>HLOOKUP(A4,PedBerEnt!$L$2:$X$8,7,FALSE)</f>
        <v>0</v>
      </c>
      <c r="G4" s="152">
        <f>HLOOKUP(PedBerTot!A4,PedBerTPN!$I$25:$U$26,2,FALSE)</f>
        <v>0</v>
      </c>
      <c r="H4" s="152">
        <f t="shared" ref="H4:H15" si="2">SUM($C4:$G4)</f>
        <v>0</v>
      </c>
      <c r="I4" s="152">
        <f t="shared" si="1"/>
        <v>0</v>
      </c>
      <c r="J4" s="151" t="str">
        <f ca="1">IF(N4&gt;2,FixPrecision(HLOOKUP(A4,Tbl_Ped_TPN_Advice,N4,FALSE),2),IF(GlobBerNorm!A18=0,"",GlobBerNorm!A18))&amp;" "&amp;B4&amp;"/kg"</f>
        <v>150 ml/kg</v>
      </c>
      <c r="L4" s="151" t="str">
        <f t="shared" ref="L4:L15" si="3">FixPrecision(H4,1)&amp;" "&amp;$B4</f>
        <v>0 ml</v>
      </c>
      <c r="M4" s="151" t="str">
        <f t="shared" ref="M4:M7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152" t="s">
        <v>140</v>
      </c>
      <c r="B5" s="152" t="s">
        <v>29</v>
      </c>
      <c r="C5" s="152">
        <f>HLOOKUP(A5,PedBerMedIV!$M$26:$U$27, 2,FALSE)</f>
        <v>0</v>
      </c>
      <c r="D5" s="152">
        <f>HLOOKUP(A5,GlobBerMedDisc!$Q$32:$T$33, 2,FALSE)</f>
        <v>0</v>
      </c>
      <c r="E5" s="152"/>
      <c r="F5" s="152">
        <f>HLOOKUP(A5,PedBerEnt!$L$2:$X$8,7,FALSE)</f>
        <v>0</v>
      </c>
      <c r="G5" s="152">
        <f>HLOOKUP(PedBerTot!A5,PedBerTPN!$I$25:$U$26,2,FALSE)</f>
        <v>0</v>
      </c>
      <c r="H5" s="152">
        <f t="shared" si="2"/>
        <v>0</v>
      </c>
      <c r="I5" s="152">
        <f t="shared" si="1"/>
        <v>0</v>
      </c>
      <c r="J5" s="151" t="str">
        <f>IF(N5&gt;2,FixPrecision(HLOOKUP(A5,Tbl_Ped_TPN_Advice,N5,FALSE),2),"")&amp;" "&amp;B5&amp;"/kg"</f>
        <v xml:space="preserve"> gram/kg</v>
      </c>
      <c r="L5" s="151" t="str">
        <f t="shared" si="3"/>
        <v>0 gram</v>
      </c>
      <c r="M5" s="151" t="str">
        <f t="shared" si="4"/>
        <v>0 gram/kg</v>
      </c>
      <c r="N5" s="152">
        <f>IF(E22,3,IF(E23,4,IF(E24,5,IF(E25,6,IF(E26,7,IF(E27,8,1))))))</f>
        <v>1</v>
      </c>
    </row>
    <row r="6" spans="1:14" x14ac:dyDescent="0.2">
      <c r="A6" s="152" t="s">
        <v>144</v>
      </c>
      <c r="B6" s="152" t="s">
        <v>29</v>
      </c>
      <c r="C6" s="152">
        <f>HLOOKUP(A6,PedBerMedIV!$M$26:$U$27, 2,FALSE)</f>
        <v>0</v>
      </c>
      <c r="D6" s="152"/>
      <c r="E6" s="152"/>
      <c r="F6" s="152">
        <f>HLOOKUP(A6,PedBerEnt!$L$2:$X$8,7,FALSE)</f>
        <v>0</v>
      </c>
      <c r="G6" s="152">
        <f>HLOOKUP(PedBerTot!A6,PedBerTPN!$I$25:$U$26,2,FALSE)</f>
        <v>0</v>
      </c>
      <c r="H6" s="152">
        <f t="shared" si="2"/>
        <v>0</v>
      </c>
      <c r="I6" s="152">
        <f t="shared" si="1"/>
        <v>0</v>
      </c>
      <c r="J6" s="151" t="str">
        <f>IF(N6&gt;2,FixPrecision(HLOOKUP(A6,Tbl_Ped_TPN_Advice,N6,FALSE),2),"")&amp;" "&amp;B6&amp;"/kg"</f>
        <v xml:space="preserve"> gram/kg</v>
      </c>
      <c r="L6" s="151" t="str">
        <f t="shared" si="3"/>
        <v>0 gram</v>
      </c>
      <c r="M6" s="151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152" t="s">
        <v>145</v>
      </c>
      <c r="B7" s="152" t="s">
        <v>29</v>
      </c>
      <c r="C7" s="152">
        <f>HLOOKUP(A7,PedBerMedIV!$M$26:$U$27, 2,FALSE)</f>
        <v>0</v>
      </c>
      <c r="D7" s="152"/>
      <c r="E7" s="152"/>
      <c r="F7" s="152">
        <f>HLOOKUP(A7,PedBerEnt!$L$2:$X$8,7,FALSE)</f>
        <v>0</v>
      </c>
      <c r="G7" s="152">
        <f>HLOOKUP(PedBerTot!A7,PedBerTPN!$I$25:$U$26,2,FALSE)</f>
        <v>0</v>
      </c>
      <c r="H7" s="152">
        <f t="shared" si="2"/>
        <v>0</v>
      </c>
      <c r="I7" s="152">
        <f t="shared" si="1"/>
        <v>0</v>
      </c>
      <c r="J7" s="151" t="str">
        <f>IF(N7&gt;2,FixPrecision(HLOOKUP(A7,Tbl_Ped_TPN_Advice,N7,FALSE),2),"")&amp;" "&amp;B7&amp;"/kg"</f>
        <v xml:space="preserve"> gram/kg</v>
      </c>
      <c r="L7" s="151" t="str">
        <f t="shared" si="3"/>
        <v>0 gram</v>
      </c>
      <c r="M7" s="151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152" t="s">
        <v>260</v>
      </c>
      <c r="B8" s="152" t="s">
        <v>369</v>
      </c>
      <c r="C8" s="152">
        <f>HLOOKUP(A8,PedBerMedIV!$M$26:$U$27, 2,FALSE)</f>
        <v>0</v>
      </c>
      <c r="D8" s="152">
        <f>HLOOKUP(A8,GlobBerMedDisc!$Q$32:$T$33, 2,FALSE)</f>
        <v>0</v>
      </c>
      <c r="E8" s="152">
        <f>HLOOKUP(A8,PedBerIVenPM!$E$8:$G$9,2,FALSE)</f>
        <v>0</v>
      </c>
      <c r="F8" s="152">
        <f>HLOOKUP(A8,PedBerEnt!$L$2:$X$8,7,FALSE)</f>
        <v>0</v>
      </c>
      <c r="G8" s="152">
        <f>HLOOKUP(PedBerTot!A8,PedBerTPN!$I$25:$U$26,2,FALSE)</f>
        <v>0</v>
      </c>
      <c r="H8" s="152">
        <f t="shared" si="2"/>
        <v>0</v>
      </c>
      <c r="I8" s="152">
        <f t="shared" si="1"/>
        <v>0</v>
      </c>
      <c r="J8" s="152" t="s">
        <v>267</v>
      </c>
      <c r="L8" s="151" t="str">
        <f t="shared" si="3"/>
        <v>0 mmol</v>
      </c>
      <c r="M8" s="151" t="str">
        <f t="shared" ref="M8:M14" si="5">FixPrecision(I8,2)&amp;" "&amp;$B8&amp;"/kg"</f>
        <v>0 mmol/kg</v>
      </c>
    </row>
    <row r="9" spans="1:14" x14ac:dyDescent="0.2">
      <c r="A9" s="152" t="s">
        <v>261</v>
      </c>
      <c r="B9" s="152" t="s">
        <v>369</v>
      </c>
      <c r="C9" s="152">
        <f>HLOOKUP(A9,PedBerMedIV!$M$26:$U$27, 2,FALSE)</f>
        <v>0</v>
      </c>
      <c r="D9" s="152"/>
      <c r="E9" s="152"/>
      <c r="F9" s="152">
        <f>HLOOKUP(A9,PedBerEnt!$L$2:$X$8,7,FALSE)</f>
        <v>0</v>
      </c>
      <c r="G9" s="152">
        <f>HLOOKUP(PedBerTot!A9,PedBerTPN!$I$25:$U$26,2,FALSE)</f>
        <v>0</v>
      </c>
      <c r="H9" s="152">
        <f t="shared" si="2"/>
        <v>0</v>
      </c>
      <c r="I9" s="152">
        <f t="shared" si="1"/>
        <v>0</v>
      </c>
      <c r="J9" s="152" t="s">
        <v>266</v>
      </c>
      <c r="L9" s="151" t="str">
        <f t="shared" si="3"/>
        <v>0 mmol</v>
      </c>
      <c r="M9" s="151" t="str">
        <f t="shared" si="5"/>
        <v>0 mmol/kg</v>
      </c>
    </row>
    <row r="10" spans="1:14" x14ac:dyDescent="0.2">
      <c r="A10" s="152" t="s">
        <v>806</v>
      </c>
      <c r="B10" s="152" t="s">
        <v>369</v>
      </c>
      <c r="C10" s="152">
        <f>HLOOKUP(A10,PedBerMedIV!$M$26:$U$27, 2,FALSE)</f>
        <v>0</v>
      </c>
      <c r="D10" s="152"/>
      <c r="E10" s="152">
        <f>HLOOKUP(A10,PedBerIVenPM!$E$8:$G$9,2,FALSE)</f>
        <v>0</v>
      </c>
      <c r="F10" s="152">
        <f>HLOOKUP(A10,PedBerEnt!$L$2:$X$8,7,FALSE)</f>
        <v>0</v>
      </c>
      <c r="G10" s="152">
        <f>HLOOKUP(PedBerTot!A10,PedBerTPN!$I$25:$U$26,2,FALSE)</f>
        <v>0</v>
      </c>
      <c r="H10" s="152">
        <f t="shared" si="2"/>
        <v>0</v>
      </c>
      <c r="I10" s="152">
        <f t="shared" si="1"/>
        <v>0</v>
      </c>
      <c r="J10" s="157" t="s">
        <v>3475</v>
      </c>
      <c r="L10" s="151" t="str">
        <f t="shared" si="3"/>
        <v>0 mmol</v>
      </c>
      <c r="M10" s="151" t="str">
        <f t="shared" si="5"/>
        <v>0 mmol/kg</v>
      </c>
    </row>
    <row r="11" spans="1:14" x14ac:dyDescent="0.2">
      <c r="A11" s="152" t="s">
        <v>141</v>
      </c>
      <c r="B11" s="152" t="s">
        <v>369</v>
      </c>
      <c r="C11" s="152"/>
      <c r="D11" s="152"/>
      <c r="E11" s="152"/>
      <c r="F11" s="152">
        <f>HLOOKUP(A11,PedBerEnt!$L$2:$X$8,7,FALSE)</f>
        <v>0</v>
      </c>
      <c r="G11" s="152">
        <f>HLOOKUP(PedBerTot!A11,PedBerTPN!$I$25:$U$26,2,FALSE)</f>
        <v>0</v>
      </c>
      <c r="H11" s="152">
        <f t="shared" si="2"/>
        <v>0</v>
      </c>
      <c r="I11" s="152">
        <f t="shared" si="1"/>
        <v>0</v>
      </c>
      <c r="J11" s="151" t="str">
        <f>IF(_Pat_Gewicht&lt;10,"0,8",IF(_Pat_Gewicht&lt;20,"0,5","0,2"))&amp;" mmol/kg"</f>
        <v>0,8 mmol/kg</v>
      </c>
      <c r="L11" s="151" t="str">
        <f t="shared" si="3"/>
        <v>0 mmol</v>
      </c>
      <c r="M11" s="151" t="str">
        <f t="shared" si="5"/>
        <v>0 mmol/kg</v>
      </c>
    </row>
    <row r="12" spans="1:14" x14ac:dyDescent="0.2">
      <c r="A12" s="152" t="s">
        <v>142</v>
      </c>
      <c r="B12" s="152" t="s">
        <v>369</v>
      </c>
      <c r="C12" s="152"/>
      <c r="D12" s="152"/>
      <c r="E12" s="152"/>
      <c r="F12" s="152">
        <f>HLOOKUP(A12,PedBerEnt!$L$2:$X$8,7,FALSE)</f>
        <v>0</v>
      </c>
      <c r="G12" s="152">
        <f>HLOOKUP(PedBerTot!A12,PedBerTPN!$I$25:$U$26,2,FALSE)</f>
        <v>0</v>
      </c>
      <c r="H12" s="152">
        <f t="shared" si="2"/>
        <v>0</v>
      </c>
      <c r="I12" s="152">
        <f t="shared" si="1"/>
        <v>0</v>
      </c>
      <c r="J12" s="151" t="s">
        <v>271</v>
      </c>
      <c r="L12" s="151" t="str">
        <f t="shared" si="3"/>
        <v>0 mmol</v>
      </c>
      <c r="M12" s="151" t="str">
        <f t="shared" si="5"/>
        <v>0 mmol/kg</v>
      </c>
    </row>
    <row r="13" spans="1:14" x14ac:dyDescent="0.2">
      <c r="A13" s="152" t="s">
        <v>143</v>
      </c>
      <c r="B13" s="152" t="s">
        <v>369</v>
      </c>
      <c r="C13" s="152"/>
      <c r="D13" s="152"/>
      <c r="E13" s="152"/>
      <c r="F13" s="152">
        <f>HLOOKUP(A13,PedBerEnt!$L$2:$X$8,7,FALSE)</f>
        <v>0</v>
      </c>
      <c r="G13" s="152">
        <f>HLOOKUP(PedBerTot!A13,PedBerTPN!$I$25:$U$26,2,FALSE)</f>
        <v>0</v>
      </c>
      <c r="H13" s="152">
        <f t="shared" si="2"/>
        <v>0</v>
      </c>
      <c r="I13" s="152">
        <f t="shared" si="1"/>
        <v>0</v>
      </c>
      <c r="J13" s="152" t="s">
        <v>272</v>
      </c>
      <c r="L13" s="151" t="str">
        <f t="shared" si="3"/>
        <v>0 mmol</v>
      </c>
      <c r="M13" s="151" t="str">
        <f t="shared" si="5"/>
        <v>0 mmol/kg</v>
      </c>
    </row>
    <row r="14" spans="1:14" x14ac:dyDescent="0.2">
      <c r="A14" s="152" t="s">
        <v>808</v>
      </c>
      <c r="B14" s="152" t="s">
        <v>369</v>
      </c>
      <c r="C14" s="152"/>
      <c r="D14" s="152"/>
      <c r="E14" s="152"/>
      <c r="F14" s="152">
        <f>HLOOKUP(A14,PedBerEnt!$L$2:$X$8,7,FALSE)</f>
        <v>0</v>
      </c>
      <c r="G14" s="152">
        <f>HLOOKUP(PedBerTot!A14,PedBerTPN!$I$25:$U$26,2,FALSE)</f>
        <v>0</v>
      </c>
      <c r="H14" s="152">
        <f t="shared" si="2"/>
        <v>0</v>
      </c>
      <c r="I14" s="152">
        <f t="shared" si="1"/>
        <v>0</v>
      </c>
      <c r="J14" s="157" t="s">
        <v>3475</v>
      </c>
      <c r="L14" s="151" t="str">
        <f t="shared" si="3"/>
        <v>0 mmol</v>
      </c>
      <c r="M14" s="151" t="str">
        <f t="shared" si="5"/>
        <v>0 mmol/kg</v>
      </c>
    </row>
    <row r="15" spans="1:14" x14ac:dyDescent="0.2">
      <c r="A15" s="152" t="s">
        <v>807</v>
      </c>
      <c r="B15" s="152" t="s">
        <v>4045</v>
      </c>
      <c r="C15" s="152"/>
      <c r="D15" s="152"/>
      <c r="E15" s="152"/>
      <c r="F15" s="152">
        <f>HLOOKUP(A15,PedBerEnt!$L$2:$X$8,7,FALSE)</f>
        <v>0</v>
      </c>
      <c r="G15" s="152">
        <f>HLOOKUP(PedBerTot!A15,PedBerTPN!$I$25:$U$26,2,FALSE)</f>
        <v>0</v>
      </c>
      <c r="H15" s="152">
        <f t="shared" si="2"/>
        <v>0</v>
      </c>
      <c r="I15" s="152">
        <f t="shared" si="1"/>
        <v>0</v>
      </c>
      <c r="J15" s="157" t="s">
        <v>3475</v>
      </c>
      <c r="L15" s="151" t="str">
        <f t="shared" si="3"/>
        <v>0 IE</v>
      </c>
      <c r="M15" s="151" t="str">
        <f>FixPrecision(H15,1)&amp;" "&amp;$B15</f>
        <v>0 IE</v>
      </c>
    </row>
    <row r="19" spans="1:15" x14ac:dyDescent="0.2">
      <c r="A19" s="151" t="s">
        <v>4847</v>
      </c>
    </row>
    <row r="20" spans="1:15" x14ac:dyDescent="0.2">
      <c r="A20" s="152" t="s">
        <v>269</v>
      </c>
      <c r="B20" s="152">
        <v>2</v>
      </c>
      <c r="C20" s="152" t="s">
        <v>270</v>
      </c>
      <c r="D20" s="151">
        <v>4</v>
      </c>
      <c r="E20" s="152" t="s">
        <v>4846</v>
      </c>
      <c r="F20" s="152" t="s">
        <v>175</v>
      </c>
      <c r="G20" s="152">
        <v>6</v>
      </c>
      <c r="H20" s="152" t="s">
        <v>259</v>
      </c>
      <c r="I20" s="155">
        <v>8</v>
      </c>
      <c r="J20" s="152" t="s">
        <v>144</v>
      </c>
      <c r="K20" s="152">
        <v>10</v>
      </c>
      <c r="L20" s="152" t="s">
        <v>145</v>
      </c>
      <c r="M20" s="152">
        <v>12</v>
      </c>
      <c r="N20" s="152" t="s">
        <v>140</v>
      </c>
      <c r="O20" s="152">
        <v>14</v>
      </c>
    </row>
    <row r="21" spans="1:15" x14ac:dyDescent="0.2">
      <c r="A21" s="152" t="s">
        <v>4832</v>
      </c>
      <c r="B21" s="152" t="s">
        <v>4833</v>
      </c>
      <c r="C21" s="152" t="s">
        <v>4832</v>
      </c>
      <c r="D21" s="152" t="s">
        <v>4833</v>
      </c>
      <c r="E21" s="152"/>
      <c r="F21" s="151" t="s">
        <v>4827</v>
      </c>
      <c r="G21" s="152" t="s">
        <v>211</v>
      </c>
      <c r="H21" s="151" t="s">
        <v>4828</v>
      </c>
      <c r="I21" s="152" t="s">
        <v>211</v>
      </c>
      <c r="J21" s="151" t="s">
        <v>4829</v>
      </c>
      <c r="K21" s="152" t="s">
        <v>211</v>
      </c>
      <c r="L21" s="151" t="s">
        <v>4829</v>
      </c>
      <c r="M21" s="152" t="s">
        <v>211</v>
      </c>
      <c r="N21" s="151" t="s">
        <v>4830</v>
      </c>
      <c r="O21" s="152" t="s">
        <v>211</v>
      </c>
    </row>
    <row r="22" spans="1:15" x14ac:dyDescent="0.2">
      <c r="A22" s="7">
        <v>0</v>
      </c>
      <c r="B22" s="7">
        <f>3/12</f>
        <v>0.25</v>
      </c>
      <c r="C22" s="151">
        <v>2</v>
      </c>
      <c r="D22" s="151">
        <v>6</v>
      </c>
      <c r="E22" s="151" t="b">
        <f>AND((_Pat_Gewicht)&gt;=C22,(_Pat_Gewicht)&lt;=D22)</f>
        <v>0</v>
      </c>
      <c r="F22" s="151">
        <v>100</v>
      </c>
      <c r="G22" s="151">
        <f>IF(_Pat_Gewicht&gt;0,(_Pat_Gewicht)*F22,0)</f>
        <v>0</v>
      </c>
      <c r="H22" s="151">
        <v>150</v>
      </c>
      <c r="I22" s="151">
        <f>IF(_Pat_Gewicht&gt;0,(_Pat_Gewicht)*H22,0)</f>
        <v>0</v>
      </c>
      <c r="J22" s="151">
        <v>2.5</v>
      </c>
      <c r="K22" s="151">
        <f>IF(_Pat_Gewicht&gt;0,(_Pat_Gewicht)*J22,0)</f>
        <v>0</v>
      </c>
      <c r="L22" s="151">
        <v>3</v>
      </c>
      <c r="M22" s="151">
        <f>IF(_Pat_Gewicht&gt;0,(_Pat_Gewicht)*L22,0)</f>
        <v>0</v>
      </c>
      <c r="N22" s="151">
        <v>15.5</v>
      </c>
      <c r="O22" s="151">
        <f>IF(_Pat_Gewicht&gt;0,(_Pat_Gewicht)*N22,0)</f>
        <v>0</v>
      </c>
    </row>
    <row r="23" spans="1:15" x14ac:dyDescent="0.2">
      <c r="A23" s="7">
        <f>3/12</f>
        <v>0.25</v>
      </c>
      <c r="B23" s="7">
        <v>1</v>
      </c>
      <c r="C23" s="151">
        <v>6</v>
      </c>
      <c r="D23" s="151">
        <v>10</v>
      </c>
      <c r="E23" s="151" t="b">
        <f>AND((_Pat_Gewicht)&gt;C23,(_Pat_Gewicht)&lt;=D23)</f>
        <v>0</v>
      </c>
      <c r="F23" s="151">
        <v>95</v>
      </c>
      <c r="G23" s="151">
        <f>IF(_Pat_Gewicht&gt;0,(_Pat_Gewicht)*F23,0)</f>
        <v>0</v>
      </c>
      <c r="H23" s="151">
        <v>110</v>
      </c>
      <c r="I23" s="151">
        <f>IF(_Pat_Gewicht&gt;0,(_Pat_Gewicht)*H23,0)</f>
        <v>0</v>
      </c>
      <c r="J23" s="151">
        <v>2</v>
      </c>
      <c r="K23" s="151">
        <f>IF(_Pat_Gewicht&gt;0,(_Pat_Gewicht)*J23,0)</f>
        <v>0</v>
      </c>
      <c r="L23" s="151">
        <v>3</v>
      </c>
      <c r="M23" s="151">
        <f>IF(_Pat_Gewicht&gt;0,(_Pat_Gewicht)*L23,0)</f>
        <v>0</v>
      </c>
      <c r="N23" s="151">
        <v>14.5</v>
      </c>
      <c r="O23" s="151">
        <f>IF(_Pat_Gewicht&gt;0,(_Pat_Gewicht)*N23,0)</f>
        <v>0</v>
      </c>
    </row>
    <row r="24" spans="1:15" x14ac:dyDescent="0.2">
      <c r="A24" s="7">
        <v>1</v>
      </c>
      <c r="B24" s="7">
        <v>5</v>
      </c>
      <c r="C24" s="151">
        <v>10</v>
      </c>
      <c r="D24" s="151">
        <v>20</v>
      </c>
      <c r="E24" s="151" t="b">
        <f>AND((_Pat_Gewicht)&gt;C24,(_Pat_Gewicht)&lt;=D24)</f>
        <v>0</v>
      </c>
      <c r="F24" s="151">
        <v>90</v>
      </c>
      <c r="G24" s="151">
        <f>IF(_Pat_Gewicht&gt;0,(_Pat_Gewicht)*F24,0)</f>
        <v>0</v>
      </c>
      <c r="H24" s="151">
        <v>90</v>
      </c>
      <c r="I24" s="151">
        <f>IF(_Pat_Gewicht&gt;0,(_Pat_Gewicht)*H24,0)</f>
        <v>0</v>
      </c>
      <c r="J24" s="151">
        <v>1.5</v>
      </c>
      <c r="K24" s="151">
        <f>IF(_Pat_Gewicht&gt;0,(_Pat_Gewicht)*J24,0)</f>
        <v>0</v>
      </c>
      <c r="L24" s="151">
        <v>3</v>
      </c>
      <c r="M24" s="151">
        <f>IF(_Pat_Gewicht&gt;0,(_Pat_Gewicht)*L24,0)</f>
        <v>0</v>
      </c>
      <c r="N24" s="151">
        <v>13.5</v>
      </c>
      <c r="O24" s="151">
        <f>IF(_Pat_Gewicht&gt;0,(_Pat_Gewicht)*N24,0)</f>
        <v>0</v>
      </c>
    </row>
    <row r="25" spans="1:15" x14ac:dyDescent="0.2">
      <c r="A25" s="7">
        <v>5</v>
      </c>
      <c r="B25" s="7">
        <v>10</v>
      </c>
      <c r="C25" s="151">
        <v>20</v>
      </c>
      <c r="D25" s="151">
        <v>33</v>
      </c>
      <c r="E25" s="151" t="b">
        <f>AND((_Pat_Gewicht)&gt;C25,(_Pat_Gewicht)&lt;=D25)</f>
        <v>0</v>
      </c>
      <c r="F25" s="151">
        <v>75</v>
      </c>
      <c r="G25" s="151">
        <f>IF(_Pat_Gewicht&gt;0,(_Pat_Gewicht)*F25,0)</f>
        <v>0</v>
      </c>
      <c r="H25" s="151">
        <v>75</v>
      </c>
      <c r="I25" s="151">
        <f>IF(_Pat_Gewicht&gt;0,(_Pat_Gewicht)*H25,0)</f>
        <v>0</v>
      </c>
      <c r="J25" s="151">
        <v>1.5</v>
      </c>
      <c r="K25" s="151">
        <f>IF(_Pat_Gewicht&gt;0,(_Pat_Gewicht)*J25,0)</f>
        <v>0</v>
      </c>
      <c r="L25" s="151">
        <v>3</v>
      </c>
      <c r="M25" s="151">
        <f>IF(_Pat_Gewicht&gt;0,(_Pat_Gewicht)*L25,0)</f>
        <v>0</v>
      </c>
      <c r="N25" s="151">
        <v>10.5</v>
      </c>
      <c r="O25" s="151">
        <f>IF(_Pat_Gewicht&gt;0,(_Pat_Gewicht)*N25,0)</f>
        <v>0</v>
      </c>
    </row>
    <row r="26" spans="1:15" x14ac:dyDescent="0.2">
      <c r="A26" s="7">
        <v>10</v>
      </c>
      <c r="B26" s="7">
        <v>15</v>
      </c>
      <c r="C26" s="151">
        <v>33</v>
      </c>
      <c r="D26" s="151">
        <v>55</v>
      </c>
      <c r="E26" s="151" t="b">
        <f>AND((_Pat_Gewicht)&gt;C26,(_Pat_Gewicht)&lt;=D26)</f>
        <v>0</v>
      </c>
      <c r="F26" s="151">
        <v>50</v>
      </c>
      <c r="G26" s="151">
        <f>IF(_Pat_Gewicht&gt;0,(_Pat_Gewicht)*F26,0)</f>
        <v>0</v>
      </c>
      <c r="H26" s="151">
        <v>50</v>
      </c>
      <c r="I26" s="151">
        <f>IF(_Pat_Gewicht&gt;0,(_Pat_Gewicht)*H26,0)</f>
        <v>0</v>
      </c>
      <c r="J26" s="151">
        <v>1</v>
      </c>
      <c r="K26" s="151">
        <f>IF(_Pat_Gewicht&gt;0,(_Pat_Gewicht)*J26,0)</f>
        <v>0</v>
      </c>
      <c r="L26" s="151">
        <v>2</v>
      </c>
      <c r="M26" s="151">
        <f>IF(_Pat_Gewicht&gt;0,(_Pat_Gewicht)*L26,0)</f>
        <v>0</v>
      </c>
      <c r="N26" s="151">
        <v>7</v>
      </c>
      <c r="O26" s="151">
        <f>IF(_Pat_Gewicht&gt;0,(_Pat_Gewicht)*N26,0)</f>
        <v>0</v>
      </c>
    </row>
    <row r="27" spans="1:15" x14ac:dyDescent="0.2">
      <c r="A27" s="7">
        <v>15</v>
      </c>
      <c r="B27" s="7">
        <v>100</v>
      </c>
      <c r="C27" s="151">
        <v>55</v>
      </c>
      <c r="D27" s="151">
        <v>250</v>
      </c>
      <c r="E27" s="151" t="b">
        <f>AND((_Pat_Gewicht)&gt;C27,(_Pat_Gewicht)&lt;=D27)</f>
        <v>0</v>
      </c>
      <c r="F27" s="151">
        <f>IF(_Pat_Gewicht&gt;0,G27/(_Pat_Gewicht),0)</f>
        <v>0</v>
      </c>
      <c r="G27" s="151">
        <v>2500</v>
      </c>
      <c r="H27" s="151">
        <f>IF(_Pat_Gewicht&gt;0,I27/(_Pat_Gewicht),0)</f>
        <v>0</v>
      </c>
      <c r="I27" s="151">
        <v>2000</v>
      </c>
      <c r="J27" s="151">
        <f>IF(_Pat_Gewicht&gt;0,K27/(_Pat_Gewicht),0)</f>
        <v>0</v>
      </c>
      <c r="K27" s="151">
        <v>70</v>
      </c>
      <c r="L27" s="151">
        <f>IF(_Pat_Gewicht&gt;0,M27/(_Pat_Gewicht),0)</f>
        <v>0</v>
      </c>
      <c r="M27" s="151">
        <v>100</v>
      </c>
      <c r="N27" s="151">
        <f>IF(_Pat_Gewicht&gt;0,O27/(_Pat_Gewicht),0)</f>
        <v>0</v>
      </c>
      <c r="O27" s="151">
        <v>240</v>
      </c>
    </row>
    <row r="30" spans="1:15" x14ac:dyDescent="0.2">
      <c r="A30" s="151" t="s">
        <v>4831</v>
      </c>
    </row>
    <row r="32" spans="1:15" x14ac:dyDescent="0.2">
      <c r="A32" s="152" t="s">
        <v>4834</v>
      </c>
      <c r="B32" s="151">
        <v>1.75</v>
      </c>
    </row>
    <row r="33" spans="1:2" x14ac:dyDescent="0.2">
      <c r="A33" s="152" t="s">
        <v>4835</v>
      </c>
      <c r="B33" s="151">
        <v>1.1499999999999999</v>
      </c>
    </row>
    <row r="34" spans="1:2" x14ac:dyDescent="0.2">
      <c r="A34" s="152" t="s">
        <v>4836</v>
      </c>
      <c r="B34" s="151">
        <v>1.3</v>
      </c>
    </row>
    <row r="35" spans="1:2" x14ac:dyDescent="0.2">
      <c r="A35" s="152" t="s">
        <v>4837</v>
      </c>
      <c r="B35" s="151">
        <v>1.3</v>
      </c>
    </row>
    <row r="36" spans="1:2" x14ac:dyDescent="0.2">
      <c r="A36" s="152" t="s">
        <v>4838</v>
      </c>
      <c r="B36" s="151">
        <v>1.3</v>
      </c>
    </row>
    <row r="37" spans="1:2" x14ac:dyDescent="0.2">
      <c r="A37" s="152" t="s">
        <v>4839</v>
      </c>
      <c r="B37" s="151">
        <v>1.4</v>
      </c>
    </row>
    <row r="38" spans="1:2" x14ac:dyDescent="0.2">
      <c r="A38" s="152" t="s">
        <v>4840</v>
      </c>
      <c r="B38" s="151">
        <v>1.4</v>
      </c>
    </row>
    <row r="39" spans="1:2" x14ac:dyDescent="0.2">
      <c r="A39" s="152" t="s">
        <v>4841</v>
      </c>
      <c r="B39" s="151">
        <v>1.6</v>
      </c>
    </row>
    <row r="40" spans="1:2" x14ac:dyDescent="0.2">
      <c r="A40" s="152" t="s">
        <v>4842</v>
      </c>
      <c r="B40" s="151">
        <v>1.4</v>
      </c>
    </row>
    <row r="41" spans="1:2" x14ac:dyDescent="0.2">
      <c r="A41" s="152" t="s">
        <v>4843</v>
      </c>
      <c r="B41" s="151">
        <v>1.35</v>
      </c>
    </row>
    <row r="42" spans="1:2" x14ac:dyDescent="0.2">
      <c r="A42" s="152" t="s">
        <v>4844</v>
      </c>
      <c r="B42" s="151">
        <v>1.3</v>
      </c>
    </row>
    <row r="43" spans="1:2" x14ac:dyDescent="0.2">
      <c r="A43" s="152" t="s">
        <v>4845</v>
      </c>
      <c r="B43" s="151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2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30"/>
  <sheetViews>
    <sheetView workbookViewId="0">
      <selection activeCell="C27" sqref="C27"/>
    </sheetView>
  </sheetViews>
  <sheetFormatPr defaultRowHeight="12.75" x14ac:dyDescent="0.2"/>
  <cols>
    <col min="1" max="1" width="5.5703125" style="151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175</v>
      </c>
      <c r="D2" t="s">
        <v>144</v>
      </c>
      <c r="E2" t="s">
        <v>176</v>
      </c>
      <c r="F2" t="s">
        <v>145</v>
      </c>
      <c r="G2" t="s">
        <v>170</v>
      </c>
      <c r="H2" t="s">
        <v>171</v>
      </c>
      <c r="I2" t="s">
        <v>172</v>
      </c>
      <c r="J2" t="s">
        <v>177</v>
      </c>
      <c r="K2" t="s">
        <v>173</v>
      </c>
      <c r="L2" t="s">
        <v>723</v>
      </c>
      <c r="M2" t="s">
        <v>724</v>
      </c>
      <c r="N2" t="s">
        <v>449</v>
      </c>
    </row>
    <row r="3" spans="1:14" x14ac:dyDescent="0.2">
      <c r="B3" s="152" t="s">
        <v>4059</v>
      </c>
      <c r="C3" t="s">
        <v>4043</v>
      </c>
      <c r="D3" t="s">
        <v>29</v>
      </c>
      <c r="E3" t="s">
        <v>29</v>
      </c>
      <c r="F3" t="s">
        <v>29</v>
      </c>
      <c r="G3" t="s">
        <v>369</v>
      </c>
      <c r="H3" t="s">
        <v>369</v>
      </c>
      <c r="I3" t="s">
        <v>369</v>
      </c>
      <c r="J3" t="s">
        <v>369</v>
      </c>
      <c r="K3" t="s">
        <v>369</v>
      </c>
      <c r="L3" t="s">
        <v>369</v>
      </c>
      <c r="M3" t="s">
        <v>4045</v>
      </c>
      <c r="N3" t="s">
        <v>369</v>
      </c>
    </row>
    <row r="4" spans="1:14" x14ac:dyDescent="0.2">
      <c r="A4" s="151">
        <v>1</v>
      </c>
    </row>
    <row r="5" spans="1:14" x14ac:dyDescent="0.2">
      <c r="A5" s="151">
        <v>2</v>
      </c>
      <c r="B5" t="s">
        <v>256</v>
      </c>
      <c r="C5" s="151">
        <f t="shared" ref="C5:N9" si="0">VLOOKUP($B5,Tbl_Glob_ParEnt,C$1,FALSE)</f>
        <v>0.3</v>
      </c>
      <c r="D5" s="151">
        <f t="shared" si="0"/>
        <v>7.4300000000000005E-2</v>
      </c>
      <c r="E5" s="151">
        <f t="shared" si="0"/>
        <v>0</v>
      </c>
      <c r="F5" s="151">
        <f t="shared" si="0"/>
        <v>0</v>
      </c>
      <c r="G5" s="151">
        <f t="shared" si="0"/>
        <v>7.1399999999999996E-3</v>
      </c>
      <c r="H5" s="151">
        <f t="shared" si="0"/>
        <v>1.7100000000000001E-2</v>
      </c>
      <c r="I5" s="151">
        <f t="shared" si="0"/>
        <v>2.5700000000000001E-2</v>
      </c>
      <c r="J5" s="151">
        <f t="shared" si="0"/>
        <v>2.1399999999999999E-2</v>
      </c>
      <c r="K5" s="151">
        <f t="shared" si="0"/>
        <v>5.7099999999999998E-3</v>
      </c>
      <c r="L5" s="151">
        <f t="shared" si="0"/>
        <v>0</v>
      </c>
      <c r="M5" s="151">
        <f t="shared" si="0"/>
        <v>0</v>
      </c>
      <c r="N5" s="151">
        <f t="shared" si="0"/>
        <v>6.2899999999999998E-2</v>
      </c>
    </row>
    <row r="6" spans="1:14" x14ac:dyDescent="0.2">
      <c r="A6" s="151">
        <v>3</v>
      </c>
      <c r="B6" t="s">
        <v>257</v>
      </c>
      <c r="C6" s="151">
        <f t="shared" si="0"/>
        <v>0.32</v>
      </c>
      <c r="D6" s="151">
        <f t="shared" si="0"/>
        <v>0.08</v>
      </c>
      <c r="E6" s="151">
        <f t="shared" si="0"/>
        <v>0</v>
      </c>
      <c r="F6" s="151">
        <f t="shared" si="0"/>
        <v>0</v>
      </c>
      <c r="G6" s="151">
        <f t="shared" si="0"/>
        <v>8.0000000000000002E-3</v>
      </c>
      <c r="H6" s="151">
        <f t="shared" si="0"/>
        <v>0.02</v>
      </c>
      <c r="I6" s="151">
        <f t="shared" si="0"/>
        <v>2.8000000000000001E-2</v>
      </c>
      <c r="J6" s="151">
        <f t="shared" si="0"/>
        <v>2.4E-2</v>
      </c>
      <c r="K6" s="151">
        <f t="shared" si="0"/>
        <v>8.0000000000000002E-3</v>
      </c>
      <c r="L6" s="151">
        <f t="shared" si="0"/>
        <v>0</v>
      </c>
      <c r="M6" s="151">
        <f t="shared" si="0"/>
        <v>0</v>
      </c>
      <c r="N6" s="151">
        <f t="shared" si="0"/>
        <v>7.1999999999999995E-2</v>
      </c>
    </row>
    <row r="7" spans="1:14" x14ac:dyDescent="0.2">
      <c r="A7" s="151">
        <v>4</v>
      </c>
      <c r="B7" t="s">
        <v>34</v>
      </c>
      <c r="C7" s="151">
        <f t="shared" si="0"/>
        <v>0.35</v>
      </c>
      <c r="D7" s="151">
        <f t="shared" si="0"/>
        <v>8.7999999999999995E-2</v>
      </c>
      <c r="E7" s="151">
        <f t="shared" si="0"/>
        <v>0</v>
      </c>
      <c r="F7" s="151">
        <f t="shared" si="0"/>
        <v>0</v>
      </c>
      <c r="G7" s="151">
        <f t="shared" si="0"/>
        <v>0.01</v>
      </c>
      <c r="H7" s="151">
        <f t="shared" si="0"/>
        <v>2.5000000000000001E-2</v>
      </c>
      <c r="I7" s="151">
        <f t="shared" si="0"/>
        <v>1.7999999999999999E-2</v>
      </c>
      <c r="J7" s="151">
        <f t="shared" si="0"/>
        <v>0.03</v>
      </c>
      <c r="K7" s="151">
        <f t="shared" si="0"/>
        <v>0.01</v>
      </c>
      <c r="L7" s="151">
        <f t="shared" si="0"/>
        <v>0</v>
      </c>
      <c r="M7" s="151">
        <f t="shared" si="0"/>
        <v>0</v>
      </c>
      <c r="N7" s="151">
        <f t="shared" si="0"/>
        <v>5.6000000000000001E-2</v>
      </c>
    </row>
    <row r="8" spans="1:14" x14ac:dyDescent="0.2">
      <c r="A8" s="151">
        <v>5</v>
      </c>
      <c r="B8" t="s">
        <v>35</v>
      </c>
      <c r="C8" s="151">
        <f t="shared" si="0"/>
        <v>0.33</v>
      </c>
      <c r="D8" s="151">
        <f t="shared" si="0"/>
        <v>8.3000000000000004E-2</v>
      </c>
      <c r="E8" s="151">
        <f t="shared" si="0"/>
        <v>0</v>
      </c>
      <c r="F8" s="151">
        <f t="shared" si="0"/>
        <v>0</v>
      </c>
      <c r="G8" s="151">
        <f t="shared" si="0"/>
        <v>1.2500000000000001E-2</v>
      </c>
      <c r="H8" s="151">
        <f t="shared" si="0"/>
        <v>3.1E-2</v>
      </c>
      <c r="I8" s="151">
        <f t="shared" si="0"/>
        <v>2.5999999999999999E-2</v>
      </c>
      <c r="J8" s="151">
        <f t="shared" si="0"/>
        <v>3.7999999999999999E-2</v>
      </c>
      <c r="K8" s="151">
        <f t="shared" si="0"/>
        <v>1.2500000000000001E-2</v>
      </c>
      <c r="L8" s="151">
        <f t="shared" si="0"/>
        <v>0</v>
      </c>
      <c r="M8" s="151">
        <f t="shared" si="0"/>
        <v>0</v>
      </c>
      <c r="N8" s="151">
        <f t="shared" si="0"/>
        <v>7.4999999999999997E-2</v>
      </c>
    </row>
    <row r="9" spans="1:14" x14ac:dyDescent="0.2">
      <c r="A9" s="151">
        <v>6</v>
      </c>
      <c r="B9" t="s">
        <v>66</v>
      </c>
      <c r="C9" s="151">
        <f t="shared" si="0"/>
        <v>0.96</v>
      </c>
      <c r="D9" s="151">
        <f t="shared" si="0"/>
        <v>7.0000000000000007E-2</v>
      </c>
      <c r="E9" s="151">
        <f t="shared" si="0"/>
        <v>0.24</v>
      </c>
      <c r="F9" s="151">
        <f t="shared" si="0"/>
        <v>0</v>
      </c>
      <c r="G9" s="151">
        <f t="shared" si="0"/>
        <v>4.0500000000000001E-2</v>
      </c>
      <c r="H9" s="151">
        <f t="shared" si="0"/>
        <v>2.5700000000000001E-2</v>
      </c>
      <c r="I9" s="151">
        <f t="shared" si="0"/>
        <v>4.1000000000000003E-3</v>
      </c>
      <c r="J9" s="151">
        <f t="shared" si="0"/>
        <v>1.47E-2</v>
      </c>
      <c r="K9" s="151">
        <f t="shared" si="0"/>
        <v>5.0000000000000001E-3</v>
      </c>
      <c r="L9" s="151">
        <f t="shared" si="0"/>
        <v>0</v>
      </c>
      <c r="M9" s="151">
        <f t="shared" si="0"/>
        <v>0</v>
      </c>
      <c r="N9" s="151">
        <f t="shared" si="0"/>
        <v>0</v>
      </c>
    </row>
    <row r="10" spans="1:14" s="151" customFormat="1" x14ac:dyDescent="0.2"/>
    <row r="11" spans="1:14" x14ac:dyDescent="0.2">
      <c r="B11" s="152" t="s">
        <v>4060</v>
      </c>
    </row>
    <row r="12" spans="1:14" x14ac:dyDescent="0.2">
      <c r="A12" s="151">
        <v>1</v>
      </c>
      <c r="B12" s="151"/>
    </row>
    <row r="13" spans="1:14" x14ac:dyDescent="0.2">
      <c r="A13" s="151">
        <v>2</v>
      </c>
      <c r="B13" s="151" t="s">
        <v>450</v>
      </c>
      <c r="C13" s="151">
        <f t="shared" ref="C13:N26" si="1">VLOOKUP($B13,Tbl_Glob_ParEnt,C$1,FALSE)</f>
        <v>0.2</v>
      </c>
      <c r="D13" s="151">
        <f t="shared" si="1"/>
        <v>0</v>
      </c>
      <c r="E13" s="151">
        <f t="shared" si="1"/>
        <v>0.05</v>
      </c>
      <c r="F13" s="151">
        <f t="shared" si="1"/>
        <v>0</v>
      </c>
      <c r="G13" s="151">
        <f t="shared" si="1"/>
        <v>0</v>
      </c>
      <c r="H13" s="151">
        <f t="shared" si="1"/>
        <v>0</v>
      </c>
      <c r="I13" s="151">
        <f t="shared" si="1"/>
        <v>0</v>
      </c>
      <c r="J13" s="151">
        <f t="shared" si="1"/>
        <v>0</v>
      </c>
      <c r="K13" s="151">
        <f t="shared" si="1"/>
        <v>0</v>
      </c>
      <c r="L13" s="151">
        <f t="shared" si="1"/>
        <v>0</v>
      </c>
      <c r="M13" s="151">
        <f t="shared" si="1"/>
        <v>0</v>
      </c>
      <c r="N13" s="151">
        <f t="shared" si="1"/>
        <v>0</v>
      </c>
    </row>
    <row r="14" spans="1:14" x14ac:dyDescent="0.2">
      <c r="A14" s="151">
        <v>3</v>
      </c>
      <c r="B14" s="151" t="s">
        <v>453</v>
      </c>
      <c r="C14" s="151">
        <f t="shared" si="1"/>
        <v>0.4</v>
      </c>
      <c r="D14" s="151">
        <f t="shared" si="1"/>
        <v>0</v>
      </c>
      <c r="E14" s="151">
        <f t="shared" si="1"/>
        <v>0.1</v>
      </c>
      <c r="F14" s="151">
        <f t="shared" si="1"/>
        <v>0</v>
      </c>
      <c r="G14" s="151">
        <f t="shared" si="1"/>
        <v>0</v>
      </c>
      <c r="H14" s="151">
        <f t="shared" si="1"/>
        <v>0</v>
      </c>
      <c r="I14" s="151">
        <f t="shared" si="1"/>
        <v>0</v>
      </c>
      <c r="J14" s="151">
        <f t="shared" si="1"/>
        <v>0</v>
      </c>
      <c r="K14" s="151">
        <f t="shared" si="1"/>
        <v>0</v>
      </c>
      <c r="L14" s="151">
        <f t="shared" si="1"/>
        <v>0</v>
      </c>
      <c r="M14" s="151">
        <f t="shared" si="1"/>
        <v>0</v>
      </c>
      <c r="N14" s="151">
        <f t="shared" si="1"/>
        <v>0</v>
      </c>
    </row>
    <row r="15" spans="1:14" x14ac:dyDescent="0.2">
      <c r="A15" s="151">
        <v>4</v>
      </c>
      <c r="B15" s="152" t="s">
        <v>4826</v>
      </c>
      <c r="C15" s="151">
        <f t="shared" si="1"/>
        <v>0.5</v>
      </c>
      <c r="D15" s="151">
        <f t="shared" si="1"/>
        <v>0</v>
      </c>
      <c r="E15" s="151">
        <f t="shared" si="1"/>
        <v>0.125</v>
      </c>
      <c r="F15" s="151">
        <f t="shared" si="1"/>
        <v>0</v>
      </c>
      <c r="G15" s="151">
        <f t="shared" si="1"/>
        <v>0</v>
      </c>
      <c r="H15" s="151">
        <f t="shared" si="1"/>
        <v>0</v>
      </c>
      <c r="I15" s="151">
        <f t="shared" si="1"/>
        <v>0</v>
      </c>
      <c r="J15" s="151">
        <f t="shared" si="1"/>
        <v>0</v>
      </c>
      <c r="K15" s="151">
        <f t="shared" si="1"/>
        <v>0</v>
      </c>
      <c r="L15" s="151">
        <f t="shared" si="1"/>
        <v>0</v>
      </c>
      <c r="M15" s="151">
        <f t="shared" si="1"/>
        <v>0</v>
      </c>
      <c r="N15" s="151">
        <f t="shared" si="1"/>
        <v>0</v>
      </c>
    </row>
    <row r="16" spans="1:14" x14ac:dyDescent="0.2">
      <c r="A16" s="151">
        <v>5</v>
      </c>
      <c r="B16" s="151" t="s">
        <v>454</v>
      </c>
      <c r="C16" s="151">
        <f t="shared" si="1"/>
        <v>0.6</v>
      </c>
      <c r="D16" s="151">
        <f t="shared" si="1"/>
        <v>0</v>
      </c>
      <c r="E16" s="151">
        <f t="shared" si="1"/>
        <v>0.15</v>
      </c>
      <c r="F16" s="151">
        <f t="shared" si="1"/>
        <v>0</v>
      </c>
      <c r="G16" s="151">
        <f t="shared" si="1"/>
        <v>0</v>
      </c>
      <c r="H16" s="151">
        <f t="shared" si="1"/>
        <v>0</v>
      </c>
      <c r="I16" s="151">
        <f t="shared" si="1"/>
        <v>0</v>
      </c>
      <c r="J16" s="151">
        <f t="shared" si="1"/>
        <v>0</v>
      </c>
      <c r="K16" s="151">
        <f t="shared" si="1"/>
        <v>0</v>
      </c>
      <c r="L16" s="151">
        <f t="shared" si="1"/>
        <v>0</v>
      </c>
      <c r="M16" s="151">
        <f t="shared" si="1"/>
        <v>0</v>
      </c>
      <c r="N16" s="151">
        <f t="shared" si="1"/>
        <v>0</v>
      </c>
    </row>
    <row r="17" spans="1:14" x14ac:dyDescent="0.2">
      <c r="A17" s="151">
        <v>6</v>
      </c>
      <c r="B17" s="151" t="s">
        <v>4053</v>
      </c>
      <c r="C17" s="151">
        <f t="shared" si="1"/>
        <v>0.7</v>
      </c>
      <c r="D17" s="151">
        <f t="shared" si="1"/>
        <v>0</v>
      </c>
      <c r="E17" s="151">
        <f t="shared" si="1"/>
        <v>0.17499999999999999</v>
      </c>
      <c r="F17" s="151">
        <f t="shared" si="1"/>
        <v>0</v>
      </c>
      <c r="G17" s="151">
        <f t="shared" si="1"/>
        <v>0</v>
      </c>
      <c r="H17" s="151">
        <f t="shared" si="1"/>
        <v>0</v>
      </c>
      <c r="I17" s="151">
        <f t="shared" si="1"/>
        <v>0</v>
      </c>
      <c r="J17" s="151">
        <f t="shared" si="1"/>
        <v>0</v>
      </c>
      <c r="K17" s="151">
        <f t="shared" si="1"/>
        <v>0</v>
      </c>
      <c r="L17" s="151">
        <f t="shared" si="1"/>
        <v>0</v>
      </c>
      <c r="M17" s="151">
        <f t="shared" si="1"/>
        <v>0</v>
      </c>
      <c r="N17" s="151">
        <f t="shared" si="1"/>
        <v>0</v>
      </c>
    </row>
    <row r="18" spans="1:14" x14ac:dyDescent="0.2">
      <c r="A18" s="151">
        <v>7</v>
      </c>
      <c r="B18" s="151" t="s">
        <v>456</v>
      </c>
      <c r="C18" s="151">
        <f t="shared" si="1"/>
        <v>0.8</v>
      </c>
      <c r="D18" s="151">
        <f t="shared" si="1"/>
        <v>0</v>
      </c>
      <c r="E18" s="151">
        <f t="shared" si="1"/>
        <v>0.2</v>
      </c>
      <c r="F18" s="151">
        <f t="shared" si="1"/>
        <v>0</v>
      </c>
      <c r="G18" s="151">
        <f t="shared" si="1"/>
        <v>0</v>
      </c>
      <c r="H18" s="151">
        <f t="shared" si="1"/>
        <v>0</v>
      </c>
      <c r="I18" s="151">
        <f t="shared" si="1"/>
        <v>0</v>
      </c>
      <c r="J18" s="151">
        <f t="shared" si="1"/>
        <v>0</v>
      </c>
      <c r="K18" s="151">
        <f t="shared" si="1"/>
        <v>0</v>
      </c>
      <c r="L18" s="151">
        <f t="shared" si="1"/>
        <v>0</v>
      </c>
      <c r="M18" s="151">
        <f t="shared" si="1"/>
        <v>0</v>
      </c>
      <c r="N18" s="151">
        <f t="shared" si="1"/>
        <v>0</v>
      </c>
    </row>
    <row r="19" spans="1:14" x14ac:dyDescent="0.2">
      <c r="A19" s="151">
        <v>8</v>
      </c>
      <c r="B19" s="151" t="s">
        <v>457</v>
      </c>
      <c r="C19" s="151">
        <f t="shared" si="1"/>
        <v>1</v>
      </c>
      <c r="D19" s="151">
        <f t="shared" si="1"/>
        <v>0</v>
      </c>
      <c r="E19" s="151">
        <f t="shared" si="1"/>
        <v>0.25</v>
      </c>
      <c r="F19" s="151">
        <f t="shared" si="1"/>
        <v>0</v>
      </c>
      <c r="G19" s="151">
        <f t="shared" si="1"/>
        <v>0</v>
      </c>
      <c r="H19" s="151">
        <f t="shared" si="1"/>
        <v>0</v>
      </c>
      <c r="I19" s="151">
        <f t="shared" si="1"/>
        <v>0</v>
      </c>
      <c r="J19" s="151">
        <f t="shared" si="1"/>
        <v>0</v>
      </c>
      <c r="K19" s="151">
        <f t="shared" si="1"/>
        <v>0</v>
      </c>
      <c r="L19" s="151">
        <f t="shared" si="1"/>
        <v>0</v>
      </c>
      <c r="M19" s="151">
        <f t="shared" si="1"/>
        <v>0</v>
      </c>
      <c r="N19" s="151">
        <f t="shared" si="1"/>
        <v>0</v>
      </c>
    </row>
    <row r="20" spans="1:14" x14ac:dyDescent="0.2">
      <c r="A20" s="151">
        <v>9</v>
      </c>
      <c r="B20" s="151" t="s">
        <v>458</v>
      </c>
      <c r="C20" s="151">
        <f t="shared" si="1"/>
        <v>1.2</v>
      </c>
      <c r="D20" s="151">
        <f t="shared" si="1"/>
        <v>0</v>
      </c>
      <c r="E20" s="151">
        <f t="shared" si="1"/>
        <v>0.3</v>
      </c>
      <c r="F20" s="151">
        <f t="shared" si="1"/>
        <v>0</v>
      </c>
      <c r="G20" s="151">
        <f t="shared" si="1"/>
        <v>0</v>
      </c>
      <c r="H20" s="151">
        <f t="shared" si="1"/>
        <v>0</v>
      </c>
      <c r="I20" s="151">
        <f t="shared" si="1"/>
        <v>0</v>
      </c>
      <c r="J20" s="151">
        <f t="shared" si="1"/>
        <v>0</v>
      </c>
      <c r="K20" s="151">
        <f t="shared" si="1"/>
        <v>0</v>
      </c>
      <c r="L20" s="151">
        <f t="shared" si="1"/>
        <v>0</v>
      </c>
      <c r="M20" s="151">
        <f t="shared" si="1"/>
        <v>0</v>
      </c>
      <c r="N20" s="151">
        <f t="shared" si="1"/>
        <v>0</v>
      </c>
    </row>
    <row r="21" spans="1:14" x14ac:dyDescent="0.2">
      <c r="A21" s="151">
        <v>10</v>
      </c>
      <c r="B21" s="151" t="s">
        <v>460</v>
      </c>
      <c r="C21" s="151">
        <f t="shared" si="1"/>
        <v>1.6</v>
      </c>
      <c r="D21" s="151">
        <f t="shared" si="1"/>
        <v>0</v>
      </c>
      <c r="E21" s="151">
        <f t="shared" si="1"/>
        <v>0.4</v>
      </c>
      <c r="F21" s="151">
        <f t="shared" si="1"/>
        <v>0</v>
      </c>
      <c r="G21" s="151">
        <f t="shared" si="1"/>
        <v>0</v>
      </c>
      <c r="H21" s="151">
        <f t="shared" si="1"/>
        <v>0</v>
      </c>
      <c r="I21" s="151">
        <f t="shared" si="1"/>
        <v>0</v>
      </c>
      <c r="J21" s="151">
        <f t="shared" si="1"/>
        <v>0</v>
      </c>
      <c r="K21" s="151">
        <f t="shared" si="1"/>
        <v>0</v>
      </c>
      <c r="L21" s="151">
        <f t="shared" si="1"/>
        <v>0</v>
      </c>
      <c r="M21" s="151">
        <f t="shared" si="1"/>
        <v>0</v>
      </c>
      <c r="N21" s="151">
        <f t="shared" si="1"/>
        <v>0</v>
      </c>
    </row>
    <row r="22" spans="1:14" x14ac:dyDescent="0.2">
      <c r="A22" s="151">
        <v>11</v>
      </c>
      <c r="B22" s="151" t="s">
        <v>462</v>
      </c>
      <c r="C22" s="151">
        <f t="shared" si="1"/>
        <v>2</v>
      </c>
      <c r="D22" s="151">
        <f t="shared" si="1"/>
        <v>0</v>
      </c>
      <c r="E22" s="151">
        <f t="shared" si="1"/>
        <v>0.5</v>
      </c>
      <c r="F22" s="151">
        <f t="shared" si="1"/>
        <v>0</v>
      </c>
      <c r="G22" s="151">
        <f t="shared" si="1"/>
        <v>0</v>
      </c>
      <c r="H22" s="151">
        <f t="shared" si="1"/>
        <v>0</v>
      </c>
      <c r="I22" s="151">
        <f t="shared" si="1"/>
        <v>0</v>
      </c>
      <c r="J22" s="151">
        <f t="shared" si="1"/>
        <v>0</v>
      </c>
      <c r="K22" s="151">
        <f t="shared" si="1"/>
        <v>0</v>
      </c>
      <c r="L22" s="151">
        <f t="shared" si="1"/>
        <v>0</v>
      </c>
      <c r="M22" s="151">
        <f t="shared" si="1"/>
        <v>0</v>
      </c>
      <c r="N22" s="151">
        <f t="shared" si="1"/>
        <v>0</v>
      </c>
    </row>
    <row r="23" spans="1:14" x14ac:dyDescent="0.2">
      <c r="A23" s="151">
        <v>12</v>
      </c>
      <c r="B23" s="151" t="s">
        <v>4054</v>
      </c>
      <c r="C23" s="151">
        <f t="shared" si="1"/>
        <v>0.2</v>
      </c>
      <c r="D23" s="151">
        <f t="shared" si="1"/>
        <v>0</v>
      </c>
      <c r="E23" s="151">
        <f t="shared" si="1"/>
        <v>0.05</v>
      </c>
      <c r="F23" s="151">
        <f t="shared" si="1"/>
        <v>0</v>
      </c>
      <c r="G23" s="151">
        <f t="shared" si="1"/>
        <v>7.7499999999999999E-2</v>
      </c>
      <c r="H23" s="151">
        <f t="shared" si="1"/>
        <v>0</v>
      </c>
      <c r="I23" s="151">
        <f t="shared" si="1"/>
        <v>0</v>
      </c>
      <c r="J23" s="151">
        <f t="shared" si="1"/>
        <v>0</v>
      </c>
      <c r="K23" s="151">
        <f t="shared" si="1"/>
        <v>0</v>
      </c>
      <c r="L23" s="151">
        <f t="shared" si="1"/>
        <v>0</v>
      </c>
      <c r="M23" s="151">
        <f t="shared" si="1"/>
        <v>0</v>
      </c>
      <c r="N23" s="151">
        <f t="shared" si="1"/>
        <v>7.7499999999999999E-2</v>
      </c>
    </row>
    <row r="24" spans="1:14" x14ac:dyDescent="0.2">
      <c r="A24" s="151">
        <v>13</v>
      </c>
      <c r="B24" s="151" t="s">
        <v>4055</v>
      </c>
      <c r="C24" s="151">
        <f t="shared" si="1"/>
        <v>0.2</v>
      </c>
      <c r="D24" s="151">
        <f t="shared" si="1"/>
        <v>0</v>
      </c>
      <c r="E24" s="151">
        <f t="shared" si="1"/>
        <v>0.05</v>
      </c>
      <c r="F24" s="151">
        <f t="shared" si="1"/>
        <v>0</v>
      </c>
      <c r="G24" s="151">
        <f t="shared" si="1"/>
        <v>0.155</v>
      </c>
      <c r="H24" s="151">
        <f t="shared" si="1"/>
        <v>0</v>
      </c>
      <c r="I24" s="151">
        <f t="shared" si="1"/>
        <v>0</v>
      </c>
      <c r="J24" s="151">
        <f t="shared" si="1"/>
        <v>0</v>
      </c>
      <c r="K24" s="151">
        <f t="shared" si="1"/>
        <v>0</v>
      </c>
      <c r="L24" s="151">
        <f t="shared" si="1"/>
        <v>0</v>
      </c>
      <c r="M24" s="151">
        <f t="shared" si="1"/>
        <v>0</v>
      </c>
      <c r="N24" s="151">
        <f t="shared" si="1"/>
        <v>0.155</v>
      </c>
    </row>
    <row r="25" spans="1:14" x14ac:dyDescent="0.2">
      <c r="A25" s="151">
        <v>14</v>
      </c>
      <c r="B25" s="151" t="s">
        <v>233</v>
      </c>
      <c r="C25" s="151">
        <f t="shared" si="1"/>
        <v>0</v>
      </c>
      <c r="D25" s="151">
        <f t="shared" si="1"/>
        <v>0</v>
      </c>
      <c r="E25" s="151">
        <f t="shared" si="1"/>
        <v>0</v>
      </c>
      <c r="F25" s="151">
        <f t="shared" si="1"/>
        <v>0</v>
      </c>
      <c r="G25" s="151">
        <f t="shared" si="1"/>
        <v>0.155</v>
      </c>
      <c r="H25" s="151">
        <f t="shared" si="1"/>
        <v>0</v>
      </c>
      <c r="I25" s="151">
        <f t="shared" si="1"/>
        <v>0</v>
      </c>
      <c r="J25" s="151">
        <f t="shared" si="1"/>
        <v>0</v>
      </c>
      <c r="K25" s="151">
        <f t="shared" si="1"/>
        <v>0</v>
      </c>
      <c r="L25" s="151">
        <f t="shared" si="1"/>
        <v>0</v>
      </c>
      <c r="M25" s="151">
        <f t="shared" si="1"/>
        <v>0</v>
      </c>
      <c r="N25" s="151">
        <f t="shared" si="1"/>
        <v>0.155</v>
      </c>
    </row>
    <row r="26" spans="1:14" x14ac:dyDescent="0.2">
      <c r="A26" s="151">
        <v>15</v>
      </c>
      <c r="B26" s="3" t="s">
        <v>348</v>
      </c>
      <c r="C26" s="151">
        <f t="shared" si="1"/>
        <v>0</v>
      </c>
      <c r="D26" s="151">
        <f t="shared" si="1"/>
        <v>0</v>
      </c>
      <c r="E26" s="151">
        <f t="shared" si="1"/>
        <v>0</v>
      </c>
      <c r="F26" s="151">
        <f t="shared" si="1"/>
        <v>0</v>
      </c>
      <c r="G26" s="151">
        <f t="shared" si="1"/>
        <v>0.13100000000000001</v>
      </c>
      <c r="H26" s="151">
        <f t="shared" si="1"/>
        <v>5.4000000000000003E-3</v>
      </c>
      <c r="I26" s="151">
        <f t="shared" si="1"/>
        <v>1.8E-3</v>
      </c>
      <c r="J26" s="151">
        <f t="shared" si="1"/>
        <v>0</v>
      </c>
      <c r="K26" s="151">
        <f t="shared" si="1"/>
        <v>0</v>
      </c>
      <c r="L26" s="151">
        <f t="shared" si="1"/>
        <v>0</v>
      </c>
      <c r="M26" s="151">
        <f t="shared" si="1"/>
        <v>0</v>
      </c>
      <c r="N26" s="151">
        <f t="shared" si="1"/>
        <v>0.109</v>
      </c>
    </row>
    <row r="28" spans="1:14" x14ac:dyDescent="0.2">
      <c r="B28" t="s">
        <v>7639</v>
      </c>
    </row>
    <row r="29" spans="1:14" x14ac:dyDescent="0.2">
      <c r="A29" s="151">
        <v>1</v>
      </c>
      <c r="B29" t="s">
        <v>147</v>
      </c>
      <c r="C29" s="151">
        <f t="shared" ref="C29:N30" si="2">VLOOKUP($B29,Tbl_Glob_ParEnt,C$1,FALSE)</f>
        <v>1.8</v>
      </c>
      <c r="D29" s="151">
        <f t="shared" si="2"/>
        <v>0</v>
      </c>
      <c r="E29" s="151">
        <f t="shared" si="2"/>
        <v>0</v>
      </c>
      <c r="F29" s="151">
        <f t="shared" si="2"/>
        <v>0.2</v>
      </c>
      <c r="G29" s="151">
        <f t="shared" si="2"/>
        <v>0</v>
      </c>
      <c r="H29" s="151">
        <f t="shared" si="2"/>
        <v>0</v>
      </c>
      <c r="I29" s="151">
        <f t="shared" si="2"/>
        <v>0</v>
      </c>
      <c r="J29" s="151">
        <f t="shared" si="2"/>
        <v>0</v>
      </c>
      <c r="K29" s="151">
        <f t="shared" si="2"/>
        <v>0</v>
      </c>
      <c r="L29" s="151">
        <f t="shared" si="2"/>
        <v>0</v>
      </c>
      <c r="M29" s="151">
        <f t="shared" si="2"/>
        <v>0</v>
      </c>
      <c r="N29" s="151">
        <f t="shared" si="2"/>
        <v>0</v>
      </c>
    </row>
    <row r="30" spans="1:14" x14ac:dyDescent="0.2">
      <c r="A30" s="151">
        <v>2</v>
      </c>
      <c r="B30" t="s">
        <v>7638</v>
      </c>
      <c r="C30" s="151">
        <f t="shared" si="2"/>
        <v>1.8</v>
      </c>
      <c r="D30" s="151">
        <f t="shared" si="2"/>
        <v>0</v>
      </c>
      <c r="E30" s="151">
        <f t="shared" si="2"/>
        <v>0</v>
      </c>
      <c r="F30" s="151">
        <f t="shared" si="2"/>
        <v>0.2</v>
      </c>
      <c r="G30" s="151">
        <f t="shared" si="2"/>
        <v>0</v>
      </c>
      <c r="H30" s="151">
        <f t="shared" si="2"/>
        <v>0</v>
      </c>
      <c r="I30" s="151">
        <f t="shared" si="2"/>
        <v>0</v>
      </c>
      <c r="J30" s="151">
        <f t="shared" si="2"/>
        <v>0</v>
      </c>
      <c r="K30" s="151">
        <f t="shared" si="2"/>
        <v>0</v>
      </c>
      <c r="L30" s="151">
        <f t="shared" si="2"/>
        <v>0</v>
      </c>
      <c r="M30" s="151">
        <f t="shared" si="2"/>
        <v>0</v>
      </c>
      <c r="N30" s="151">
        <f t="shared" si="2"/>
        <v>0</v>
      </c>
    </row>
  </sheetData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F28" sqref="F28"/>
    </sheetView>
  </sheetViews>
  <sheetFormatPr defaultColWidth="9.140625" defaultRowHeight="12.75" x14ac:dyDescent="0.2"/>
  <cols>
    <col min="1" max="1" width="22.140625" style="162" bestFit="1" customWidth="1"/>
    <col min="2" max="2" width="8.5703125" style="162" customWidth="1"/>
    <col min="3" max="3" width="9.140625" style="162"/>
    <col min="4" max="5" width="32.85546875" style="162" customWidth="1"/>
    <col min="6" max="16384" width="9.140625" style="162"/>
  </cols>
  <sheetData>
    <row r="1" spans="1:17" x14ac:dyDescent="0.2">
      <c r="A1" s="359" t="s">
        <v>155</v>
      </c>
      <c r="B1" s="359"/>
      <c r="E1" s="162">
        <v>1</v>
      </c>
      <c r="F1" s="162">
        <v>2</v>
      </c>
      <c r="G1" s="162">
        <v>3</v>
      </c>
      <c r="H1" s="162">
        <v>4</v>
      </c>
      <c r="I1" s="162">
        <v>5</v>
      </c>
      <c r="J1" s="162">
        <v>6</v>
      </c>
      <c r="K1" s="162">
        <v>7</v>
      </c>
      <c r="L1" s="162">
        <v>8</v>
      </c>
      <c r="M1" s="162">
        <v>9</v>
      </c>
      <c r="N1" s="162">
        <v>10</v>
      </c>
      <c r="O1" s="162">
        <v>11</v>
      </c>
      <c r="P1" s="162">
        <v>12</v>
      </c>
      <c r="Q1" s="162">
        <v>13</v>
      </c>
    </row>
    <row r="2" spans="1:17" x14ac:dyDescent="0.2">
      <c r="A2" s="52" t="s">
        <v>381</v>
      </c>
      <c r="B2" s="52"/>
      <c r="C2" s="360" t="s">
        <v>4039</v>
      </c>
      <c r="D2" s="360"/>
      <c r="F2" s="162" t="s">
        <v>175</v>
      </c>
      <c r="G2" s="162" t="s">
        <v>144</v>
      </c>
      <c r="H2" s="162" t="s">
        <v>176</v>
      </c>
      <c r="I2" s="162" t="s">
        <v>145</v>
      </c>
      <c r="J2" s="162" t="s">
        <v>170</v>
      </c>
      <c r="K2" s="162" t="s">
        <v>171</v>
      </c>
      <c r="L2" s="162" t="s">
        <v>172</v>
      </c>
      <c r="M2" s="162" t="s">
        <v>177</v>
      </c>
      <c r="N2" s="162" t="s">
        <v>173</v>
      </c>
      <c r="O2" s="162" t="s">
        <v>723</v>
      </c>
      <c r="P2" s="162" t="s">
        <v>724</v>
      </c>
      <c r="Q2" s="162" t="s">
        <v>449</v>
      </c>
    </row>
    <row r="3" spans="1:17" x14ac:dyDescent="0.2">
      <c r="A3" s="52" t="s">
        <v>382</v>
      </c>
      <c r="B3" s="52"/>
      <c r="D3" s="162" t="s">
        <v>4047</v>
      </c>
      <c r="F3" s="162" t="str">
        <f t="shared" ref="F3:Q3" si="0">VLOOKUP(F$2,Tbl_Glob_Conversie,3,FALSE)</f>
        <v>kcal</v>
      </c>
      <c r="G3" s="162" t="str">
        <f t="shared" si="0"/>
        <v>gram</v>
      </c>
      <c r="H3" s="162" t="str">
        <f t="shared" si="0"/>
        <v>gram</v>
      </c>
      <c r="I3" s="162" t="str">
        <f t="shared" si="0"/>
        <v>gram</v>
      </c>
      <c r="J3" s="162" t="str">
        <f t="shared" si="0"/>
        <v>mmol</v>
      </c>
      <c r="K3" s="162" t="str">
        <f t="shared" si="0"/>
        <v>mmol</v>
      </c>
      <c r="L3" s="162" t="str">
        <f t="shared" si="0"/>
        <v>mmol</v>
      </c>
      <c r="M3" s="162" t="str">
        <f t="shared" si="0"/>
        <v>mmol</v>
      </c>
      <c r="N3" s="162" t="str">
        <f t="shared" si="0"/>
        <v>mmol</v>
      </c>
      <c r="O3" s="162" t="str">
        <f t="shared" si="0"/>
        <v>mmol</v>
      </c>
      <c r="P3" s="162" t="str">
        <f t="shared" si="0"/>
        <v>IE</v>
      </c>
      <c r="Q3" s="162" t="str">
        <f t="shared" si="0"/>
        <v>mmol</v>
      </c>
    </row>
    <row r="4" spans="1:17" x14ac:dyDescent="0.2">
      <c r="A4" s="52" t="s">
        <v>383</v>
      </c>
      <c r="B4" s="52"/>
    </row>
    <row r="5" spans="1:17" x14ac:dyDescent="0.2">
      <c r="A5" s="52" t="s">
        <v>384</v>
      </c>
      <c r="B5" s="52"/>
      <c r="C5" s="162" t="s">
        <v>726</v>
      </c>
      <c r="D5" s="162" t="str">
        <f t="shared" ref="D5:D28" si="1">IF(ISBLANK(C5),E5,C5&amp;": "&amp;E5)</f>
        <v>&lt;10 kg: MM</v>
      </c>
      <c r="E5" s="162" t="s">
        <v>120</v>
      </c>
      <c r="F5" s="162">
        <f t="shared" ref="F5:Q14" si="2">VLOOKUP($E5,Tbl_Glob_BerVoeding,F$1,FALSE)</f>
        <v>0.68</v>
      </c>
      <c r="G5" s="162">
        <f t="shared" si="2"/>
        <v>0.01</v>
      </c>
      <c r="H5" s="162">
        <f t="shared" si="2"/>
        <v>7.0000000000000007E-2</v>
      </c>
      <c r="I5" s="162">
        <f t="shared" si="2"/>
        <v>0.04</v>
      </c>
      <c r="J5" s="162">
        <f t="shared" si="2"/>
        <v>8.6956000000000012E-3</v>
      </c>
      <c r="K5" s="162">
        <f t="shared" si="2"/>
        <v>1.2820500000000002E-2</v>
      </c>
      <c r="L5" s="162">
        <f t="shared" si="2"/>
        <v>7.4700000000000001E-3</v>
      </c>
      <c r="M5" s="162">
        <f t="shared" si="2"/>
        <v>4.8433499999999997E-3</v>
      </c>
      <c r="N5" s="162">
        <f t="shared" si="2"/>
        <v>1.23423E-3</v>
      </c>
      <c r="O5" s="162">
        <f t="shared" si="2"/>
        <v>1.7899999999999998E-5</v>
      </c>
      <c r="P5" s="162">
        <f t="shared" si="2"/>
        <v>0</v>
      </c>
      <c r="Q5" s="162">
        <f t="shared" si="2"/>
        <v>1.212858E-2</v>
      </c>
    </row>
    <row r="6" spans="1:17" x14ac:dyDescent="0.2">
      <c r="A6" s="52" t="s">
        <v>846</v>
      </c>
      <c r="B6" s="52"/>
      <c r="C6" s="162" t="s">
        <v>727</v>
      </c>
      <c r="D6" s="162" t="str">
        <f t="shared" si="1"/>
        <v>&lt;3,5 kg: Nutrilon Nenatal Start</v>
      </c>
      <c r="E6" s="162" t="s">
        <v>728</v>
      </c>
      <c r="F6" s="162">
        <f t="shared" si="2"/>
        <v>0.8</v>
      </c>
      <c r="G6" s="162">
        <f t="shared" si="2"/>
        <v>2.6000000000000002E-2</v>
      </c>
      <c r="H6" s="162">
        <f t="shared" si="2"/>
        <v>8.4000000000000005E-2</v>
      </c>
      <c r="I6" s="162">
        <f t="shared" si="2"/>
        <v>3.9E-2</v>
      </c>
      <c r="J6" s="162">
        <f t="shared" si="2"/>
        <v>3.0434599999999999E-2</v>
      </c>
      <c r="K6" s="162">
        <f t="shared" si="2"/>
        <v>2.0512800000000001E-2</v>
      </c>
      <c r="L6" s="162">
        <f t="shared" si="2"/>
        <v>2.4899999999999999E-2</v>
      </c>
      <c r="M6" s="162">
        <f t="shared" si="2"/>
        <v>1.8081839999999998E-2</v>
      </c>
      <c r="N6" s="162">
        <f t="shared" si="2"/>
        <v>3.2912799999999997E-3</v>
      </c>
      <c r="O6" s="162">
        <f t="shared" si="2"/>
        <v>2.8639999999999997E-4</v>
      </c>
      <c r="P6" s="162">
        <f t="shared" si="2"/>
        <v>1.2</v>
      </c>
      <c r="Q6" s="162">
        <f t="shared" si="2"/>
        <v>2.3975099999999999E-2</v>
      </c>
    </row>
    <row r="7" spans="1:17" x14ac:dyDescent="0.2">
      <c r="C7" s="162" t="s">
        <v>727</v>
      </c>
      <c r="D7" s="162" t="str">
        <f t="shared" si="1"/>
        <v>&lt;3,5 kg: Nutrilon Nenatal 1</v>
      </c>
      <c r="E7" s="262" t="s">
        <v>729</v>
      </c>
      <c r="F7" s="162">
        <f t="shared" si="2"/>
        <v>0.75</v>
      </c>
      <c r="G7" s="162">
        <f t="shared" si="2"/>
        <v>0.02</v>
      </c>
      <c r="H7" s="162">
        <f t="shared" si="2"/>
        <v>7.4999999999999997E-2</v>
      </c>
      <c r="I7" s="162">
        <f t="shared" si="2"/>
        <v>0.04</v>
      </c>
      <c r="J7" s="162">
        <f t="shared" si="2"/>
        <v>1.217384E-2</v>
      </c>
      <c r="K7" s="162">
        <f t="shared" si="2"/>
        <v>1.9743570000000002E-2</v>
      </c>
      <c r="L7" s="162">
        <f t="shared" si="2"/>
        <v>2.1662999999999998E-2</v>
      </c>
      <c r="M7" s="162">
        <f t="shared" si="2"/>
        <v>1.517583E-2</v>
      </c>
      <c r="N7" s="162">
        <f t="shared" si="2"/>
        <v>2.8798700000000001E-3</v>
      </c>
      <c r="O7" s="162">
        <f t="shared" si="2"/>
        <v>2.1479999999999999E-4</v>
      </c>
      <c r="P7" s="162">
        <f t="shared" si="2"/>
        <v>0.68</v>
      </c>
      <c r="Q7" s="162">
        <f t="shared" si="2"/>
        <v>1.5513299999999999E-2</v>
      </c>
    </row>
    <row r="8" spans="1:17" x14ac:dyDescent="0.2">
      <c r="D8" s="162" t="str">
        <f t="shared" si="1"/>
        <v>Nutrilon Hypoallergeen 1</v>
      </c>
      <c r="E8" s="361" t="s">
        <v>730</v>
      </c>
      <c r="F8" s="162">
        <f t="shared" si="2"/>
        <v>0.66</v>
      </c>
      <c r="G8" s="162">
        <f t="shared" si="2"/>
        <v>1.4999999999999999E-2</v>
      </c>
      <c r="H8" s="162">
        <f t="shared" si="2"/>
        <v>7.2000000000000008E-2</v>
      </c>
      <c r="I8" s="162">
        <f t="shared" si="2"/>
        <v>3.4000000000000002E-2</v>
      </c>
      <c r="J8" s="162">
        <f t="shared" si="2"/>
        <v>1.0869500000000001E-2</v>
      </c>
      <c r="K8" s="162">
        <f t="shared" si="2"/>
        <v>1.8717930000000001E-2</v>
      </c>
      <c r="L8" s="162">
        <f t="shared" si="2"/>
        <v>1.1453999999999999E-2</v>
      </c>
      <c r="M8" s="162">
        <f t="shared" si="2"/>
        <v>8.3951400000000006E-3</v>
      </c>
      <c r="N8" s="162">
        <f t="shared" si="2"/>
        <v>2.0981909999999997E-3</v>
      </c>
      <c r="O8" s="162">
        <f t="shared" si="2"/>
        <v>9.4870000000000005E-5</v>
      </c>
      <c r="P8" s="162">
        <f t="shared" si="2"/>
        <v>0.48</v>
      </c>
      <c r="Q8" s="162">
        <f t="shared" si="2"/>
        <v>1.1564459999999999E-2</v>
      </c>
    </row>
    <row r="9" spans="1:17" x14ac:dyDescent="0.2">
      <c r="C9" s="162" t="s">
        <v>371</v>
      </c>
      <c r="D9" s="162" t="str">
        <f t="shared" si="1"/>
        <v>3,5-10 kg: Nutrilon Standaard 1</v>
      </c>
      <c r="E9" s="162" t="s">
        <v>452</v>
      </c>
      <c r="F9" s="162">
        <f t="shared" si="2"/>
        <v>0.66</v>
      </c>
      <c r="G9" s="162">
        <f t="shared" si="2"/>
        <v>1.3000000000000001E-2</v>
      </c>
      <c r="H9" s="162">
        <f t="shared" si="2"/>
        <v>7.2999999999999995E-2</v>
      </c>
      <c r="I9" s="162">
        <f t="shared" si="2"/>
        <v>3.4000000000000002E-2</v>
      </c>
      <c r="J9" s="162">
        <f t="shared" si="2"/>
        <v>7.3912600000000002E-3</v>
      </c>
      <c r="K9" s="162">
        <f t="shared" si="2"/>
        <v>1.7435880000000001E-2</v>
      </c>
      <c r="L9" s="162">
        <f t="shared" si="2"/>
        <v>1.4193000000000001E-2</v>
      </c>
      <c r="M9" s="162">
        <f t="shared" si="2"/>
        <v>1.033248E-2</v>
      </c>
      <c r="N9" s="162">
        <f t="shared" si="2"/>
        <v>2.0981909999999997E-3</v>
      </c>
      <c r="O9" s="162">
        <f t="shared" si="2"/>
        <v>6.981E-4</v>
      </c>
      <c r="P9" s="162">
        <f t="shared" si="2"/>
        <v>3.48</v>
      </c>
      <c r="Q9" s="162">
        <f t="shared" si="2"/>
        <v>1.1846520000000001E-2</v>
      </c>
    </row>
    <row r="10" spans="1:17" x14ac:dyDescent="0.2">
      <c r="C10" s="360" t="s">
        <v>371</v>
      </c>
      <c r="D10" s="162" t="str">
        <f t="shared" si="1"/>
        <v>3,5-10 kg: Nutrilon Standaard 2</v>
      </c>
      <c r="E10" s="162" t="s">
        <v>793</v>
      </c>
      <c r="F10" s="162">
        <f t="shared" si="2"/>
        <v>0.68</v>
      </c>
      <c r="G10" s="162">
        <f t="shared" si="2"/>
        <v>1.3999999999999999E-2</v>
      </c>
      <c r="H10" s="162">
        <f t="shared" si="2"/>
        <v>8.5999999999999993E-2</v>
      </c>
      <c r="I10" s="162">
        <f t="shared" si="2"/>
        <v>0.03</v>
      </c>
      <c r="J10" s="162">
        <f t="shared" si="2"/>
        <v>9.9999400000000006E-3</v>
      </c>
      <c r="K10" s="162">
        <f t="shared" si="2"/>
        <v>1.8974339999999999E-2</v>
      </c>
      <c r="L10" s="162">
        <f t="shared" si="2"/>
        <v>1.6184999999999998E-2</v>
      </c>
      <c r="M10" s="162">
        <f t="shared" si="2"/>
        <v>1.162404E-2</v>
      </c>
      <c r="N10" s="162">
        <f t="shared" si="2"/>
        <v>1.974768E-3</v>
      </c>
      <c r="O10" s="162">
        <f t="shared" si="2"/>
        <v>1.253E-3</v>
      </c>
      <c r="P10" s="162">
        <f t="shared" si="2"/>
        <v>0.56000000000000005</v>
      </c>
      <c r="Q10" s="162">
        <f t="shared" si="2"/>
        <v>1.3256820000000001E-2</v>
      </c>
    </row>
    <row r="11" spans="1:17" x14ac:dyDescent="0.2">
      <c r="C11" s="162" t="s">
        <v>726</v>
      </c>
      <c r="D11" s="162" t="str">
        <f t="shared" si="1"/>
        <v>&lt;10 kg: Infatrini</v>
      </c>
      <c r="E11" s="162" t="s">
        <v>17</v>
      </c>
      <c r="F11" s="162">
        <f t="shared" si="2"/>
        <v>1</v>
      </c>
      <c r="G11" s="162">
        <f t="shared" si="2"/>
        <v>2.6000000000000002E-2</v>
      </c>
      <c r="H11" s="162">
        <f t="shared" si="2"/>
        <v>0.10300000000000001</v>
      </c>
      <c r="I11" s="162">
        <f t="shared" si="2"/>
        <v>5.4000000000000006E-2</v>
      </c>
      <c r="J11" s="162">
        <f t="shared" si="2"/>
        <v>1.6086860000000001E-2</v>
      </c>
      <c r="K11" s="162">
        <f t="shared" si="2"/>
        <v>2.4358950000000001E-2</v>
      </c>
      <c r="L11" s="162">
        <f t="shared" si="2"/>
        <v>2.4899999999999999E-2</v>
      </c>
      <c r="M11" s="162">
        <f t="shared" si="2"/>
        <v>1.6144499999999999E-2</v>
      </c>
      <c r="N11" s="162">
        <f t="shared" si="2"/>
        <v>3.7026899999999998E-3</v>
      </c>
      <c r="O11" s="162">
        <f t="shared" si="2"/>
        <v>2.1479999999999999E-4</v>
      </c>
      <c r="P11" s="162">
        <f t="shared" si="2"/>
        <v>0.76</v>
      </c>
      <c r="Q11" s="162">
        <f t="shared" si="2"/>
        <v>1.7487719999999998E-2</v>
      </c>
    </row>
    <row r="12" spans="1:17" x14ac:dyDescent="0.2">
      <c r="C12" s="162" t="s">
        <v>726</v>
      </c>
      <c r="D12" s="162" t="str">
        <f t="shared" si="1"/>
        <v>&lt;10 kg: Infatrini Peptisorb</v>
      </c>
      <c r="E12" s="162" t="s">
        <v>809</v>
      </c>
      <c r="F12" s="162">
        <f t="shared" si="2"/>
        <v>1</v>
      </c>
      <c r="G12" s="162">
        <f t="shared" si="2"/>
        <v>2.6000000000000002E-2</v>
      </c>
      <c r="H12" s="162">
        <f t="shared" si="2"/>
        <v>0.10300000000000001</v>
      </c>
      <c r="I12" s="162">
        <f t="shared" si="2"/>
        <v>5.4000000000000006E-2</v>
      </c>
      <c r="J12" s="162">
        <f t="shared" si="2"/>
        <v>1.391296E-2</v>
      </c>
      <c r="K12" s="162">
        <f t="shared" si="2"/>
        <v>2.769228E-2</v>
      </c>
      <c r="L12" s="162">
        <f t="shared" si="2"/>
        <v>1.992E-2</v>
      </c>
      <c r="M12" s="162">
        <f t="shared" si="2"/>
        <v>1.2915600000000001E-2</v>
      </c>
      <c r="N12" s="162">
        <f t="shared" si="2"/>
        <v>3.2912799999999997E-3</v>
      </c>
      <c r="O12" s="162">
        <f t="shared" si="2"/>
        <v>1.7899999999999999E-4</v>
      </c>
      <c r="P12" s="162">
        <f t="shared" si="2"/>
        <v>0.68</v>
      </c>
      <c r="Q12" s="162">
        <f t="shared" si="2"/>
        <v>1.805184E-2</v>
      </c>
    </row>
    <row r="13" spans="1:17" x14ac:dyDescent="0.2">
      <c r="C13" s="162" t="s">
        <v>726</v>
      </c>
      <c r="D13" s="162" t="str">
        <f t="shared" si="1"/>
        <v>&lt;10 kg: Nutrilon Pepti 1</v>
      </c>
      <c r="E13" s="162" t="s">
        <v>805</v>
      </c>
      <c r="F13" s="162">
        <f t="shared" si="2"/>
        <v>0.67</v>
      </c>
      <c r="G13" s="162">
        <f t="shared" si="2"/>
        <v>1.6E-2</v>
      </c>
      <c r="H13" s="162">
        <f t="shared" si="2"/>
        <v>7.0000000000000007E-2</v>
      </c>
      <c r="I13" s="162">
        <f t="shared" si="2"/>
        <v>3.5000000000000003E-2</v>
      </c>
      <c r="J13" s="162">
        <f t="shared" si="2"/>
        <v>8.6956000000000012E-3</v>
      </c>
      <c r="K13" s="162">
        <f t="shared" si="2"/>
        <v>2.076921E-2</v>
      </c>
      <c r="L13" s="162">
        <f t="shared" si="2"/>
        <v>1.1702999999999998E-2</v>
      </c>
      <c r="M13" s="162">
        <f t="shared" si="2"/>
        <v>8.3951400000000006E-3</v>
      </c>
      <c r="N13" s="162">
        <f t="shared" si="2"/>
        <v>2.1804729999999996E-3</v>
      </c>
      <c r="O13" s="162">
        <f t="shared" si="2"/>
        <v>9.4870000000000005E-5</v>
      </c>
      <c r="P13" s="162">
        <f t="shared" si="2"/>
        <v>0.52</v>
      </c>
      <c r="Q13" s="162">
        <f t="shared" si="2"/>
        <v>1.12824E-2</v>
      </c>
    </row>
    <row r="14" spans="1:17" x14ac:dyDescent="0.2">
      <c r="C14" s="162" t="s">
        <v>372</v>
      </c>
      <c r="D14" s="162" t="str">
        <f t="shared" si="1"/>
        <v>10-20 kg: Nutrini Multi Fibre</v>
      </c>
      <c r="E14" s="162" t="s">
        <v>373</v>
      </c>
      <c r="F14" s="162">
        <f t="shared" si="2"/>
        <v>1.01</v>
      </c>
      <c r="G14" s="162">
        <f t="shared" si="2"/>
        <v>2.7000000000000003E-2</v>
      </c>
      <c r="H14" s="162">
        <f t="shared" si="2"/>
        <v>0.12300000000000001</v>
      </c>
      <c r="I14" s="162">
        <f t="shared" si="2"/>
        <v>4.4000000000000004E-2</v>
      </c>
      <c r="J14" s="162">
        <f t="shared" si="2"/>
        <v>2.60868E-2</v>
      </c>
      <c r="K14" s="162">
        <f t="shared" si="2"/>
        <v>2.82051E-2</v>
      </c>
      <c r="L14" s="162">
        <f t="shared" si="2"/>
        <v>1.494E-2</v>
      </c>
      <c r="M14" s="162">
        <f t="shared" si="2"/>
        <v>1.6144499999999999E-2</v>
      </c>
      <c r="N14" s="162">
        <f t="shared" si="2"/>
        <v>4.5255099999999999E-3</v>
      </c>
      <c r="O14" s="162">
        <f t="shared" si="2"/>
        <v>1.7899999999999999E-4</v>
      </c>
      <c r="P14" s="162">
        <f t="shared" si="2"/>
        <v>0.4</v>
      </c>
      <c r="Q14" s="162">
        <f t="shared" si="2"/>
        <v>2.6795699999999999E-2</v>
      </c>
    </row>
    <row r="15" spans="1:17" x14ac:dyDescent="0.2">
      <c r="C15" s="162" t="s">
        <v>372</v>
      </c>
      <c r="D15" s="162" t="str">
        <f t="shared" si="1"/>
        <v>10-20 kg: Nutrini Energy Multi Fibre</v>
      </c>
      <c r="E15" s="162" t="s">
        <v>374</v>
      </c>
      <c r="F15" s="162">
        <f t="shared" ref="F15:Q28" si="3">VLOOKUP($E15,Tbl_Glob_BerVoeding,F$1,FALSE)</f>
        <v>1.51</v>
      </c>
      <c r="G15" s="162">
        <f t="shared" si="3"/>
        <v>0.04</v>
      </c>
      <c r="H15" s="162">
        <f t="shared" si="3"/>
        <v>0.185</v>
      </c>
      <c r="I15" s="162">
        <f t="shared" si="3"/>
        <v>6.7000000000000004E-2</v>
      </c>
      <c r="J15" s="162">
        <f t="shared" si="3"/>
        <v>3.9130200000000004E-2</v>
      </c>
      <c r="K15" s="162">
        <f t="shared" si="3"/>
        <v>4.2307650000000002E-2</v>
      </c>
      <c r="L15" s="162">
        <f t="shared" si="3"/>
        <v>2.2409999999999996E-2</v>
      </c>
      <c r="M15" s="162">
        <f t="shared" si="3"/>
        <v>2.4216749999999999E-2</v>
      </c>
      <c r="N15" s="162">
        <f t="shared" si="3"/>
        <v>6.9939699999999995E-3</v>
      </c>
      <c r="O15" s="162">
        <f t="shared" si="3"/>
        <v>2.6849999999999997E-4</v>
      </c>
      <c r="P15" s="162">
        <f t="shared" si="3"/>
        <v>0.6</v>
      </c>
      <c r="Q15" s="162">
        <f t="shared" si="3"/>
        <v>4.0334579999999995E-2</v>
      </c>
    </row>
    <row r="16" spans="1:17" x14ac:dyDescent="0.2">
      <c r="C16" s="162" t="s">
        <v>372</v>
      </c>
      <c r="D16" s="162" t="str">
        <f t="shared" si="1"/>
        <v>10-20 kg: Nutrini Peptisorb</v>
      </c>
      <c r="E16" s="162" t="s">
        <v>810</v>
      </c>
      <c r="F16" s="162">
        <f t="shared" si="3"/>
        <v>1</v>
      </c>
      <c r="G16" s="162">
        <f t="shared" si="3"/>
        <v>2.7999999999999997E-2</v>
      </c>
      <c r="H16" s="162">
        <f t="shared" si="3"/>
        <v>0.13699999999999998</v>
      </c>
      <c r="I16" s="162">
        <f t="shared" si="3"/>
        <v>3.9E-2</v>
      </c>
      <c r="J16" s="162">
        <f t="shared" si="3"/>
        <v>2.60868E-2</v>
      </c>
      <c r="K16" s="162">
        <f t="shared" si="3"/>
        <v>2.82051E-2</v>
      </c>
      <c r="L16" s="162">
        <f t="shared" si="3"/>
        <v>1.494E-2</v>
      </c>
      <c r="M16" s="162">
        <f t="shared" si="3"/>
        <v>1.6144499999999999E-2</v>
      </c>
      <c r="N16" s="162">
        <f t="shared" si="3"/>
        <v>4.5255099999999999E-3</v>
      </c>
      <c r="O16" s="162">
        <f t="shared" si="3"/>
        <v>1.7899999999999999E-4</v>
      </c>
      <c r="P16" s="162">
        <f t="shared" si="3"/>
        <v>0.4</v>
      </c>
      <c r="Q16" s="162">
        <f t="shared" si="3"/>
        <v>2.6795699999999999E-2</v>
      </c>
    </row>
    <row r="17" spans="3:17" x14ac:dyDescent="0.2">
      <c r="C17" s="162" t="s">
        <v>372</v>
      </c>
      <c r="D17" s="162" t="str">
        <f t="shared" si="1"/>
        <v>10-20 kg: Nutrilon Pepti 2</v>
      </c>
      <c r="E17" s="162" t="s">
        <v>817</v>
      </c>
      <c r="F17" s="162">
        <f t="shared" si="3"/>
        <v>0.68</v>
      </c>
      <c r="G17" s="162">
        <f t="shared" si="3"/>
        <v>1.6E-2</v>
      </c>
      <c r="H17" s="162">
        <f t="shared" si="3"/>
        <v>8.1000000000000003E-2</v>
      </c>
      <c r="I17" s="162">
        <f t="shared" si="3"/>
        <v>3.1E-2</v>
      </c>
      <c r="J17" s="162">
        <f t="shared" si="3"/>
        <v>1.0869500000000001E-2</v>
      </c>
      <c r="K17" s="162">
        <f t="shared" si="3"/>
        <v>1.9999980000000001E-2</v>
      </c>
      <c r="L17" s="162">
        <f t="shared" si="3"/>
        <v>1.5687E-2</v>
      </c>
      <c r="M17" s="162">
        <f t="shared" si="3"/>
        <v>1.194693E-2</v>
      </c>
      <c r="N17" s="162">
        <f t="shared" si="3"/>
        <v>2.262755E-3</v>
      </c>
      <c r="O17" s="162">
        <f t="shared" si="3"/>
        <v>1.7899999999999999E-4</v>
      </c>
      <c r="P17" s="162">
        <f t="shared" si="3"/>
        <v>0.56000000000000005</v>
      </c>
      <c r="Q17" s="162">
        <f t="shared" si="3"/>
        <v>1.1846520000000001E-2</v>
      </c>
    </row>
    <row r="18" spans="3:17" x14ac:dyDescent="0.2">
      <c r="C18" s="162" t="s">
        <v>375</v>
      </c>
      <c r="D18" s="162" t="str">
        <f t="shared" si="1"/>
        <v>20-45 kg: NutriniMax Multi Fibre</v>
      </c>
      <c r="E18" s="162" t="s">
        <v>376</v>
      </c>
      <c r="F18" s="162">
        <f t="shared" si="3"/>
        <v>1.02</v>
      </c>
      <c r="G18" s="162">
        <f t="shared" si="3"/>
        <v>3.3000000000000002E-2</v>
      </c>
      <c r="H18" s="162">
        <f t="shared" si="3"/>
        <v>0.12300000000000001</v>
      </c>
      <c r="I18" s="162">
        <f t="shared" si="3"/>
        <v>4.2000000000000003E-2</v>
      </c>
      <c r="J18" s="162">
        <f t="shared" si="3"/>
        <v>3.4782400000000005E-2</v>
      </c>
      <c r="K18" s="162">
        <f t="shared" si="3"/>
        <v>3.5384579999999999E-2</v>
      </c>
      <c r="L18" s="162">
        <f t="shared" si="3"/>
        <v>1.7429999999999998E-2</v>
      </c>
      <c r="M18" s="162">
        <f t="shared" si="3"/>
        <v>1.9373399999999999E-2</v>
      </c>
      <c r="N18" s="162">
        <f t="shared" si="3"/>
        <v>6.9939699999999995E-3</v>
      </c>
      <c r="O18" s="162">
        <f t="shared" si="3"/>
        <v>2.3269999999999999E-4</v>
      </c>
      <c r="P18" s="162">
        <f t="shared" si="3"/>
        <v>0.28000000000000003</v>
      </c>
      <c r="Q18" s="162">
        <f t="shared" si="3"/>
        <v>3.5257499999999997E-2</v>
      </c>
    </row>
    <row r="19" spans="3:17" x14ac:dyDescent="0.2">
      <c r="C19" s="162" t="s">
        <v>375</v>
      </c>
      <c r="D19" s="162" t="str">
        <f t="shared" si="1"/>
        <v>20-45 kg: NutriniMax Energy Multi Fibre</v>
      </c>
      <c r="E19" s="162" t="s">
        <v>377</v>
      </c>
      <c r="F19" s="162">
        <f t="shared" si="3"/>
        <v>1.52</v>
      </c>
      <c r="G19" s="162">
        <f t="shared" si="3"/>
        <v>4.8000000000000001E-2</v>
      </c>
      <c r="H19" s="162">
        <f t="shared" si="3"/>
        <v>0.185</v>
      </c>
      <c r="I19" s="162">
        <f t="shared" si="3"/>
        <v>6.3E-2</v>
      </c>
      <c r="J19" s="162">
        <f t="shared" si="3"/>
        <v>4.6521460000000001E-2</v>
      </c>
      <c r="K19" s="162">
        <f t="shared" si="3"/>
        <v>4.769226E-2</v>
      </c>
      <c r="L19" s="162">
        <f t="shared" si="3"/>
        <v>2.3654999999999999E-2</v>
      </c>
      <c r="M19" s="162">
        <f t="shared" si="3"/>
        <v>2.9060099999999998E-2</v>
      </c>
      <c r="N19" s="162">
        <f t="shared" si="3"/>
        <v>1.069666E-2</v>
      </c>
      <c r="O19" s="162">
        <f t="shared" si="3"/>
        <v>3.5799999999999997E-4</v>
      </c>
      <c r="P19" s="162">
        <f t="shared" si="3"/>
        <v>0.44</v>
      </c>
      <c r="Q19" s="162">
        <f t="shared" si="3"/>
        <v>4.1462819999999991E-2</v>
      </c>
    </row>
    <row r="20" spans="3:17" x14ac:dyDescent="0.2">
      <c r="C20" s="162" t="s">
        <v>375</v>
      </c>
      <c r="D20" s="162" t="str">
        <f t="shared" si="1"/>
        <v>20-45 kg: Nutrini Peptisorb</v>
      </c>
      <c r="E20" s="162" t="s">
        <v>810</v>
      </c>
      <c r="F20" s="162">
        <f t="shared" si="3"/>
        <v>1</v>
      </c>
      <c r="G20" s="162">
        <f t="shared" si="3"/>
        <v>2.7999999999999997E-2</v>
      </c>
      <c r="H20" s="162">
        <f t="shared" si="3"/>
        <v>0.13699999999999998</v>
      </c>
      <c r="I20" s="162">
        <f t="shared" si="3"/>
        <v>3.9E-2</v>
      </c>
      <c r="J20" s="162">
        <f t="shared" si="3"/>
        <v>2.60868E-2</v>
      </c>
      <c r="K20" s="162">
        <f t="shared" si="3"/>
        <v>2.82051E-2</v>
      </c>
      <c r="L20" s="162">
        <f t="shared" si="3"/>
        <v>1.494E-2</v>
      </c>
      <c r="M20" s="162">
        <f t="shared" si="3"/>
        <v>1.6144499999999999E-2</v>
      </c>
      <c r="N20" s="162">
        <f t="shared" si="3"/>
        <v>4.5255099999999999E-3</v>
      </c>
      <c r="O20" s="162">
        <f t="shared" si="3"/>
        <v>1.7899999999999999E-4</v>
      </c>
      <c r="P20" s="162">
        <f t="shared" si="3"/>
        <v>0.4</v>
      </c>
      <c r="Q20" s="162">
        <f t="shared" si="3"/>
        <v>2.6795699999999999E-2</v>
      </c>
    </row>
    <row r="21" spans="3:17" x14ac:dyDescent="0.2">
      <c r="C21" s="162" t="s">
        <v>375</v>
      </c>
      <c r="D21" s="162" t="str">
        <f t="shared" si="1"/>
        <v>20-45 kg: Nutrilon Pepti 2</v>
      </c>
      <c r="E21" s="162" t="s">
        <v>817</v>
      </c>
      <c r="F21" s="162">
        <f t="shared" si="3"/>
        <v>0.68</v>
      </c>
      <c r="G21" s="162">
        <f t="shared" si="3"/>
        <v>1.6E-2</v>
      </c>
      <c r="H21" s="162">
        <f t="shared" si="3"/>
        <v>8.1000000000000003E-2</v>
      </c>
      <c r="I21" s="162">
        <f t="shared" si="3"/>
        <v>3.1E-2</v>
      </c>
      <c r="J21" s="162">
        <f t="shared" si="3"/>
        <v>1.0869500000000001E-2</v>
      </c>
      <c r="K21" s="162">
        <f t="shared" si="3"/>
        <v>1.9999980000000001E-2</v>
      </c>
      <c r="L21" s="162">
        <f t="shared" si="3"/>
        <v>1.5687E-2</v>
      </c>
      <c r="M21" s="162">
        <f t="shared" si="3"/>
        <v>1.194693E-2</v>
      </c>
      <c r="N21" s="162">
        <f t="shared" si="3"/>
        <v>2.262755E-3</v>
      </c>
      <c r="O21" s="162">
        <f t="shared" si="3"/>
        <v>1.7899999999999999E-4</v>
      </c>
      <c r="P21" s="162">
        <f t="shared" si="3"/>
        <v>0.56000000000000005</v>
      </c>
      <c r="Q21" s="162">
        <f t="shared" si="3"/>
        <v>1.1846520000000001E-2</v>
      </c>
    </row>
    <row r="22" spans="3:17" x14ac:dyDescent="0.2">
      <c r="C22" s="162" t="s">
        <v>378</v>
      </c>
      <c r="D22" s="162" t="str">
        <f t="shared" si="1"/>
        <v>&gt; 45 kg: Nutrison Multi Fibre</v>
      </c>
      <c r="E22" s="162" t="s">
        <v>379</v>
      </c>
      <c r="F22" s="162">
        <f t="shared" si="3"/>
        <v>1.03</v>
      </c>
      <c r="G22" s="162">
        <f t="shared" si="3"/>
        <v>0.04</v>
      </c>
      <c r="H22" s="162">
        <f t="shared" si="3"/>
        <v>0.12300000000000001</v>
      </c>
      <c r="I22" s="162">
        <f t="shared" si="3"/>
        <v>3.9E-2</v>
      </c>
      <c r="J22" s="162">
        <f t="shared" si="3"/>
        <v>4.3478000000000003E-2</v>
      </c>
      <c r="K22" s="162">
        <f t="shared" si="3"/>
        <v>3.8461500000000003E-2</v>
      </c>
      <c r="L22" s="162">
        <f t="shared" si="3"/>
        <v>1.992E-2</v>
      </c>
      <c r="M22" s="162">
        <f t="shared" si="3"/>
        <v>2.3248080000000001E-2</v>
      </c>
      <c r="N22" s="162">
        <f t="shared" si="3"/>
        <v>9.4624299999999991E-3</v>
      </c>
      <c r="O22" s="162">
        <f t="shared" si="3"/>
        <v>2.8639999999999997E-4</v>
      </c>
      <c r="P22" s="162">
        <f t="shared" si="3"/>
        <v>0.4</v>
      </c>
      <c r="Q22" s="162">
        <f t="shared" si="3"/>
        <v>3.5257499999999997E-2</v>
      </c>
    </row>
    <row r="23" spans="3:17" x14ac:dyDescent="0.2">
      <c r="C23" s="162" t="s">
        <v>378</v>
      </c>
      <c r="D23" s="162" t="str">
        <f t="shared" si="1"/>
        <v>&gt; 45 kg: Nutrison Energy Multi Fibre</v>
      </c>
      <c r="E23" s="162" t="s">
        <v>380</v>
      </c>
      <c r="F23" s="162">
        <f t="shared" si="3"/>
        <v>1.53</v>
      </c>
      <c r="G23" s="162">
        <f t="shared" si="3"/>
        <v>0.06</v>
      </c>
      <c r="H23" s="162">
        <f t="shared" si="3"/>
        <v>0.184</v>
      </c>
      <c r="I23" s="162">
        <f t="shared" si="3"/>
        <v>5.7999999999999996E-2</v>
      </c>
      <c r="J23" s="162">
        <f t="shared" si="3"/>
        <v>5.826052000000001E-2</v>
      </c>
      <c r="K23" s="162">
        <f t="shared" si="3"/>
        <v>5.153841E-2</v>
      </c>
      <c r="L23" s="162">
        <f t="shared" si="3"/>
        <v>2.0915999999999997E-2</v>
      </c>
      <c r="M23" s="162">
        <f t="shared" si="3"/>
        <v>2.7122759999999996E-2</v>
      </c>
      <c r="N23" s="162">
        <f t="shared" si="3"/>
        <v>1.2342299999999999E-2</v>
      </c>
      <c r="O23" s="162">
        <f t="shared" si="3"/>
        <v>4.2959999999999998E-4</v>
      </c>
      <c r="P23" s="162">
        <f t="shared" si="3"/>
        <v>0.6</v>
      </c>
      <c r="Q23" s="162">
        <f t="shared" si="3"/>
        <v>2.8205999999999998E-2</v>
      </c>
    </row>
    <row r="24" spans="3:17" x14ac:dyDescent="0.2">
      <c r="C24" s="162" t="s">
        <v>378</v>
      </c>
      <c r="D24" s="162" t="str">
        <f t="shared" si="1"/>
        <v>&gt; 45 kg: Nutrison Adv Peptisorb</v>
      </c>
      <c r="E24" s="162" t="s">
        <v>811</v>
      </c>
      <c r="F24" s="162">
        <f t="shared" si="3"/>
        <v>1</v>
      </c>
      <c r="G24" s="162">
        <f t="shared" si="3"/>
        <v>0.04</v>
      </c>
      <c r="H24" s="162">
        <f t="shared" si="3"/>
        <v>0.17600000000000002</v>
      </c>
      <c r="I24" s="162">
        <f t="shared" si="3"/>
        <v>1.7000000000000001E-2</v>
      </c>
      <c r="J24" s="162">
        <f t="shared" si="3"/>
        <v>4.3478000000000003E-2</v>
      </c>
      <c r="K24" s="162">
        <f t="shared" si="3"/>
        <v>3.8461500000000003E-2</v>
      </c>
      <c r="L24" s="162">
        <f t="shared" si="3"/>
        <v>1.992E-2</v>
      </c>
      <c r="M24" s="162">
        <f t="shared" si="3"/>
        <v>2.3248080000000001E-2</v>
      </c>
      <c r="N24" s="162">
        <f t="shared" si="3"/>
        <v>9.4624299999999991E-3</v>
      </c>
      <c r="O24" s="162">
        <f t="shared" si="3"/>
        <v>2.8639999999999997E-4</v>
      </c>
      <c r="P24" s="162">
        <f t="shared" si="3"/>
        <v>0.28000000000000003</v>
      </c>
      <c r="Q24" s="162">
        <f t="shared" si="3"/>
        <v>3.5257499999999997E-2</v>
      </c>
    </row>
    <row r="25" spans="3:17" x14ac:dyDescent="0.2">
      <c r="C25" s="162" t="s">
        <v>378</v>
      </c>
      <c r="D25" s="162" t="str">
        <f t="shared" si="1"/>
        <v>&gt; 45 kg: Nutrilon Pepti 2</v>
      </c>
      <c r="E25" s="162" t="s">
        <v>817</v>
      </c>
      <c r="F25" s="162">
        <f t="shared" si="3"/>
        <v>0.68</v>
      </c>
      <c r="G25" s="162">
        <f t="shared" si="3"/>
        <v>1.6E-2</v>
      </c>
      <c r="H25" s="162">
        <f t="shared" si="3"/>
        <v>8.1000000000000003E-2</v>
      </c>
      <c r="I25" s="162">
        <f t="shared" si="3"/>
        <v>3.1E-2</v>
      </c>
      <c r="J25" s="162">
        <f t="shared" si="3"/>
        <v>1.0869500000000001E-2</v>
      </c>
      <c r="K25" s="162">
        <f t="shared" si="3"/>
        <v>1.9999980000000001E-2</v>
      </c>
      <c r="L25" s="162">
        <f t="shared" si="3"/>
        <v>1.5687E-2</v>
      </c>
      <c r="M25" s="162">
        <f t="shared" si="3"/>
        <v>1.194693E-2</v>
      </c>
      <c r="N25" s="162">
        <f t="shared" si="3"/>
        <v>2.262755E-3</v>
      </c>
      <c r="O25" s="162">
        <f t="shared" si="3"/>
        <v>1.7899999999999999E-4</v>
      </c>
      <c r="P25" s="162">
        <f t="shared" si="3"/>
        <v>0.56000000000000005</v>
      </c>
      <c r="Q25" s="162">
        <f t="shared" si="3"/>
        <v>1.1846520000000001E-2</v>
      </c>
    </row>
    <row r="26" spans="3:17" x14ac:dyDescent="0.2">
      <c r="D26" s="162" t="str">
        <f t="shared" si="1"/>
        <v>Nutrilon Neocate</v>
      </c>
      <c r="E26" s="162" t="s">
        <v>731</v>
      </c>
      <c r="F26" s="162">
        <f t="shared" si="3"/>
        <v>0.67</v>
      </c>
      <c r="G26" s="162">
        <f t="shared" si="3"/>
        <v>1.8000000000000002E-2</v>
      </c>
      <c r="H26" s="162">
        <f t="shared" si="3"/>
        <v>7.2000000000000008E-2</v>
      </c>
      <c r="I26" s="162">
        <f t="shared" si="3"/>
        <v>3.4000000000000002E-2</v>
      </c>
      <c r="J26" s="162">
        <f t="shared" si="3"/>
        <v>1.1347758000000001E-2</v>
      </c>
      <c r="K26" s="162">
        <f t="shared" si="3"/>
        <v>1.8589725000000001E-2</v>
      </c>
      <c r="L26" s="162">
        <f t="shared" si="3"/>
        <v>1.6334399999999999E-2</v>
      </c>
      <c r="M26" s="162">
        <f t="shared" si="3"/>
        <v>1.5208118999999999E-2</v>
      </c>
      <c r="N26" s="162">
        <f t="shared" si="3"/>
        <v>2.8798700000000001E-3</v>
      </c>
      <c r="O26" s="162">
        <f t="shared" si="3"/>
        <v>1.7899999999999999E-4</v>
      </c>
      <c r="P26" s="162">
        <f t="shared" si="3"/>
        <v>0.48</v>
      </c>
      <c r="Q26" s="162">
        <f t="shared" si="3"/>
        <v>1.5033797999999998E-2</v>
      </c>
    </row>
    <row r="27" spans="3:17" x14ac:dyDescent="0.2">
      <c r="D27" s="162" t="str">
        <f t="shared" si="1"/>
        <v>Nutrilon Pepti Junior</v>
      </c>
      <c r="E27" s="262" t="s">
        <v>732</v>
      </c>
      <c r="F27" s="162">
        <f t="shared" si="3"/>
        <v>0.66</v>
      </c>
      <c r="G27" s="162">
        <f t="shared" si="3"/>
        <v>1.8000000000000002E-2</v>
      </c>
      <c r="H27" s="162">
        <f t="shared" si="3"/>
        <v>6.8000000000000005E-2</v>
      </c>
      <c r="I27" s="162">
        <f t="shared" si="3"/>
        <v>3.5000000000000003E-2</v>
      </c>
      <c r="J27" s="162">
        <f t="shared" si="3"/>
        <v>7.8260400000000011E-3</v>
      </c>
      <c r="K27" s="162">
        <f t="shared" si="3"/>
        <v>1.6666650000000002E-2</v>
      </c>
      <c r="L27" s="162">
        <f t="shared" si="3"/>
        <v>1.2449999999999999E-2</v>
      </c>
      <c r="M27" s="162">
        <f t="shared" si="3"/>
        <v>9.0409199999999992E-3</v>
      </c>
      <c r="N27" s="162">
        <f t="shared" si="3"/>
        <v>2.0981909999999997E-3</v>
      </c>
      <c r="O27" s="162">
        <f t="shared" si="3"/>
        <v>1.3783E-4</v>
      </c>
      <c r="P27" s="162">
        <f t="shared" si="3"/>
        <v>0.52</v>
      </c>
      <c r="Q27" s="162">
        <f t="shared" si="3"/>
        <v>1.12824E-2</v>
      </c>
    </row>
    <row r="28" spans="3:17" x14ac:dyDescent="0.2">
      <c r="D28" s="162" t="str">
        <f t="shared" si="1"/>
        <v>Speciale voeding</v>
      </c>
      <c r="E28" s="162" t="s">
        <v>121</v>
      </c>
      <c r="F28" s="162">
        <f t="shared" si="3"/>
        <v>0</v>
      </c>
      <c r="G28" s="162">
        <f t="shared" si="3"/>
        <v>0</v>
      </c>
      <c r="H28" s="162">
        <f t="shared" si="3"/>
        <v>0</v>
      </c>
      <c r="I28" s="162">
        <f t="shared" si="3"/>
        <v>0</v>
      </c>
      <c r="J28" s="162">
        <f t="shared" si="3"/>
        <v>0</v>
      </c>
      <c r="K28" s="162">
        <f t="shared" si="3"/>
        <v>0</v>
      </c>
      <c r="L28" s="162">
        <f t="shared" si="3"/>
        <v>0</v>
      </c>
      <c r="M28" s="162">
        <f t="shared" si="3"/>
        <v>0</v>
      </c>
      <c r="N28" s="162">
        <f t="shared" si="3"/>
        <v>0</v>
      </c>
      <c r="O28" s="162">
        <f t="shared" si="3"/>
        <v>0</v>
      </c>
      <c r="P28" s="162">
        <f t="shared" si="3"/>
        <v>0</v>
      </c>
      <c r="Q28" s="162">
        <f t="shared" si="3"/>
        <v>0</v>
      </c>
    </row>
    <row r="30" spans="3:17" x14ac:dyDescent="0.2">
      <c r="F30" s="162">
        <v>2</v>
      </c>
      <c r="G30" s="162">
        <v>3</v>
      </c>
      <c r="H30" s="162">
        <v>4</v>
      </c>
      <c r="I30" s="162">
        <v>5</v>
      </c>
      <c r="J30" s="162">
        <v>6</v>
      </c>
      <c r="K30" s="162">
        <v>7</v>
      </c>
      <c r="L30" s="162">
        <v>8</v>
      </c>
      <c r="M30" s="162">
        <v>9</v>
      </c>
      <c r="N30" s="162">
        <v>10</v>
      </c>
      <c r="O30" s="162">
        <v>11</v>
      </c>
      <c r="P30" s="162">
        <v>12</v>
      </c>
      <c r="Q30" s="162">
        <v>13</v>
      </c>
    </row>
    <row r="31" spans="3:17" x14ac:dyDescent="0.2">
      <c r="C31" s="162" t="s">
        <v>4243</v>
      </c>
      <c r="F31" s="162" t="s">
        <v>175</v>
      </c>
      <c r="G31" s="162" t="s">
        <v>144</v>
      </c>
      <c r="H31" s="162" t="s">
        <v>176</v>
      </c>
      <c r="I31" s="162" t="s">
        <v>145</v>
      </c>
      <c r="J31" s="162" t="s">
        <v>170</v>
      </c>
      <c r="K31" s="162" t="s">
        <v>171</v>
      </c>
      <c r="L31" s="162" t="s">
        <v>172</v>
      </c>
      <c r="M31" s="162" t="s">
        <v>177</v>
      </c>
      <c r="N31" s="162" t="s">
        <v>173</v>
      </c>
      <c r="O31" s="162" t="s">
        <v>723</v>
      </c>
      <c r="P31" s="162" t="s">
        <v>724</v>
      </c>
      <c r="Q31" s="162" t="s">
        <v>449</v>
      </c>
    </row>
    <row r="32" spans="3:17" x14ac:dyDescent="0.2">
      <c r="D32" s="162" t="s">
        <v>4209</v>
      </c>
      <c r="F32" s="162" t="str">
        <f t="shared" ref="F32:Q32" si="4">VLOOKUP(F$2,Tbl_Glob_Conversie,3,FALSE)</f>
        <v>kcal</v>
      </c>
      <c r="G32" s="162" t="str">
        <f t="shared" si="4"/>
        <v>gram</v>
      </c>
      <c r="H32" s="162" t="str">
        <f t="shared" si="4"/>
        <v>gram</v>
      </c>
      <c r="I32" s="162" t="str">
        <f t="shared" si="4"/>
        <v>gram</v>
      </c>
      <c r="J32" s="162" t="str">
        <f t="shared" si="4"/>
        <v>mmol</v>
      </c>
      <c r="K32" s="162" t="str">
        <f t="shared" si="4"/>
        <v>mmol</v>
      </c>
      <c r="L32" s="162" t="str">
        <f t="shared" si="4"/>
        <v>mmol</v>
      </c>
      <c r="M32" s="162" t="str">
        <f t="shared" si="4"/>
        <v>mmol</v>
      </c>
      <c r="N32" s="162" t="str">
        <f t="shared" si="4"/>
        <v>mmol</v>
      </c>
      <c r="O32" s="162" t="str">
        <f t="shared" si="4"/>
        <v>mmol</v>
      </c>
      <c r="P32" s="162" t="str">
        <f t="shared" si="4"/>
        <v>IE</v>
      </c>
      <c r="Q32" s="162" t="str">
        <f t="shared" si="4"/>
        <v>mmol</v>
      </c>
    </row>
    <row r="34" spans="4:17" x14ac:dyDescent="0.2">
      <c r="D34" s="162" t="str">
        <f t="shared" ref="D34:D54" si="5">IF(C34&lt;&gt;"",C34&amp;": "&amp;E34,E34)</f>
        <v>Nutrilon Nenatal BMF</v>
      </c>
      <c r="E34" s="162" t="s">
        <v>455</v>
      </c>
      <c r="F34" s="162">
        <f t="shared" ref="F34:Q43" si="6">VLOOKUP($E34,Tbl_Glob_BerPoeder,F$1,FALSE)</f>
        <v>3.47</v>
      </c>
      <c r="G34" s="162">
        <f t="shared" si="6"/>
        <v>0.252</v>
      </c>
      <c r="H34" s="162">
        <f t="shared" si="6"/>
        <v>0.622</v>
      </c>
      <c r="I34" s="162">
        <f t="shared" si="6"/>
        <v>0</v>
      </c>
      <c r="J34" s="162">
        <f t="shared" si="6"/>
        <v>0.34912834000000004</v>
      </c>
      <c r="K34" s="162">
        <f t="shared" si="6"/>
        <v>0.13538448</v>
      </c>
      <c r="L34" s="162">
        <f t="shared" si="6"/>
        <v>0.37125899999999995</v>
      </c>
      <c r="M34" s="162">
        <f t="shared" si="6"/>
        <v>0.28156007999999999</v>
      </c>
      <c r="N34" s="162">
        <f t="shared" si="6"/>
        <v>4.7312149999999997E-2</v>
      </c>
      <c r="O34" s="162">
        <f t="shared" si="6"/>
        <v>0</v>
      </c>
      <c r="P34" s="162">
        <f t="shared" si="6"/>
        <v>46</v>
      </c>
      <c r="Q34" s="162">
        <f t="shared" si="6"/>
        <v>0.16162037999999998</v>
      </c>
    </row>
    <row r="35" spans="4:17" x14ac:dyDescent="0.2">
      <c r="D35" s="162" t="str">
        <f t="shared" si="5"/>
        <v>Hero Baby 1 NS Standaard</v>
      </c>
      <c r="E35" s="262" t="s">
        <v>733</v>
      </c>
      <c r="F35" s="162">
        <f t="shared" si="6"/>
        <v>5.09</v>
      </c>
      <c r="G35" s="162">
        <f t="shared" si="6"/>
        <v>0.1</v>
      </c>
      <c r="H35" s="162">
        <f t="shared" si="6"/>
        <v>0.56000000000000005</v>
      </c>
      <c r="I35" s="162">
        <f t="shared" si="6"/>
        <v>0.27</v>
      </c>
      <c r="J35" s="162">
        <f t="shared" si="6"/>
        <v>5.2173600000000001E-2</v>
      </c>
      <c r="K35" s="162">
        <f t="shared" si="6"/>
        <v>0.11846142</v>
      </c>
      <c r="L35" s="162">
        <f t="shared" si="6"/>
        <v>8.4162000000000001E-2</v>
      </c>
      <c r="M35" s="162">
        <f t="shared" si="6"/>
        <v>6.4577999999999997E-2</v>
      </c>
      <c r="N35" s="162">
        <f t="shared" si="6"/>
        <v>1.2671428E-2</v>
      </c>
      <c r="O35" s="162">
        <f t="shared" si="6"/>
        <v>5.5489999999999999E-4</v>
      </c>
      <c r="P35" s="162">
        <f t="shared" si="6"/>
        <v>3.68</v>
      </c>
      <c r="Q35" s="162">
        <f t="shared" si="6"/>
        <v>8.6874480000000004E-2</v>
      </c>
    </row>
    <row r="36" spans="4:17" x14ac:dyDescent="0.2">
      <c r="D36" s="162" t="str">
        <f t="shared" si="5"/>
        <v>Hero Baby 2 NS Standaard</v>
      </c>
      <c r="E36" s="262" t="s">
        <v>734</v>
      </c>
      <c r="F36" s="162">
        <f t="shared" si="6"/>
        <v>4.7</v>
      </c>
      <c r="G36" s="162">
        <f t="shared" si="6"/>
        <v>9.5000000000000001E-2</v>
      </c>
      <c r="H36" s="162">
        <f t="shared" si="6"/>
        <v>0.64</v>
      </c>
      <c r="I36" s="162">
        <f t="shared" si="6"/>
        <v>0.19</v>
      </c>
      <c r="J36" s="162">
        <f t="shared" si="6"/>
        <v>6.956480000000001E-2</v>
      </c>
      <c r="K36" s="162">
        <f t="shared" si="6"/>
        <v>0.14205113999999999</v>
      </c>
      <c r="L36" s="162">
        <f t="shared" si="6"/>
        <v>0.100845</v>
      </c>
      <c r="M36" s="162">
        <f t="shared" si="6"/>
        <v>7.8462270000000001E-2</v>
      </c>
      <c r="N36" s="162">
        <f t="shared" si="6"/>
        <v>2.139332E-2</v>
      </c>
      <c r="O36" s="162">
        <f t="shared" si="6"/>
        <v>1.4678E-3</v>
      </c>
      <c r="P36" s="162">
        <f t="shared" si="6"/>
        <v>3.44</v>
      </c>
      <c r="Q36" s="162">
        <f t="shared" si="6"/>
        <v>8.3771819999999997E-2</v>
      </c>
    </row>
    <row r="37" spans="4:17" x14ac:dyDescent="0.2">
      <c r="D37" s="162" t="str">
        <f t="shared" si="5"/>
        <v>Hero Baby 1 NS Comfort</v>
      </c>
      <c r="E37" s="262" t="s">
        <v>735</v>
      </c>
      <c r="F37" s="162">
        <f t="shared" si="6"/>
        <v>5.03</v>
      </c>
      <c r="G37" s="162">
        <f t="shared" si="6"/>
        <v>0.11</v>
      </c>
      <c r="H37" s="162">
        <f t="shared" si="6"/>
        <v>0.52</v>
      </c>
      <c r="I37" s="162">
        <f t="shared" si="6"/>
        <v>0.27</v>
      </c>
      <c r="J37" s="162">
        <f t="shared" si="6"/>
        <v>5.2173600000000001E-2</v>
      </c>
      <c r="K37" s="162">
        <f t="shared" si="6"/>
        <v>0.11846142</v>
      </c>
      <c r="L37" s="162">
        <f t="shared" si="6"/>
        <v>8.4162000000000001E-2</v>
      </c>
      <c r="M37" s="162">
        <f t="shared" si="6"/>
        <v>6.4577999999999997E-2</v>
      </c>
      <c r="N37" s="162">
        <f t="shared" si="6"/>
        <v>1.2671428E-2</v>
      </c>
      <c r="O37" s="162">
        <f t="shared" si="6"/>
        <v>5.5489999999999999E-4</v>
      </c>
      <c r="P37" s="162">
        <f t="shared" si="6"/>
        <v>3.68</v>
      </c>
      <c r="Q37" s="162">
        <f t="shared" si="6"/>
        <v>8.6874480000000004E-2</v>
      </c>
    </row>
    <row r="38" spans="4:17" x14ac:dyDescent="0.2">
      <c r="D38" s="162" t="str">
        <f t="shared" si="5"/>
        <v>Hero Baby 2 NS Comfort</v>
      </c>
      <c r="E38" s="262" t="s">
        <v>736</v>
      </c>
      <c r="F38" s="162">
        <f t="shared" si="6"/>
        <v>5.03</v>
      </c>
      <c r="G38" s="162">
        <f t="shared" si="6"/>
        <v>0.11</v>
      </c>
      <c r="H38" s="162">
        <f t="shared" si="6"/>
        <v>0.52</v>
      </c>
      <c r="I38" s="162">
        <f t="shared" si="6"/>
        <v>0.27</v>
      </c>
      <c r="J38" s="162">
        <f t="shared" si="6"/>
        <v>5.2173600000000001E-2</v>
      </c>
      <c r="K38" s="162">
        <f t="shared" si="6"/>
        <v>0.11846142</v>
      </c>
      <c r="L38" s="162">
        <f t="shared" si="6"/>
        <v>8.4162000000000001E-2</v>
      </c>
      <c r="M38" s="162">
        <f t="shared" si="6"/>
        <v>6.4577999999999997E-2</v>
      </c>
      <c r="N38" s="162">
        <f t="shared" si="6"/>
        <v>1.2671428E-2</v>
      </c>
      <c r="O38" s="162">
        <f t="shared" si="6"/>
        <v>1.5215000000000001E-3</v>
      </c>
      <c r="P38" s="162">
        <f t="shared" si="6"/>
        <v>3.68</v>
      </c>
      <c r="Q38" s="162">
        <f t="shared" si="6"/>
        <v>8.6874480000000004E-2</v>
      </c>
    </row>
    <row r="39" spans="4:17" x14ac:dyDescent="0.2">
      <c r="D39" s="162" t="str">
        <f t="shared" si="5"/>
        <v>Hero Baby 1 NS Pep</v>
      </c>
      <c r="E39" s="262" t="s">
        <v>737</v>
      </c>
      <c r="F39" s="162">
        <f t="shared" si="6"/>
        <v>4.93</v>
      </c>
      <c r="G39" s="162">
        <f t="shared" si="6"/>
        <v>0.13</v>
      </c>
      <c r="H39" s="162">
        <f t="shared" si="6"/>
        <v>0.53</v>
      </c>
      <c r="I39" s="162">
        <f t="shared" si="6"/>
        <v>0.26</v>
      </c>
      <c r="J39" s="162">
        <f t="shared" si="6"/>
        <v>8.8695120000000002E-2</v>
      </c>
      <c r="K39" s="162">
        <f t="shared" si="6"/>
        <v>0.1410255</v>
      </c>
      <c r="L39" s="162">
        <f t="shared" si="6"/>
        <v>9.9599999999999994E-2</v>
      </c>
      <c r="M39" s="162">
        <f t="shared" si="6"/>
        <v>7.4264699999999989E-2</v>
      </c>
      <c r="N39" s="162">
        <f t="shared" si="6"/>
        <v>2.0570499999999999E-2</v>
      </c>
      <c r="O39" s="162">
        <f t="shared" si="6"/>
        <v>6.265E-4</v>
      </c>
      <c r="P39" s="162">
        <f t="shared" si="6"/>
        <v>3.12</v>
      </c>
      <c r="Q39" s="162">
        <f t="shared" si="6"/>
        <v>8.8848899999999981E-2</v>
      </c>
    </row>
    <row r="40" spans="4:17" x14ac:dyDescent="0.2">
      <c r="D40" s="162" t="str">
        <f t="shared" si="5"/>
        <v>Hero Baby 2 NS Pep</v>
      </c>
      <c r="E40" s="262" t="s">
        <v>738</v>
      </c>
      <c r="F40" s="162">
        <f t="shared" si="6"/>
        <v>4.93</v>
      </c>
      <c r="G40" s="162">
        <f t="shared" si="6"/>
        <v>0.13</v>
      </c>
      <c r="H40" s="162">
        <f t="shared" si="6"/>
        <v>0.53</v>
      </c>
      <c r="I40" s="162">
        <f t="shared" si="6"/>
        <v>0.26</v>
      </c>
      <c r="J40" s="162">
        <f t="shared" si="6"/>
        <v>8.8695120000000002E-2</v>
      </c>
      <c r="K40" s="162">
        <f t="shared" si="6"/>
        <v>0.1410255</v>
      </c>
      <c r="L40" s="162">
        <f t="shared" si="6"/>
        <v>9.9599999999999994E-2</v>
      </c>
      <c r="M40" s="162">
        <f t="shared" si="6"/>
        <v>7.4264699999999989E-2</v>
      </c>
      <c r="N40" s="162">
        <f t="shared" si="6"/>
        <v>2.0570499999999999E-2</v>
      </c>
      <c r="O40" s="162">
        <f t="shared" si="6"/>
        <v>1.2708999999999997E-3</v>
      </c>
      <c r="P40" s="162">
        <f t="shared" si="6"/>
        <v>3.12</v>
      </c>
      <c r="Q40" s="162">
        <f t="shared" si="6"/>
        <v>8.8848899999999981E-2</v>
      </c>
    </row>
    <row r="41" spans="4:17" x14ac:dyDescent="0.2">
      <c r="D41" s="162" t="str">
        <f t="shared" si="5"/>
        <v>Nutramigen 1 LGG pdr</v>
      </c>
      <c r="E41" s="262" t="s">
        <v>739</v>
      </c>
      <c r="F41" s="162">
        <f t="shared" si="6"/>
        <v>5</v>
      </c>
      <c r="G41" s="162">
        <f t="shared" si="6"/>
        <v>0.14000000000000001</v>
      </c>
      <c r="H41" s="162">
        <f t="shared" si="6"/>
        <v>0.55000000000000004</v>
      </c>
      <c r="I41" s="162">
        <f t="shared" si="6"/>
        <v>0.25</v>
      </c>
      <c r="J41" s="162">
        <f t="shared" si="6"/>
        <v>0.1043472</v>
      </c>
      <c r="K41" s="162">
        <f t="shared" si="6"/>
        <v>0.1564101</v>
      </c>
      <c r="L41" s="162">
        <f t="shared" si="6"/>
        <v>0.14068499999999998</v>
      </c>
      <c r="M41" s="162">
        <f t="shared" si="6"/>
        <v>0.12592709999999999</v>
      </c>
      <c r="N41" s="162">
        <f t="shared" si="6"/>
        <v>2.0570499999999999E-2</v>
      </c>
      <c r="O41" s="162">
        <f t="shared" si="6"/>
        <v>1.611E-3</v>
      </c>
      <c r="P41" s="162">
        <f t="shared" si="6"/>
        <v>3</v>
      </c>
      <c r="Q41" s="162">
        <f t="shared" si="6"/>
        <v>0.13538879999999998</v>
      </c>
    </row>
    <row r="42" spans="4:17" x14ac:dyDescent="0.2">
      <c r="D42" s="162" t="str">
        <f t="shared" si="5"/>
        <v>Nutramigen 2 LGG pdr</v>
      </c>
      <c r="E42" s="262" t="s">
        <v>32</v>
      </c>
      <c r="F42" s="162">
        <f t="shared" si="6"/>
        <v>4.66</v>
      </c>
      <c r="G42" s="162">
        <f t="shared" si="6"/>
        <v>0.11599999999999999</v>
      </c>
      <c r="H42" s="162">
        <f t="shared" si="6"/>
        <v>0.59</v>
      </c>
      <c r="I42" s="162">
        <f t="shared" si="6"/>
        <v>0.2</v>
      </c>
      <c r="J42" s="162">
        <f t="shared" si="6"/>
        <v>7.478216E-2</v>
      </c>
      <c r="K42" s="162">
        <f t="shared" si="6"/>
        <v>0.14564088</v>
      </c>
      <c r="L42" s="162">
        <f t="shared" si="6"/>
        <v>0.15886199999999998</v>
      </c>
      <c r="M42" s="162">
        <f t="shared" si="6"/>
        <v>0.10849103999999998</v>
      </c>
      <c r="N42" s="162">
        <f t="shared" si="6"/>
        <v>1.9336269999999999E-2</v>
      </c>
      <c r="O42" s="162">
        <f t="shared" si="6"/>
        <v>1.4678E-3</v>
      </c>
      <c r="P42" s="162">
        <f t="shared" si="6"/>
        <v>2.92</v>
      </c>
      <c r="Q42" s="162">
        <f t="shared" si="6"/>
        <v>0.10520837999999999</v>
      </c>
    </row>
    <row r="43" spans="4:17" x14ac:dyDescent="0.2">
      <c r="D43" s="162" t="str">
        <f t="shared" si="5"/>
        <v>Nutrison Advanced Peptisorb Powder</v>
      </c>
      <c r="E43" s="262" t="s">
        <v>740</v>
      </c>
      <c r="F43" s="162">
        <f t="shared" si="6"/>
        <v>4.0199999999999996</v>
      </c>
      <c r="G43" s="162">
        <f t="shared" si="6"/>
        <v>0.14699999999999999</v>
      </c>
      <c r="H43" s="162">
        <f t="shared" si="6"/>
        <v>0.71</v>
      </c>
      <c r="I43" s="162">
        <f t="shared" si="6"/>
        <v>6.7000000000000004E-2</v>
      </c>
      <c r="J43" s="162">
        <f t="shared" si="6"/>
        <v>0.17478156000000003</v>
      </c>
      <c r="K43" s="162">
        <f t="shared" si="6"/>
        <v>0.15461522999999999</v>
      </c>
      <c r="L43" s="162">
        <f t="shared" si="6"/>
        <v>8.0177999999999999E-2</v>
      </c>
      <c r="M43" s="162">
        <f t="shared" si="6"/>
        <v>8.6211629999999997E-2</v>
      </c>
      <c r="N43" s="162">
        <f t="shared" si="6"/>
        <v>3.4558439999999996E-2</v>
      </c>
      <c r="O43" s="162">
        <f t="shared" si="6"/>
        <v>1.1455999999999999E-3</v>
      </c>
      <c r="P43" s="162">
        <f t="shared" si="6"/>
        <v>1.1200000000000001</v>
      </c>
      <c r="Q43" s="162">
        <f t="shared" si="6"/>
        <v>0.14187617999999999</v>
      </c>
    </row>
    <row r="44" spans="4:17" x14ac:dyDescent="0.2">
      <c r="D44" s="162" t="str">
        <f t="shared" si="5"/>
        <v>Nutrilon Pepti Junior pdr</v>
      </c>
      <c r="E44" s="262" t="s">
        <v>741</v>
      </c>
      <c r="F44" s="162">
        <f t="shared" ref="F44:Q56" si="7">VLOOKUP($E44,Tbl_Glob_BerPoeder,F$1,FALSE)</f>
        <v>5.15</v>
      </c>
      <c r="G44" s="162">
        <f t="shared" si="7"/>
        <v>0.14000000000000001</v>
      </c>
      <c r="H44" s="162">
        <f t="shared" si="7"/>
        <v>0.53400000000000003</v>
      </c>
      <c r="I44" s="162">
        <f t="shared" si="7"/>
        <v>0.27300000000000002</v>
      </c>
      <c r="J44" s="162">
        <f t="shared" si="7"/>
        <v>6.0869199999999998E-2</v>
      </c>
      <c r="K44" s="162">
        <f t="shared" si="7"/>
        <v>0.12999987000000002</v>
      </c>
      <c r="L44" s="162">
        <f t="shared" si="7"/>
        <v>9.7110000000000002E-2</v>
      </c>
      <c r="M44" s="162">
        <f t="shared" si="7"/>
        <v>7.0390019999999998E-2</v>
      </c>
      <c r="N44" s="162">
        <f t="shared" si="7"/>
        <v>1.6456399999999996E-2</v>
      </c>
      <c r="O44" s="162">
        <f t="shared" si="7"/>
        <v>1.0739999999999999E-3</v>
      </c>
      <c r="P44" s="162">
        <f t="shared" si="7"/>
        <v>3.92</v>
      </c>
      <c r="Q44" s="162">
        <f t="shared" si="7"/>
        <v>8.7438599999999991E-2</v>
      </c>
    </row>
    <row r="45" spans="4:17" x14ac:dyDescent="0.2">
      <c r="D45" s="162" t="str">
        <f t="shared" si="5"/>
        <v>Nutrilon Nenatal Start pdr</v>
      </c>
      <c r="E45" s="262" t="s">
        <v>742</v>
      </c>
      <c r="F45" s="162">
        <f t="shared" si="7"/>
        <v>4.74</v>
      </c>
      <c r="G45" s="162">
        <f t="shared" si="7"/>
        <v>0.156</v>
      </c>
      <c r="H45" s="162">
        <f t="shared" si="7"/>
        <v>0.22899999999999998</v>
      </c>
      <c r="I45" s="162">
        <f t="shared" si="7"/>
        <v>0.498</v>
      </c>
      <c r="J45" s="162">
        <f t="shared" si="7"/>
        <v>0.1804337</v>
      </c>
      <c r="K45" s="162">
        <f t="shared" si="7"/>
        <v>0.12153833999999999</v>
      </c>
      <c r="L45" s="162">
        <f t="shared" si="7"/>
        <v>0.14765699999999998</v>
      </c>
      <c r="M45" s="162">
        <f t="shared" si="7"/>
        <v>0.10719947999999999</v>
      </c>
      <c r="N45" s="162">
        <f t="shared" si="7"/>
        <v>1.9336269999999999E-2</v>
      </c>
      <c r="O45" s="162">
        <f t="shared" si="7"/>
        <v>1.7004999999999998E-3</v>
      </c>
      <c r="P45" s="162">
        <f t="shared" si="7"/>
        <v>7.2</v>
      </c>
      <c r="Q45" s="162">
        <f t="shared" si="7"/>
        <v>0.14215823999999999</v>
      </c>
    </row>
    <row r="46" spans="4:17" x14ac:dyDescent="0.2">
      <c r="D46" s="162" t="str">
        <f t="shared" si="5"/>
        <v>Nutrilon Nenatal 1</v>
      </c>
      <c r="E46" s="262" t="s">
        <v>729</v>
      </c>
      <c r="F46" s="162">
        <f t="shared" si="7"/>
        <v>4.91</v>
      </c>
      <c r="G46" s="162">
        <f t="shared" si="7"/>
        <v>0.13400000000000001</v>
      </c>
      <c r="H46" s="162">
        <f t="shared" si="7"/>
        <v>0.49099999999999999</v>
      </c>
      <c r="I46" s="162">
        <f t="shared" si="7"/>
        <v>0.26</v>
      </c>
      <c r="J46" s="162">
        <f t="shared" si="7"/>
        <v>7.9564740000000009E-2</v>
      </c>
      <c r="K46" s="162">
        <f t="shared" si="7"/>
        <v>0.12923064000000001</v>
      </c>
      <c r="L46" s="162">
        <f t="shared" si="7"/>
        <v>0.141681</v>
      </c>
      <c r="M46" s="162">
        <f t="shared" si="7"/>
        <v>9.9450120000000003E-2</v>
      </c>
      <c r="N46" s="162">
        <f t="shared" si="7"/>
        <v>1.8924859999999998E-2</v>
      </c>
      <c r="O46" s="162">
        <f t="shared" si="7"/>
        <v>1.4141000000000002E-3</v>
      </c>
      <c r="P46" s="162">
        <f t="shared" si="7"/>
        <v>4.4000000000000004</v>
      </c>
      <c r="Q46" s="162">
        <f t="shared" si="7"/>
        <v>0.1015416</v>
      </c>
    </row>
    <row r="47" spans="4:17" x14ac:dyDescent="0.2">
      <c r="D47" s="162" t="str">
        <f t="shared" si="5"/>
        <v>Nutrilon Nenatal Protein Fortifier</v>
      </c>
      <c r="E47" s="362" t="s">
        <v>743</v>
      </c>
      <c r="F47" s="162">
        <f t="shared" si="7"/>
        <v>3.38</v>
      </c>
      <c r="G47" s="162">
        <f t="shared" si="7"/>
        <v>0.82099999999999995</v>
      </c>
      <c r="H47" s="162">
        <f t="shared" si="7"/>
        <v>2.2000000000000002E-2</v>
      </c>
      <c r="I47" s="162">
        <f t="shared" si="7"/>
        <v>1E-3</v>
      </c>
      <c r="J47" s="162">
        <f t="shared" si="7"/>
        <v>0.33738928000000001</v>
      </c>
      <c r="K47" s="162">
        <f t="shared" si="7"/>
        <v>0.31435866000000001</v>
      </c>
      <c r="L47" s="162">
        <f t="shared" si="7"/>
        <v>0.13047599999999998</v>
      </c>
      <c r="M47" s="162">
        <f t="shared" si="7"/>
        <v>0.16661123999999997</v>
      </c>
      <c r="N47" s="162">
        <f t="shared" si="7"/>
        <v>1.8924859999999998E-2</v>
      </c>
      <c r="O47" s="162">
        <f t="shared" si="7"/>
        <v>0</v>
      </c>
      <c r="P47" s="162">
        <f t="shared" si="7"/>
        <v>0</v>
      </c>
      <c r="Q47" s="162">
        <f t="shared" si="7"/>
        <v>1.8615959999999997E-2</v>
      </c>
    </row>
    <row r="48" spans="4:17" x14ac:dyDescent="0.2">
      <c r="D48" s="162" t="str">
        <f t="shared" si="5"/>
        <v>Calogen neutraal</v>
      </c>
      <c r="E48" s="362" t="s">
        <v>744</v>
      </c>
      <c r="F48" s="162">
        <f t="shared" si="7"/>
        <v>4.5</v>
      </c>
      <c r="G48" s="162">
        <f t="shared" si="7"/>
        <v>0</v>
      </c>
      <c r="H48" s="162">
        <f t="shared" si="7"/>
        <v>0</v>
      </c>
      <c r="I48" s="162">
        <f t="shared" si="7"/>
        <v>0.5</v>
      </c>
      <c r="J48" s="162">
        <f t="shared" si="7"/>
        <v>3.04346E-3</v>
      </c>
      <c r="K48" s="162">
        <f t="shared" si="7"/>
        <v>0</v>
      </c>
      <c r="L48" s="162">
        <f t="shared" si="7"/>
        <v>0</v>
      </c>
      <c r="M48" s="162">
        <f t="shared" si="7"/>
        <v>0</v>
      </c>
      <c r="N48" s="162">
        <f t="shared" si="7"/>
        <v>0</v>
      </c>
      <c r="O48" s="162">
        <f t="shared" si="7"/>
        <v>0</v>
      </c>
      <c r="P48" s="162">
        <f t="shared" si="7"/>
        <v>0</v>
      </c>
      <c r="Q48" s="162">
        <f t="shared" si="7"/>
        <v>2.8206000000000001E-5</v>
      </c>
    </row>
    <row r="49" spans="4:17" x14ac:dyDescent="0.2">
      <c r="D49" s="162" t="str">
        <f t="shared" si="5"/>
        <v>Liquigen</v>
      </c>
      <c r="E49" s="362" t="s">
        <v>745</v>
      </c>
      <c r="F49" s="162">
        <f t="shared" si="7"/>
        <v>4.5</v>
      </c>
      <c r="G49" s="162">
        <f t="shared" si="7"/>
        <v>0</v>
      </c>
      <c r="H49" s="162">
        <f t="shared" si="7"/>
        <v>0</v>
      </c>
      <c r="I49" s="162">
        <f t="shared" si="7"/>
        <v>0.5</v>
      </c>
      <c r="J49" s="162">
        <f t="shared" si="7"/>
        <v>2.1739000000000003E-3</v>
      </c>
      <c r="K49" s="162">
        <f t="shared" si="7"/>
        <v>2.5641000000000001E-5</v>
      </c>
      <c r="L49" s="162">
        <f t="shared" si="7"/>
        <v>7.4699999999999986E-5</v>
      </c>
      <c r="M49" s="162">
        <f t="shared" si="7"/>
        <v>0</v>
      </c>
      <c r="N49" s="162">
        <f t="shared" si="7"/>
        <v>0</v>
      </c>
      <c r="O49" s="162">
        <f t="shared" si="7"/>
        <v>0</v>
      </c>
      <c r="P49" s="162">
        <f t="shared" si="7"/>
        <v>0</v>
      </c>
      <c r="Q49" s="162">
        <f t="shared" si="7"/>
        <v>2.8205999999999997E-6</v>
      </c>
    </row>
    <row r="50" spans="4:17" x14ac:dyDescent="0.2">
      <c r="D50" s="162" t="str">
        <f t="shared" si="5"/>
        <v>Fantomalt</v>
      </c>
      <c r="E50" s="362" t="s">
        <v>410</v>
      </c>
      <c r="F50" s="162">
        <f t="shared" si="7"/>
        <v>3.84</v>
      </c>
      <c r="G50" s="162">
        <f t="shared" si="7"/>
        <v>0</v>
      </c>
      <c r="H50" s="162">
        <f t="shared" si="7"/>
        <v>0.96</v>
      </c>
      <c r="I50" s="162">
        <f t="shared" si="7"/>
        <v>0</v>
      </c>
      <c r="J50" s="162">
        <f t="shared" si="7"/>
        <v>8.6956000000000002E-4</v>
      </c>
      <c r="K50" s="162">
        <f t="shared" si="7"/>
        <v>0</v>
      </c>
      <c r="L50" s="162">
        <f t="shared" si="7"/>
        <v>0</v>
      </c>
      <c r="M50" s="162">
        <f t="shared" si="7"/>
        <v>0</v>
      </c>
      <c r="N50" s="162">
        <f t="shared" si="7"/>
        <v>0</v>
      </c>
      <c r="O50" s="162">
        <f t="shared" si="7"/>
        <v>0</v>
      </c>
      <c r="P50" s="162">
        <f t="shared" si="7"/>
        <v>0</v>
      </c>
      <c r="Q50" s="162">
        <f t="shared" si="7"/>
        <v>0</v>
      </c>
    </row>
    <row r="51" spans="4:17" x14ac:dyDescent="0.2">
      <c r="D51" s="162" t="str">
        <f t="shared" si="5"/>
        <v>Nutrilon Pepti 1 pdr</v>
      </c>
      <c r="E51" s="362" t="s">
        <v>746</v>
      </c>
      <c r="F51" s="162">
        <f t="shared" si="7"/>
        <v>4.93</v>
      </c>
      <c r="G51" s="162">
        <f t="shared" si="7"/>
        <v>0.11599999999999999</v>
      </c>
      <c r="H51" s="162">
        <f t="shared" si="7"/>
        <v>0.51800000000000002</v>
      </c>
      <c r="I51" s="162">
        <f t="shared" si="7"/>
        <v>0.25700000000000001</v>
      </c>
      <c r="J51" s="162">
        <f t="shared" si="7"/>
        <v>6.5216999999999997E-2</v>
      </c>
      <c r="K51" s="162">
        <f t="shared" si="7"/>
        <v>0.15333318000000001</v>
      </c>
      <c r="L51" s="162">
        <f t="shared" si="7"/>
        <v>8.6153999999999994E-2</v>
      </c>
      <c r="M51" s="162">
        <f t="shared" si="7"/>
        <v>6.1671990000000003E-2</v>
      </c>
      <c r="N51" s="162">
        <f t="shared" si="7"/>
        <v>1.6044989999999999E-2</v>
      </c>
      <c r="O51" s="162">
        <f t="shared" si="7"/>
        <v>6.981E-4</v>
      </c>
      <c r="P51" s="162">
        <f t="shared" si="7"/>
        <v>3.76</v>
      </c>
      <c r="Q51" s="162">
        <f t="shared" si="7"/>
        <v>8.1797399999999992E-2</v>
      </c>
    </row>
    <row r="52" spans="4:17" x14ac:dyDescent="0.2">
      <c r="D52" s="162" t="str">
        <f t="shared" si="5"/>
        <v>Nutrilon Hypoallergeen 1 pdr</v>
      </c>
      <c r="E52" s="362" t="s">
        <v>747</v>
      </c>
      <c r="F52" s="162">
        <f t="shared" si="7"/>
        <v>4.83</v>
      </c>
      <c r="G52" s="162">
        <f t="shared" si="7"/>
        <v>0.11</v>
      </c>
      <c r="H52" s="162">
        <f t="shared" si="7"/>
        <v>0.52500000000000002</v>
      </c>
      <c r="I52" s="162">
        <f t="shared" si="7"/>
        <v>0.24600000000000002</v>
      </c>
      <c r="J52" s="162">
        <f t="shared" si="7"/>
        <v>7.8695180000000003E-2</v>
      </c>
      <c r="K52" s="162">
        <f t="shared" si="7"/>
        <v>0.1358973</v>
      </c>
      <c r="L52" s="162">
        <f t="shared" si="7"/>
        <v>8.4410999999999986E-2</v>
      </c>
      <c r="M52" s="162">
        <f t="shared" si="7"/>
        <v>6.1349099999999997E-2</v>
      </c>
      <c r="N52" s="162">
        <f t="shared" si="7"/>
        <v>1.522217E-2</v>
      </c>
      <c r="O52" s="162">
        <f t="shared" si="7"/>
        <v>6.981E-4</v>
      </c>
      <c r="P52" s="162">
        <f t="shared" si="7"/>
        <v>3.52</v>
      </c>
      <c r="Q52" s="162">
        <f t="shared" si="7"/>
        <v>8.518212E-2</v>
      </c>
    </row>
    <row r="53" spans="4:17" x14ac:dyDescent="0.2">
      <c r="D53" s="162" t="str">
        <f t="shared" si="5"/>
        <v>Neocate LCP</v>
      </c>
      <c r="E53" s="362" t="s">
        <v>748</v>
      </c>
      <c r="F53" s="162">
        <f t="shared" si="7"/>
        <v>4.83</v>
      </c>
      <c r="G53" s="162">
        <f t="shared" si="7"/>
        <v>0.13</v>
      </c>
      <c r="H53" s="162">
        <f t="shared" si="7"/>
        <v>0.52500000000000002</v>
      </c>
      <c r="I53" s="162">
        <f t="shared" si="7"/>
        <v>0.245</v>
      </c>
      <c r="J53" s="162">
        <f t="shared" si="7"/>
        <v>8.2173419999999997E-2</v>
      </c>
      <c r="K53" s="162">
        <f t="shared" si="7"/>
        <v>0.13461524999999999</v>
      </c>
      <c r="L53" s="162">
        <f t="shared" si="7"/>
        <v>0.11827499999999999</v>
      </c>
      <c r="M53" s="162">
        <f t="shared" si="7"/>
        <v>0.11010548999999999</v>
      </c>
      <c r="N53" s="162">
        <f t="shared" si="7"/>
        <v>2.0981909999999999E-2</v>
      </c>
      <c r="O53" s="162">
        <f t="shared" si="7"/>
        <v>1.2977500000000001E-3</v>
      </c>
      <c r="P53" s="162">
        <f t="shared" si="7"/>
        <v>3.52</v>
      </c>
      <c r="Q53" s="162">
        <f t="shared" si="7"/>
        <v>0.10887516</v>
      </c>
    </row>
    <row r="54" spans="4:17" x14ac:dyDescent="0.2">
      <c r="D54" s="162" t="str">
        <f t="shared" si="5"/>
        <v>Neocate Junior</v>
      </c>
      <c r="E54" s="362" t="s">
        <v>749</v>
      </c>
      <c r="F54" s="162">
        <f t="shared" si="7"/>
        <v>4.75</v>
      </c>
      <c r="G54" s="162">
        <f t="shared" si="7"/>
        <v>0.13300000000000001</v>
      </c>
      <c r="H54" s="162">
        <f t="shared" si="7"/>
        <v>0.56000000000000005</v>
      </c>
      <c r="I54" s="162">
        <f t="shared" si="7"/>
        <v>0.22</v>
      </c>
      <c r="J54" s="162">
        <f t="shared" si="7"/>
        <v>0.1239123</v>
      </c>
      <c r="K54" s="162">
        <f t="shared" si="7"/>
        <v>0.13999986</v>
      </c>
      <c r="L54" s="162">
        <f t="shared" si="7"/>
        <v>0.106572</v>
      </c>
      <c r="M54" s="162">
        <f t="shared" si="7"/>
        <v>9.9773009999999995E-2</v>
      </c>
      <c r="N54" s="162">
        <f t="shared" si="7"/>
        <v>2.7358764999999997E-2</v>
      </c>
      <c r="O54" s="162">
        <f t="shared" si="7"/>
        <v>1.0203E-3</v>
      </c>
      <c r="P54" s="162">
        <f t="shared" si="7"/>
        <v>2.48</v>
      </c>
      <c r="Q54" s="162">
        <f t="shared" si="7"/>
        <v>0.12326022</v>
      </c>
    </row>
    <row r="55" spans="4:17" x14ac:dyDescent="0.2">
      <c r="D55" s="202" t="s">
        <v>800</v>
      </c>
      <c r="E55" s="202" t="s">
        <v>818</v>
      </c>
      <c r="F55" s="162">
        <f t="shared" si="7"/>
        <v>4.84</v>
      </c>
      <c r="G55" s="162">
        <f t="shared" si="7"/>
        <v>9.6999999999999989E-2</v>
      </c>
      <c r="H55" s="162">
        <f t="shared" si="7"/>
        <v>0.53799999999999992</v>
      </c>
      <c r="I55" s="162">
        <f t="shared" si="7"/>
        <v>0.247</v>
      </c>
      <c r="J55" s="162">
        <f t="shared" si="7"/>
        <v>5.43475E-2</v>
      </c>
      <c r="K55" s="162">
        <f t="shared" si="7"/>
        <v>0.12846141</v>
      </c>
      <c r="L55" s="162">
        <f t="shared" si="7"/>
        <v>0.10408199999999999</v>
      </c>
      <c r="M55" s="162">
        <f t="shared" si="7"/>
        <v>7.6524929999999991E-2</v>
      </c>
      <c r="N55" s="162">
        <f t="shared" si="7"/>
        <v>1.522217E-2</v>
      </c>
      <c r="O55" s="162">
        <f t="shared" si="7"/>
        <v>6.981E-4</v>
      </c>
      <c r="P55" s="162">
        <f t="shared" si="7"/>
        <v>3.48</v>
      </c>
      <c r="Q55" s="162">
        <f t="shared" si="7"/>
        <v>8.5746240000000001E-2</v>
      </c>
    </row>
    <row r="56" spans="4:17" x14ac:dyDescent="0.2">
      <c r="D56" s="202" t="s">
        <v>801</v>
      </c>
      <c r="E56" s="202" t="s">
        <v>801</v>
      </c>
      <c r="F56" s="162">
        <f t="shared" si="7"/>
        <v>3.18</v>
      </c>
      <c r="G56" s="162">
        <f t="shared" si="7"/>
        <v>0</v>
      </c>
      <c r="H56" s="162">
        <f t="shared" si="7"/>
        <v>0.66200000000000003</v>
      </c>
      <c r="I56" s="162">
        <f t="shared" si="7"/>
        <v>3.0000000000000001E-3</v>
      </c>
      <c r="J56" s="162">
        <f t="shared" si="7"/>
        <v>2.6086799999999999E-3</v>
      </c>
      <c r="K56" s="162">
        <f t="shared" si="7"/>
        <v>2.3333310000000003E-2</v>
      </c>
      <c r="L56" s="162">
        <f t="shared" si="7"/>
        <v>8.3415000000000003E-2</v>
      </c>
      <c r="M56" s="162">
        <f t="shared" si="7"/>
        <v>3.8746799999999997E-3</v>
      </c>
      <c r="N56" s="162">
        <f t="shared" si="7"/>
        <v>3.7438309999999995E-3</v>
      </c>
      <c r="O56" s="162">
        <f t="shared" si="7"/>
        <v>1.5751999999999999E-3</v>
      </c>
      <c r="P56" s="162">
        <f t="shared" si="7"/>
        <v>0</v>
      </c>
      <c r="Q56" s="162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outlinePr showOutlineSymbols="0"/>
    <pageSetUpPr autoPageBreaks="0"/>
  </sheetPr>
  <dimension ref="A1:CC44"/>
  <sheetViews>
    <sheetView showGridLines="0" showRowColHeaders="0" showZeros="0" showOutlineSymbols="0"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700" customWidth="1"/>
    <col min="2" max="9" width="10.7109375" style="700" customWidth="1"/>
    <col min="10" max="10" width="3.7109375" style="700" customWidth="1"/>
    <col min="11" max="12" width="10.7109375" style="700" customWidth="1"/>
    <col min="13" max="16384" width="9.140625" style="700"/>
  </cols>
  <sheetData>
    <row r="1" spans="1:81" s="425" customFormat="1" ht="17.25" customHeight="1" x14ac:dyDescent="0.2">
      <c r="A1" s="297"/>
      <c r="B1" s="697"/>
      <c r="C1" s="697"/>
      <c r="D1" s="697"/>
      <c r="E1" s="697"/>
      <c r="F1" s="697"/>
      <c r="G1" s="697"/>
      <c r="H1" s="697"/>
      <c r="I1" s="697"/>
      <c r="J1" s="697"/>
      <c r="K1" s="697"/>
      <c r="L1" s="697"/>
      <c r="M1" s="697"/>
      <c r="N1" s="697"/>
      <c r="O1" s="697"/>
      <c r="P1" s="697"/>
      <c r="Q1" s="697"/>
      <c r="R1" s="697"/>
      <c r="S1" s="697"/>
      <c r="T1" s="298"/>
      <c r="U1" s="298"/>
      <c r="V1" s="298"/>
      <c r="W1" s="298"/>
      <c r="X1" s="298"/>
    </row>
    <row r="2" spans="1:81" s="425" customFormat="1" ht="17.25" customHeight="1" x14ac:dyDescent="0.2">
      <c r="A2" s="298"/>
      <c r="B2" s="697"/>
      <c r="C2" s="569" t="s">
        <v>229</v>
      </c>
      <c r="D2" s="570" t="str">
        <f ca="1">Txt_Pat_AfspraakDat</f>
        <v>14-nov-2018</v>
      </c>
      <c r="E2" s="571"/>
      <c r="F2" s="569"/>
      <c r="G2" s="568"/>
      <c r="H2" s="573" t="s">
        <v>3460</v>
      </c>
      <c r="I2" s="569"/>
      <c r="J2" s="697" t="str">
        <f>Txt_Pat_OpnameDat</f>
        <v/>
      </c>
      <c r="K2" s="697"/>
      <c r="L2" s="697"/>
      <c r="M2" s="697" t="str">
        <f>Txt_Pat_Gewicht</f>
        <v>Gewicht:</v>
      </c>
      <c r="N2" s="697"/>
      <c r="O2" s="697" t="str">
        <f>Txt_Pat_Bed</f>
        <v/>
      </c>
      <c r="P2" s="697"/>
      <c r="Q2" s="697"/>
      <c r="R2" s="697"/>
      <c r="S2" s="697"/>
      <c r="T2" s="298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/>
      </c>
      <c r="E3" s="574"/>
      <c r="F3" s="569"/>
      <c r="G3" s="568"/>
      <c r="H3" s="573" t="s">
        <v>3461</v>
      </c>
      <c r="I3" s="697"/>
      <c r="J3" s="569" t="str">
        <f ca="1">Txt_Pat_GeboorteDat</f>
        <v/>
      </c>
      <c r="K3" s="697"/>
      <c r="L3" s="697"/>
      <c r="M3" s="697" t="str">
        <f>Txt_Pat_Lengte</f>
        <v>Lengte:</v>
      </c>
      <c r="N3" s="697"/>
      <c r="O3" s="697"/>
      <c r="P3" s="697"/>
      <c r="Q3" s="697"/>
      <c r="R3" s="697"/>
      <c r="S3" s="697"/>
      <c r="T3" s="298"/>
      <c r="U3" s="298"/>
      <c r="V3" s="298"/>
      <c r="W3" s="298"/>
      <c r="X3" s="298"/>
    </row>
    <row r="4" spans="1:81" s="425" customFormat="1" ht="17.25" customHeight="1" x14ac:dyDescent="0.2">
      <c r="A4" s="298"/>
      <c r="B4" s="697"/>
      <c r="C4" s="569" t="s">
        <v>3457</v>
      </c>
      <c r="D4" s="569" t="str">
        <f>Txt_Pat_PatNo</f>
        <v/>
      </c>
      <c r="E4" s="571"/>
      <c r="F4" s="569"/>
      <c r="G4" s="568"/>
      <c r="H4" s="577" t="s">
        <v>208</v>
      </c>
      <c r="I4" s="569"/>
      <c r="J4" s="569" t="str">
        <f ca="1">Txt_Pat_Leeftijd</f>
        <v/>
      </c>
      <c r="K4" s="697"/>
      <c r="L4" s="697"/>
      <c r="M4" s="697" t="str">
        <f>Txt_Pat_Oppervlak</f>
        <v>Lichamelijk oppervlak:</v>
      </c>
      <c r="N4" s="697"/>
      <c r="O4" s="697"/>
      <c r="P4" s="697"/>
      <c r="Q4" s="697"/>
      <c r="R4" s="697"/>
      <c r="S4" s="697"/>
      <c r="T4" s="298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s="425" customFormat="1" ht="8.1" customHeight="1" x14ac:dyDescent="0.2">
      <c r="A5" s="298"/>
      <c r="B5" s="697"/>
      <c r="C5" s="569"/>
      <c r="D5" s="569"/>
      <c r="E5" s="571"/>
      <c r="F5" s="569"/>
      <c r="G5" s="697"/>
      <c r="H5" s="577"/>
      <c r="I5" s="569"/>
      <c r="J5" s="569"/>
      <c r="K5" s="697"/>
      <c r="L5" s="697"/>
      <c r="M5" s="697"/>
      <c r="N5" s="697"/>
      <c r="O5" s="697"/>
      <c r="P5" s="697"/>
      <c r="Q5" s="697"/>
      <c r="R5" s="697"/>
      <c r="S5" s="697"/>
      <c r="T5" s="298"/>
      <c r="U5" s="298"/>
      <c r="V5" s="298"/>
      <c r="W5" s="298"/>
      <c r="X5" s="298"/>
      <c r="Y5" s="302"/>
      <c r="Z5" s="302"/>
      <c r="AA5" s="302"/>
      <c r="AB5" s="302"/>
      <c r="AC5" s="302"/>
      <c r="AD5" s="302"/>
      <c r="AE5" s="302"/>
      <c r="AF5" s="302"/>
      <c r="AG5" s="302"/>
      <c r="AH5" s="302"/>
      <c r="AI5" s="302"/>
      <c r="AJ5" s="302"/>
      <c r="AK5" s="302"/>
      <c r="AL5" s="302"/>
      <c r="AM5" s="302"/>
      <c r="AN5" s="302"/>
      <c r="AO5" s="302"/>
      <c r="AP5" s="302"/>
      <c r="AQ5" s="302"/>
      <c r="AR5" s="302"/>
      <c r="AS5" s="302"/>
      <c r="AT5" s="302"/>
      <c r="AU5" s="302"/>
      <c r="AV5" s="302"/>
      <c r="AW5" s="302"/>
      <c r="AX5" s="302"/>
      <c r="AY5" s="302"/>
      <c r="AZ5" s="302"/>
      <c r="BA5" s="302"/>
      <c r="BB5" s="302"/>
      <c r="BC5" s="302"/>
      <c r="BD5" s="302"/>
      <c r="BE5" s="302"/>
      <c r="BF5" s="302"/>
      <c r="BG5" s="302"/>
      <c r="BH5" s="302"/>
      <c r="BI5" s="302"/>
      <c r="BJ5" s="302"/>
      <c r="BK5" s="302"/>
      <c r="BL5" s="302"/>
      <c r="BM5" s="302"/>
      <c r="BN5" s="302"/>
      <c r="BO5" s="302"/>
      <c r="BP5" s="302"/>
      <c r="BQ5" s="302"/>
      <c r="BR5" s="302"/>
      <c r="BS5" s="302"/>
      <c r="BT5" s="302"/>
      <c r="BU5" s="302"/>
      <c r="BV5" s="302"/>
      <c r="BW5" s="302"/>
      <c r="BX5" s="302"/>
      <c r="BY5" s="302"/>
      <c r="BZ5" s="302"/>
      <c r="CA5" s="302"/>
      <c r="CB5" s="302"/>
      <c r="CC5" s="302"/>
    </row>
    <row r="7" spans="1:81" ht="20.100000000000001" customHeight="1" x14ac:dyDescent="0.2">
      <c r="A7" s="340"/>
      <c r="B7" s="622" t="s">
        <v>107</v>
      </c>
      <c r="C7" s="623"/>
      <c r="D7" s="623" t="s">
        <v>555</v>
      </c>
      <c r="E7" s="623"/>
      <c r="F7" s="623"/>
      <c r="G7" s="622"/>
      <c r="H7" s="624"/>
      <c r="I7" s="622"/>
      <c r="J7" s="622"/>
      <c r="K7" s="622"/>
      <c r="L7" s="622"/>
      <c r="M7" s="622"/>
      <c r="N7" s="622"/>
    </row>
    <row r="8" spans="1:81" x14ac:dyDescent="0.2">
      <c r="B8" s="471"/>
    </row>
    <row r="9" spans="1:81" ht="18.75" customHeight="1" x14ac:dyDescent="0.2">
      <c r="B9" s="604" t="s">
        <v>553</v>
      </c>
      <c r="C9" s="605" t="str">
        <f>PedBerLab!C3</f>
        <v/>
      </c>
      <c r="D9" s="604" t="s">
        <v>346</v>
      </c>
      <c r="E9" s="605" t="str">
        <f>PedBerLab!E3</f>
        <v/>
      </c>
      <c r="F9" s="604" t="s">
        <v>347</v>
      </c>
      <c r="G9" s="605" t="str">
        <f>PedBerLab!G3</f>
        <v/>
      </c>
      <c r="H9" s="604" t="s">
        <v>108</v>
      </c>
      <c r="I9" s="605" t="str">
        <f>PedBerLab!I3</f>
        <v/>
      </c>
      <c r="J9" s="604"/>
      <c r="K9" s="604" t="s">
        <v>18</v>
      </c>
      <c r="L9" s="605" t="str">
        <f>PedBerLab!L3</f>
        <v/>
      </c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41"/>
      <c r="K10" s="353"/>
      <c r="L10" s="353"/>
    </row>
    <row r="11" spans="1:81" ht="26.25" customHeight="1" x14ac:dyDescent="0.2">
      <c r="B11" s="353"/>
      <c r="C11" s="353"/>
      <c r="D11" s="353"/>
      <c r="E11" s="353"/>
      <c r="F11" s="353"/>
      <c r="G11" s="353"/>
      <c r="H11" s="353"/>
      <c r="I11" s="353"/>
      <c r="J11" s="341"/>
      <c r="K11" s="353"/>
      <c r="L11" s="353"/>
    </row>
    <row r="12" spans="1:81" ht="26.25" customHeight="1" x14ac:dyDescent="0.2">
      <c r="A12" s="340"/>
      <c r="B12" s="353"/>
      <c r="C12" s="353"/>
      <c r="D12" s="353"/>
      <c r="E12" s="353"/>
      <c r="F12" s="353"/>
      <c r="G12" s="353"/>
      <c r="H12" s="353"/>
      <c r="I12" s="353"/>
      <c r="J12" s="341"/>
      <c r="K12" s="353"/>
      <c r="L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41"/>
      <c r="K13" s="353"/>
      <c r="L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41"/>
      <c r="K14" s="353"/>
      <c r="L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41"/>
      <c r="K15" s="353"/>
      <c r="L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41"/>
      <c r="K16" s="353"/>
      <c r="L16" s="353"/>
    </row>
    <row r="17" spans="2:12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41"/>
      <c r="K17" s="353"/>
      <c r="L17" s="353"/>
    </row>
    <row r="18" spans="2:12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41"/>
      <c r="K18" s="353"/>
      <c r="L18" s="353"/>
    </row>
    <row r="19" spans="2:12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41"/>
      <c r="K19" s="353"/>
      <c r="L19" s="353"/>
    </row>
    <row r="20" spans="2:12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41"/>
      <c r="K20" s="353"/>
      <c r="L20" s="353"/>
    </row>
    <row r="21" spans="2:12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41"/>
      <c r="K21" s="353"/>
      <c r="L21" s="353"/>
    </row>
    <row r="22" spans="2:12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41"/>
      <c r="K22" s="353"/>
      <c r="L22" s="353"/>
    </row>
    <row r="23" spans="2:12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41"/>
      <c r="K23" s="353"/>
      <c r="L23" s="353"/>
    </row>
    <row r="24" spans="2:12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41"/>
      <c r="K24" s="353"/>
      <c r="L24" s="353"/>
    </row>
    <row r="25" spans="2:12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41"/>
      <c r="K25" s="353"/>
      <c r="L25" s="353"/>
    </row>
    <row r="26" spans="2:12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41"/>
      <c r="K26" s="353"/>
      <c r="L26" s="353"/>
    </row>
    <row r="27" spans="2:12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41"/>
      <c r="K27" s="353"/>
      <c r="L27" s="353"/>
    </row>
    <row r="28" spans="2:12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41"/>
      <c r="K28" s="353"/>
      <c r="L28" s="353"/>
    </row>
    <row r="29" spans="2:12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41"/>
      <c r="K29" s="353"/>
      <c r="L29" s="353"/>
    </row>
    <row r="30" spans="2:12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41"/>
      <c r="K30" s="353"/>
      <c r="L30" s="353"/>
    </row>
    <row r="31" spans="2:12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41"/>
      <c r="K31" s="353"/>
      <c r="L31" s="353"/>
    </row>
    <row r="32" spans="2:12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41"/>
      <c r="K32" s="353"/>
      <c r="L32" s="353"/>
    </row>
    <row r="33" spans="2:12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41"/>
      <c r="K33" s="353"/>
      <c r="L33" s="353"/>
    </row>
    <row r="34" spans="2:12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41"/>
      <c r="K34" s="353"/>
      <c r="L34" s="353"/>
    </row>
    <row r="35" spans="2:12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41"/>
      <c r="K35" s="353"/>
      <c r="L35" s="353"/>
    </row>
    <row r="36" spans="2:12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41"/>
      <c r="K36" s="353"/>
      <c r="L36" s="353"/>
    </row>
    <row r="37" spans="2:12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41"/>
      <c r="K37" s="353"/>
      <c r="L37" s="353"/>
    </row>
    <row r="38" spans="2:12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41"/>
      <c r="K38" s="353"/>
      <c r="L38" s="353"/>
    </row>
    <row r="39" spans="2:12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41"/>
      <c r="K39" s="353"/>
      <c r="L39" s="353"/>
    </row>
    <row r="40" spans="2:12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41"/>
      <c r="K40" s="353"/>
      <c r="L40" s="353"/>
    </row>
    <row r="41" spans="2:12" ht="26.25" customHeight="1" x14ac:dyDescent="0.2">
      <c r="B41" s="353"/>
      <c r="C41" s="353"/>
      <c r="D41" s="353"/>
      <c r="E41" s="353"/>
      <c r="F41" s="353"/>
      <c r="G41" s="353"/>
      <c r="H41" s="353"/>
      <c r="I41" s="353"/>
      <c r="J41" s="341"/>
      <c r="K41" s="353"/>
      <c r="L41" s="353"/>
    </row>
    <row r="42" spans="2:12" ht="15.95" customHeight="1" x14ac:dyDescent="0.2">
      <c r="B42" s="341"/>
      <c r="C42" s="473"/>
      <c r="D42" s="341"/>
      <c r="E42" s="341"/>
      <c r="F42" s="341"/>
      <c r="G42" s="341"/>
      <c r="H42" s="341"/>
      <c r="I42" s="341"/>
      <c r="J42" s="341"/>
      <c r="K42" s="341"/>
      <c r="L42" s="341"/>
    </row>
    <row r="43" spans="2:12" ht="20.100000000000001" customHeight="1" x14ac:dyDescent="0.2">
      <c r="B43" s="604" t="s">
        <v>219</v>
      </c>
      <c r="C43" s="604"/>
      <c r="D43" s="826" t="str">
        <f>IF(_Ped_Lab_Opm=0,"",_Ped_Lab_Opm)</f>
        <v/>
      </c>
      <c r="E43" s="827"/>
      <c r="F43" s="827"/>
      <c r="G43" s="827"/>
      <c r="H43" s="827"/>
      <c r="I43" s="827"/>
      <c r="J43" s="827"/>
      <c r="K43" s="827"/>
      <c r="L43" s="827"/>
    </row>
    <row r="44" spans="2:12" ht="20.100000000000001" customHeight="1" x14ac:dyDescent="0.2">
      <c r="B44" s="604"/>
      <c r="C44" s="604"/>
      <c r="D44" s="827"/>
      <c r="E44" s="827"/>
      <c r="F44" s="827"/>
      <c r="G44" s="827"/>
      <c r="H44" s="827"/>
      <c r="I44" s="827"/>
      <c r="J44" s="827"/>
      <c r="K44" s="827"/>
      <c r="L44" s="827"/>
    </row>
  </sheetData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7" sqref="B37"/>
    </sheetView>
  </sheetViews>
  <sheetFormatPr defaultColWidth="9.140625" defaultRowHeight="12.75" x14ac:dyDescent="0.2"/>
  <cols>
    <col min="1" max="1" width="10.7109375" style="54" customWidth="1"/>
    <col min="2" max="2" width="9.140625" style="54"/>
    <col min="3" max="3" width="18.28515625" style="54" customWidth="1"/>
    <col min="4" max="4" width="9.140625" style="54"/>
    <col min="5" max="5" width="18.28515625" style="54" customWidth="1"/>
    <col min="6" max="6" width="9.140625" style="54"/>
    <col min="7" max="7" width="18.28515625" style="54" customWidth="1"/>
    <col min="8" max="8" width="9.140625" style="54"/>
    <col min="9" max="9" width="18.28515625" style="54" customWidth="1"/>
    <col min="10" max="10" width="7.42578125" style="54" customWidth="1"/>
    <col min="11" max="11" width="17.7109375" style="54" customWidth="1"/>
    <col min="12" max="12" width="18.28515625" style="54" customWidth="1"/>
    <col min="13" max="16384" width="9.140625" style="54"/>
  </cols>
  <sheetData>
    <row r="1" spans="1:16" x14ac:dyDescent="0.2">
      <c r="A1" s="178"/>
    </row>
    <row r="3" spans="1:16" x14ac:dyDescent="0.2">
      <c r="A3" s="70" t="s">
        <v>552</v>
      </c>
      <c r="B3" s="54" t="s">
        <v>553</v>
      </c>
      <c r="C3" s="54" t="str">
        <f>IF(OR(C4:C35)," verw","")</f>
        <v/>
      </c>
      <c r="D3" s="70" t="s">
        <v>346</v>
      </c>
      <c r="E3" s="54" t="str">
        <f>IF(OR(E4:E35)," verw","")</f>
        <v/>
      </c>
      <c r="F3" s="70" t="s">
        <v>347</v>
      </c>
      <c r="G3" s="54" t="str">
        <f>IF(OR(G4:G35)," verw","")</f>
        <v/>
      </c>
      <c r="H3" s="70" t="s">
        <v>108</v>
      </c>
      <c r="I3" s="54" t="str">
        <f>IF(OR(I4:I35)," verw","")</f>
        <v/>
      </c>
      <c r="K3" s="70" t="s">
        <v>554</v>
      </c>
      <c r="L3" s="54" t="str">
        <f>IF(OR(L4:L35)," verw","")</f>
        <v/>
      </c>
      <c r="M3" s="70"/>
      <c r="O3" s="70"/>
    </row>
    <row r="4" spans="1:16" x14ac:dyDescent="0.2">
      <c r="B4" s="54" t="str">
        <f>IF(C4,"A","")</f>
        <v/>
      </c>
      <c r="C4" s="282" t="b">
        <v>0</v>
      </c>
      <c r="D4" s="54" t="str">
        <f>IF(E4,"A","")</f>
        <v/>
      </c>
      <c r="E4" s="282" t="b">
        <v>0</v>
      </c>
      <c r="F4" s="54" t="str">
        <f>IF(G4,"A","")</f>
        <v/>
      </c>
      <c r="G4" s="282" t="b">
        <v>0</v>
      </c>
      <c r="H4" s="54" t="str">
        <f>IF(I4,"A","")</f>
        <v/>
      </c>
      <c r="I4" s="282" t="b">
        <v>0</v>
      </c>
      <c r="K4" s="54" t="str">
        <f>IF(L4,"A","")</f>
        <v/>
      </c>
      <c r="L4" s="282" t="b">
        <v>0</v>
      </c>
      <c r="N4" s="178"/>
      <c r="P4" s="178"/>
    </row>
    <row r="5" spans="1:16" x14ac:dyDescent="0.2">
      <c r="B5" s="54" t="str">
        <f>IF(C5,"Na K","")</f>
        <v/>
      </c>
      <c r="C5" s="282" t="b">
        <v>0</v>
      </c>
      <c r="D5" s="54" t="str">
        <f>IF(E5,"Na K","")</f>
        <v/>
      </c>
      <c r="E5" s="282" t="b">
        <v>0</v>
      </c>
      <c r="F5" s="54" t="str">
        <f>IF(G5,"Na K","")</f>
        <v/>
      </c>
      <c r="G5" s="282" t="b">
        <v>0</v>
      </c>
      <c r="H5" s="54" t="str">
        <f>IF(I5,"Na K","")</f>
        <v/>
      </c>
      <c r="I5" s="282" t="b">
        <v>0</v>
      </c>
      <c r="K5" s="54" t="str">
        <f>IF(L5,"Na K","")</f>
        <v/>
      </c>
      <c r="L5" s="282" t="b">
        <v>0</v>
      </c>
      <c r="N5" s="178"/>
      <c r="P5" s="178"/>
    </row>
    <row r="6" spans="1:16" x14ac:dyDescent="0.2">
      <c r="A6" s="178"/>
      <c r="B6" s="54" t="str">
        <f>IF(C6,"Cl","")</f>
        <v/>
      </c>
      <c r="C6" s="282" t="b">
        <v>0</v>
      </c>
      <c r="D6" s="54" t="str">
        <f>IF(E6,"Cl","")</f>
        <v/>
      </c>
      <c r="E6" s="282" t="b">
        <v>0</v>
      </c>
      <c r="F6" s="54" t="str">
        <f>IF(G6,"Cl","")</f>
        <v/>
      </c>
      <c r="G6" s="282" t="b">
        <v>0</v>
      </c>
      <c r="H6" s="54" t="str">
        <f>IF(I6,"Cl","")</f>
        <v/>
      </c>
      <c r="I6" s="282" t="b">
        <v>0</v>
      </c>
      <c r="K6" s="54" t="str">
        <f>IF(L6,"Cl","")</f>
        <v/>
      </c>
      <c r="L6" s="282" t="b">
        <v>0</v>
      </c>
      <c r="N6" s="178"/>
      <c r="P6" s="178"/>
    </row>
    <row r="7" spans="1:16" x14ac:dyDescent="0.2">
      <c r="B7" s="54" t="str">
        <f>IF(C7,"Gluc","")</f>
        <v/>
      </c>
      <c r="C7" s="282" t="b">
        <v>0</v>
      </c>
      <c r="D7" s="54" t="str">
        <f>IF(E7,"Gluc","")</f>
        <v/>
      </c>
      <c r="E7" s="282" t="b">
        <v>0</v>
      </c>
      <c r="F7" s="54" t="str">
        <f>IF(G7,"Gluc","")</f>
        <v/>
      </c>
      <c r="G7" s="282" t="b">
        <v>0</v>
      </c>
      <c r="H7" s="54" t="str">
        <f>IF(I7,"Gluc","")</f>
        <v/>
      </c>
      <c r="I7" s="282" t="b">
        <v>0</v>
      </c>
      <c r="K7" s="54" t="str">
        <f>IF(L7,"Gluc","")</f>
        <v/>
      </c>
      <c r="L7" s="282" t="b">
        <v>0</v>
      </c>
      <c r="N7" s="178"/>
      <c r="P7" s="178"/>
    </row>
    <row r="8" spans="1:16" x14ac:dyDescent="0.2">
      <c r="B8" s="54" t="str">
        <f>IF(C8,"Hb Ht","")</f>
        <v/>
      </c>
      <c r="C8" s="282" t="b">
        <v>0</v>
      </c>
      <c r="D8" s="54" t="str">
        <f>IF(E8,"Hb Ht","")</f>
        <v/>
      </c>
      <c r="E8" s="282" t="b">
        <v>0</v>
      </c>
      <c r="F8" s="54" t="str">
        <f>IF(G8,"Hb Ht","")</f>
        <v/>
      </c>
      <c r="G8" s="282" t="b">
        <v>0</v>
      </c>
      <c r="H8" s="54" t="str">
        <f>IF(I8,"Hb Ht","")</f>
        <v/>
      </c>
      <c r="I8" s="282" t="b">
        <v>0</v>
      </c>
      <c r="K8" s="54" t="str">
        <f>IF(L8,"Hb Ht","")</f>
        <v/>
      </c>
      <c r="L8" s="282" t="b">
        <v>0</v>
      </c>
      <c r="N8" s="178"/>
      <c r="P8" s="178"/>
    </row>
    <row r="9" spans="1:16" x14ac:dyDescent="0.2">
      <c r="B9" s="54" t="str">
        <f>IF(C9,"L","")</f>
        <v/>
      </c>
      <c r="C9" s="282" t="b">
        <v>0</v>
      </c>
      <c r="D9" s="54" t="str">
        <f>IF(E9,"L","")</f>
        <v/>
      </c>
      <c r="E9" s="282" t="b">
        <v>0</v>
      </c>
      <c r="F9" s="54" t="str">
        <f>IF(G9,"L","")</f>
        <v/>
      </c>
      <c r="G9" s="282" t="b">
        <v>0</v>
      </c>
      <c r="H9" s="54" t="str">
        <f>IF(I9,"L","")</f>
        <v/>
      </c>
      <c r="I9" s="282" t="b">
        <v>0</v>
      </c>
      <c r="K9" s="54" t="str">
        <f>IF(L9,"L","")</f>
        <v/>
      </c>
      <c r="L9" s="282" t="b">
        <v>0</v>
      </c>
      <c r="N9" s="178"/>
      <c r="P9" s="178"/>
    </row>
    <row r="10" spans="1:16" x14ac:dyDescent="0.2">
      <c r="B10" s="54" t="str">
        <f>IF(C10,"T","")</f>
        <v/>
      </c>
      <c r="C10" s="282" t="b">
        <v>0</v>
      </c>
      <c r="D10" s="54" t="str">
        <f>IF(E10,"T","")</f>
        <v/>
      </c>
      <c r="E10" s="282" t="b">
        <v>0</v>
      </c>
      <c r="F10" s="54" t="str">
        <f>IF(G10,"T","")</f>
        <v/>
      </c>
      <c r="G10" s="282" t="b">
        <v>0</v>
      </c>
      <c r="H10" s="54" t="str">
        <f>IF(I10,"T","")</f>
        <v/>
      </c>
      <c r="I10" s="282" t="b">
        <v>0</v>
      </c>
      <c r="K10" s="54" t="str">
        <f>IF(L10,"T","")</f>
        <v/>
      </c>
      <c r="L10" s="282" t="b">
        <v>0</v>
      </c>
      <c r="N10" s="178"/>
      <c r="P10" s="178"/>
    </row>
    <row r="11" spans="1:16" x14ac:dyDescent="0.2">
      <c r="B11" s="54" t="str">
        <f>IF(C11,"CRP","")</f>
        <v/>
      </c>
      <c r="C11" s="282" t="b">
        <v>0</v>
      </c>
      <c r="D11" s="54" t="str">
        <f>IF(E11,"CRP","")</f>
        <v/>
      </c>
      <c r="E11" s="282" t="b">
        <v>0</v>
      </c>
      <c r="F11" s="54" t="str">
        <f>IF(G11,"CRP","")</f>
        <v/>
      </c>
      <c r="G11" s="282" t="b">
        <v>0</v>
      </c>
      <c r="H11" s="54" t="str">
        <f>IF(I11,"CRP","")</f>
        <v/>
      </c>
      <c r="I11" s="282" t="b">
        <v>0</v>
      </c>
      <c r="K11" s="54" t="str">
        <f>IF(L11,"CRP","")</f>
        <v/>
      </c>
      <c r="L11" s="282" t="b">
        <v>0</v>
      </c>
      <c r="N11" s="178"/>
      <c r="P11" s="178"/>
    </row>
    <row r="12" spans="1:16" x14ac:dyDescent="0.2">
      <c r="B12" s="54" t="str">
        <f>IF(C12,"Lac","")</f>
        <v/>
      </c>
      <c r="C12" s="282" t="b">
        <v>0</v>
      </c>
      <c r="D12" s="54" t="str">
        <f>IF(E12,"Lac","")</f>
        <v/>
      </c>
      <c r="E12" s="282" t="b">
        <v>0</v>
      </c>
      <c r="F12" s="54" t="str">
        <f>IF(G12,"Lac","")</f>
        <v/>
      </c>
      <c r="G12" s="282" t="b">
        <v>0</v>
      </c>
      <c r="H12" s="54" t="str">
        <f>IF(I12,"Lac","")</f>
        <v/>
      </c>
      <c r="I12" s="282" t="b">
        <v>0</v>
      </c>
      <c r="K12" s="54" t="str">
        <f>IF(L12,"Lac","")</f>
        <v/>
      </c>
      <c r="L12" s="282" t="b">
        <v>0</v>
      </c>
      <c r="N12" s="178"/>
      <c r="P12" s="178"/>
    </row>
    <row r="13" spans="1:16" x14ac:dyDescent="0.2">
      <c r="B13" s="54" t="str">
        <f>IF(C13,"Ur","")</f>
        <v/>
      </c>
      <c r="C13" s="282" t="b">
        <v>0</v>
      </c>
      <c r="D13" s="54" t="str">
        <f>IF(E13,"Ur","")</f>
        <v/>
      </c>
      <c r="E13" s="282" t="b">
        <v>0</v>
      </c>
      <c r="F13" s="54" t="str">
        <f>IF(G13,"Ur","")</f>
        <v/>
      </c>
      <c r="G13" s="282" t="b">
        <v>0</v>
      </c>
      <c r="H13" s="54" t="str">
        <f>IF(I13,"Ur","")</f>
        <v/>
      </c>
      <c r="I13" s="282" t="b">
        <v>0</v>
      </c>
      <c r="K13" s="54" t="str">
        <f>IF(L13,"Ur","")</f>
        <v/>
      </c>
      <c r="L13" s="282" t="b">
        <v>0</v>
      </c>
      <c r="N13" s="178"/>
      <c r="P13" s="178"/>
    </row>
    <row r="14" spans="1:16" x14ac:dyDescent="0.2">
      <c r="B14" s="54" t="str">
        <f>IF(C14,"Kr","")</f>
        <v/>
      </c>
      <c r="C14" s="282" t="b">
        <v>0</v>
      </c>
      <c r="D14" s="54" t="str">
        <f>IF(E14,"Kr","")</f>
        <v/>
      </c>
      <c r="E14" s="282" t="b">
        <v>0</v>
      </c>
      <c r="F14" s="54" t="str">
        <f>IF(G14,"Kr","")</f>
        <v/>
      </c>
      <c r="G14" s="282" t="b">
        <v>0</v>
      </c>
      <c r="H14" s="54" t="str">
        <f>IF(I14,"Kr","")</f>
        <v/>
      </c>
      <c r="I14" s="282" t="b">
        <v>0</v>
      </c>
      <c r="K14" s="54" t="str">
        <f>IF(L14,"Kr","")</f>
        <v/>
      </c>
      <c r="L14" s="282" t="b">
        <v>0</v>
      </c>
      <c r="N14" s="178"/>
      <c r="P14" s="178"/>
    </row>
    <row r="15" spans="1:16" x14ac:dyDescent="0.2">
      <c r="B15" s="54" t="str">
        <f>IF(C15,"Ca++","")</f>
        <v/>
      </c>
      <c r="C15" s="282" t="b">
        <v>0</v>
      </c>
      <c r="D15" s="54" t="str">
        <f>IF(E15,"Ca++","")</f>
        <v/>
      </c>
      <c r="E15" s="282" t="b">
        <v>0</v>
      </c>
      <c r="F15" s="54" t="str">
        <f>IF(G15,"Ca++","")</f>
        <v/>
      </c>
      <c r="G15" s="282" t="b">
        <v>0</v>
      </c>
      <c r="H15" s="54" t="str">
        <f>IF(I15,"Ca++","")</f>
        <v/>
      </c>
      <c r="I15" s="282" t="b">
        <v>0</v>
      </c>
      <c r="K15" s="54" t="str">
        <f>IF(L15,"Ca++","")</f>
        <v/>
      </c>
      <c r="L15" s="282" t="b">
        <v>0</v>
      </c>
      <c r="N15" s="178"/>
      <c r="P15" s="178"/>
    </row>
    <row r="16" spans="1:16" x14ac:dyDescent="0.2">
      <c r="B16" s="54" t="str">
        <f>IF(C16,"Mg++","")</f>
        <v/>
      </c>
      <c r="C16" s="282" t="b">
        <v>0</v>
      </c>
      <c r="D16" s="54" t="str">
        <f>IF(E16,"Mg++","")</f>
        <v/>
      </c>
      <c r="E16" s="282" t="b">
        <v>0</v>
      </c>
      <c r="F16" s="54" t="str">
        <f>IF(G16,"Mg++","")</f>
        <v/>
      </c>
      <c r="G16" s="282" t="b">
        <v>0</v>
      </c>
      <c r="H16" s="54" t="str">
        <f>IF(I16,"Mg++","")</f>
        <v/>
      </c>
      <c r="I16" s="282" t="b">
        <v>0</v>
      </c>
      <c r="K16" s="54" t="str">
        <f>IF(L16,"Mg++","")</f>
        <v/>
      </c>
      <c r="L16" s="282" t="b">
        <v>0</v>
      </c>
      <c r="N16" s="178"/>
      <c r="P16" s="178"/>
    </row>
    <row r="17" spans="2:16" x14ac:dyDescent="0.2">
      <c r="B17" s="54" t="str">
        <f>IF(C17,"Fosfaat","")</f>
        <v/>
      </c>
      <c r="C17" s="282" t="b">
        <v>0</v>
      </c>
      <c r="D17" s="54" t="str">
        <f>IF(E17,"Fosfaat","")</f>
        <v/>
      </c>
      <c r="E17" s="282" t="b">
        <v>0</v>
      </c>
      <c r="F17" s="54" t="str">
        <f>IF(G17,"Fosfaat","")</f>
        <v/>
      </c>
      <c r="G17" s="282" t="b">
        <v>0</v>
      </c>
      <c r="H17" s="54" t="str">
        <f>IF(I17,"Fosfaat","")</f>
        <v/>
      </c>
      <c r="I17" s="282" t="b">
        <v>0</v>
      </c>
      <c r="K17" s="54" t="str">
        <f>IF(L17,"Fosfaat","")</f>
        <v/>
      </c>
      <c r="L17" s="282" t="b">
        <v>0</v>
      </c>
      <c r="N17" s="178"/>
      <c r="P17" s="178"/>
    </row>
    <row r="18" spans="2:16" x14ac:dyDescent="0.2">
      <c r="B18" s="54" t="str">
        <f>IF(C18,"Alb","")</f>
        <v/>
      </c>
      <c r="C18" s="282" t="b">
        <v>0</v>
      </c>
      <c r="D18" s="54" t="str">
        <f>IF(E18,"Alb","")</f>
        <v/>
      </c>
      <c r="E18" s="282" t="b">
        <v>0</v>
      </c>
      <c r="F18" s="54" t="str">
        <f>IF(G18,"Alb","")</f>
        <v/>
      </c>
      <c r="G18" s="282" t="b">
        <v>0</v>
      </c>
      <c r="H18" s="54" t="str">
        <f>IF(I18,"Alb","")</f>
        <v/>
      </c>
      <c r="I18" s="282" t="b">
        <v>0</v>
      </c>
      <c r="K18" s="54" t="str">
        <f>IF(L18,"Alb","")</f>
        <v/>
      </c>
      <c r="L18" s="282" t="b">
        <v>0</v>
      </c>
      <c r="N18" s="178"/>
      <c r="P18" s="178"/>
    </row>
    <row r="19" spans="2:16" x14ac:dyDescent="0.2">
      <c r="B19" s="54" t="str">
        <f>IF(C19,"Ca","")</f>
        <v/>
      </c>
      <c r="C19" s="282" t="b">
        <v>0</v>
      </c>
      <c r="D19" s="54" t="str">
        <f>IF(E19,"Ca","")</f>
        <v/>
      </c>
      <c r="E19" s="282" t="b">
        <v>0</v>
      </c>
      <c r="F19" s="54" t="str">
        <f>IF(G19,"Ca","")</f>
        <v/>
      </c>
      <c r="G19" s="282" t="b">
        <v>0</v>
      </c>
      <c r="H19" s="54" t="str">
        <f>IF(I19,"Ca","")</f>
        <v/>
      </c>
      <c r="I19" s="282" t="b">
        <v>0</v>
      </c>
      <c r="K19" s="54" t="str">
        <f>IF(L19,"Ca","")</f>
        <v/>
      </c>
      <c r="L19" s="282" t="b">
        <v>0</v>
      </c>
      <c r="N19" s="178"/>
      <c r="P19" s="178"/>
    </row>
    <row r="20" spans="2:16" x14ac:dyDescent="0.2">
      <c r="B20" s="54" t="str">
        <f>IF(C20,"ASAT","")</f>
        <v/>
      </c>
      <c r="C20" s="282" t="b">
        <v>0</v>
      </c>
      <c r="D20" s="54" t="str">
        <f>IF(E20,"ASAT","")</f>
        <v/>
      </c>
      <c r="E20" s="282" t="b">
        <v>0</v>
      </c>
      <c r="F20" s="54" t="str">
        <f>IF(G20,"ASAT","")</f>
        <v/>
      </c>
      <c r="G20" s="282" t="b">
        <v>0</v>
      </c>
      <c r="H20" s="54" t="str">
        <f>IF(I20,"ASAT","")</f>
        <v/>
      </c>
      <c r="I20" s="282" t="b">
        <v>0</v>
      </c>
      <c r="K20" s="54" t="str">
        <f>IF(L20,"ASAT","")</f>
        <v/>
      </c>
      <c r="L20" s="282" t="b">
        <v>0</v>
      </c>
      <c r="N20" s="178"/>
      <c r="P20" s="178"/>
    </row>
    <row r="21" spans="2:16" x14ac:dyDescent="0.2">
      <c r="B21" s="54" t="str">
        <f>IF(C21,"ALAT","")</f>
        <v/>
      </c>
      <c r="C21" s="282" t="b">
        <v>0</v>
      </c>
      <c r="D21" s="54" t="str">
        <f>IF(E21,"ALAT","")</f>
        <v/>
      </c>
      <c r="E21" s="282" t="b">
        <v>0</v>
      </c>
      <c r="F21" s="54" t="str">
        <f>IF(G21,"ALAT","")</f>
        <v/>
      </c>
      <c r="G21" s="282" t="b">
        <v>0</v>
      </c>
      <c r="H21" s="54" t="str">
        <f>IF(I21,"ALAT","")</f>
        <v/>
      </c>
      <c r="I21" s="282" t="b">
        <v>0</v>
      </c>
      <c r="K21" s="54" t="str">
        <f>IF(L21,"Alat","")</f>
        <v/>
      </c>
      <c r="L21" s="282" t="b">
        <v>0</v>
      </c>
      <c r="N21" s="178"/>
      <c r="P21" s="178"/>
    </row>
    <row r="22" spans="2:16" x14ac:dyDescent="0.2">
      <c r="B22" s="54" t="str">
        <f>IF(C22,"GGT","")</f>
        <v/>
      </c>
      <c r="C22" s="282" t="b">
        <v>0</v>
      </c>
      <c r="D22" s="54" t="str">
        <f>IF(E22,"GGT","")</f>
        <v/>
      </c>
      <c r="E22" s="282" t="b">
        <v>0</v>
      </c>
      <c r="F22" s="54" t="str">
        <f>IF(G22,"GGT","")</f>
        <v/>
      </c>
      <c r="G22" s="282" t="b">
        <v>0</v>
      </c>
      <c r="H22" s="54" t="str">
        <f>IF(I22,"GGT","")</f>
        <v/>
      </c>
      <c r="I22" s="282" t="b">
        <v>0</v>
      </c>
      <c r="K22" s="54" t="str">
        <f>IF(L22,"GGT","")</f>
        <v/>
      </c>
      <c r="L22" s="282" t="b">
        <v>0</v>
      </c>
      <c r="N22" s="178"/>
      <c r="P22" s="178"/>
    </row>
    <row r="23" spans="2:16" x14ac:dyDescent="0.2">
      <c r="B23" s="54" t="str">
        <f>IF(C23,"AF","")</f>
        <v/>
      </c>
      <c r="C23" s="282" t="b">
        <v>0</v>
      </c>
      <c r="D23" s="54" t="str">
        <f>IF(E23,"AF","")</f>
        <v/>
      </c>
      <c r="E23" s="282" t="b">
        <v>0</v>
      </c>
      <c r="F23" s="54" t="str">
        <f>IF(G23,"AF","")</f>
        <v/>
      </c>
      <c r="G23" s="282" t="b">
        <v>0</v>
      </c>
      <c r="H23" s="54" t="str">
        <f>IF(I23,"AF","")</f>
        <v/>
      </c>
      <c r="I23" s="282" t="b">
        <v>0</v>
      </c>
      <c r="K23" s="54" t="str">
        <f>IF(L23,"AF","")</f>
        <v/>
      </c>
      <c r="L23" s="282" t="b">
        <v>0</v>
      </c>
      <c r="N23" s="178"/>
      <c r="P23" s="178"/>
    </row>
    <row r="24" spans="2:16" x14ac:dyDescent="0.2">
      <c r="B24" s="54" t="str">
        <f>IF(C24,"LDH","")</f>
        <v/>
      </c>
      <c r="C24" s="282" t="b">
        <v>0</v>
      </c>
      <c r="D24" s="54" t="str">
        <f>IF(E24,"LDH","")</f>
        <v/>
      </c>
      <c r="E24" s="282" t="b">
        <v>0</v>
      </c>
      <c r="F24" s="54" t="str">
        <f>IF(G24,"LDH","")</f>
        <v/>
      </c>
      <c r="G24" s="282" t="b">
        <v>0</v>
      </c>
      <c r="H24" s="54" t="str">
        <f>IF(I24,"LDH","")</f>
        <v/>
      </c>
      <c r="I24" s="282" t="b">
        <v>0</v>
      </c>
      <c r="K24" s="54" t="str">
        <f>IF(L24,"LDH","")</f>
        <v/>
      </c>
      <c r="L24" s="282" t="b">
        <v>0</v>
      </c>
      <c r="N24" s="178"/>
      <c r="P24" s="178"/>
    </row>
    <row r="25" spans="2:16" x14ac:dyDescent="0.2">
      <c r="B25" s="54" t="str">
        <f>IF(C25,"Bili","")</f>
        <v/>
      </c>
      <c r="C25" s="282" t="b">
        <v>0</v>
      </c>
      <c r="D25" s="54" t="str">
        <f>IF(E25,"Bili","")</f>
        <v/>
      </c>
      <c r="E25" s="282" t="b">
        <v>0</v>
      </c>
      <c r="F25" s="54" t="str">
        <f>IF(G25,"Bili","")</f>
        <v/>
      </c>
      <c r="G25" s="282" t="b">
        <v>0</v>
      </c>
      <c r="H25" s="54" t="str">
        <f>IF(I25,"Bili","")</f>
        <v/>
      </c>
      <c r="I25" s="282" t="b">
        <v>0</v>
      </c>
      <c r="K25" s="54" t="str">
        <f>IF(L25,"Blil","")</f>
        <v/>
      </c>
      <c r="L25" s="282" t="b">
        <v>0</v>
      </c>
      <c r="N25" s="178"/>
      <c r="P25" s="178"/>
    </row>
    <row r="26" spans="2:16" x14ac:dyDescent="0.2">
      <c r="B26" s="54" t="str">
        <f>IF(C26,"CK","")</f>
        <v/>
      </c>
      <c r="C26" s="282" t="b">
        <v>0</v>
      </c>
      <c r="D26" s="54" t="str">
        <f>IF(E26,"CK","")</f>
        <v/>
      </c>
      <c r="E26" s="282" t="b">
        <v>0</v>
      </c>
      <c r="F26" s="54" t="str">
        <f>IF(G26,"CK","")</f>
        <v/>
      </c>
      <c r="G26" s="282" t="b">
        <v>0</v>
      </c>
      <c r="H26" s="54" t="str">
        <f>IF(I26,"CK","")</f>
        <v/>
      </c>
      <c r="I26" s="282" t="b">
        <v>0</v>
      </c>
      <c r="K26" s="54" t="str">
        <f>IF(L26,"CK","")</f>
        <v/>
      </c>
      <c r="L26" s="282" t="b">
        <v>0</v>
      </c>
      <c r="N26" s="178"/>
      <c r="P26" s="178"/>
    </row>
    <row r="27" spans="2:16" x14ac:dyDescent="0.2">
      <c r="B27" s="54" t="str">
        <f>IF(C27,"TG","")</f>
        <v/>
      </c>
      <c r="C27" s="282" t="b">
        <v>0</v>
      </c>
      <c r="D27" s="54" t="str">
        <f>IF(E27,"TG","")</f>
        <v/>
      </c>
      <c r="E27" s="282" t="b">
        <v>0</v>
      </c>
      <c r="F27" s="54" t="str">
        <f>IF(G27,"TG","")</f>
        <v/>
      </c>
      <c r="G27" s="282" t="b">
        <v>0</v>
      </c>
      <c r="H27" s="54" t="str">
        <f>IF(I27,"TG","")</f>
        <v/>
      </c>
      <c r="I27" s="282" t="b">
        <v>0</v>
      </c>
      <c r="K27" s="54" t="str">
        <f>IF(L27,"TG","")</f>
        <v/>
      </c>
      <c r="L27" s="282" t="b">
        <v>0</v>
      </c>
      <c r="N27" s="178"/>
      <c r="P27" s="178"/>
    </row>
    <row r="28" spans="2:16" x14ac:dyDescent="0.2">
      <c r="B28" s="54" t="str">
        <f>IF(C28,"BG","")</f>
        <v/>
      </c>
      <c r="C28" s="282" t="b">
        <v>0</v>
      </c>
      <c r="D28" s="54" t="str">
        <f>IF(E28,"BG","")</f>
        <v/>
      </c>
      <c r="E28" s="282" t="b">
        <v>0</v>
      </c>
      <c r="F28" s="54" t="str">
        <f>IF(G28,"BG","")</f>
        <v/>
      </c>
      <c r="G28" s="282" t="b">
        <v>0</v>
      </c>
      <c r="H28" s="54" t="str">
        <f>IF(I28,"BG","")</f>
        <v/>
      </c>
      <c r="I28" s="282" t="b">
        <v>0</v>
      </c>
      <c r="K28" s="54" t="str">
        <f>IF(L28,"BG","")</f>
        <v/>
      </c>
      <c r="L28" s="282" t="b">
        <v>0</v>
      </c>
      <c r="N28" s="178"/>
      <c r="P28" s="178"/>
    </row>
    <row r="29" spans="2:16" x14ac:dyDescent="0.2">
      <c r="B29" s="54" t="str">
        <f>IF(C29,"PT","")</f>
        <v/>
      </c>
      <c r="C29" s="282" t="b">
        <v>0</v>
      </c>
      <c r="D29" s="54" t="str">
        <f>IF(E29,"PT","")</f>
        <v/>
      </c>
      <c r="E29" s="282" t="b">
        <v>0</v>
      </c>
      <c r="F29" s="54" t="str">
        <f>IF(G29,"PT","")</f>
        <v/>
      </c>
      <c r="G29" s="282" t="b">
        <v>0</v>
      </c>
      <c r="H29" s="54" t="str">
        <f>IF(I29,"PT","")</f>
        <v/>
      </c>
      <c r="I29" s="282" t="b">
        <v>0</v>
      </c>
      <c r="K29" s="54" t="str">
        <f>IF(L29,"PT","")</f>
        <v/>
      </c>
      <c r="L29" s="282" t="b">
        <v>0</v>
      </c>
      <c r="N29" s="178"/>
      <c r="P29" s="178"/>
    </row>
    <row r="30" spans="2:16" x14ac:dyDescent="0.2">
      <c r="B30" s="54" t="str">
        <f>IF(C30,"APTT","")</f>
        <v/>
      </c>
      <c r="C30" s="282" t="b">
        <v>0</v>
      </c>
      <c r="D30" s="54" t="str">
        <f>IF(E30,"APTT","")</f>
        <v/>
      </c>
      <c r="E30" s="282" t="b">
        <v>0</v>
      </c>
      <c r="F30" s="54" t="str">
        <f>IF(G30,"APTT","")</f>
        <v/>
      </c>
      <c r="G30" s="282" t="b">
        <v>0</v>
      </c>
      <c r="H30" s="54" t="str">
        <f>IF(I30,"APTT","")</f>
        <v/>
      </c>
      <c r="I30" s="282" t="b">
        <v>0</v>
      </c>
      <c r="K30" s="54" t="str">
        <f>IF(L30,"APTT","")</f>
        <v/>
      </c>
      <c r="L30" s="282" t="b">
        <v>0</v>
      </c>
      <c r="N30" s="178"/>
      <c r="P30" s="178"/>
    </row>
    <row r="31" spans="2:16" x14ac:dyDescent="0.2">
      <c r="B31" s="54" t="str">
        <f>IF(C31,"d-dimeren","")</f>
        <v/>
      </c>
      <c r="C31" s="282" t="b">
        <v>0</v>
      </c>
      <c r="D31" s="54" t="str">
        <f>IF(E31,"d-dimeren","")</f>
        <v/>
      </c>
      <c r="E31" s="282" t="b">
        <v>0</v>
      </c>
      <c r="F31" s="54" t="str">
        <f>IF(G31,"d-dimeren","")</f>
        <v/>
      </c>
      <c r="G31" s="282" t="b">
        <v>0</v>
      </c>
      <c r="H31" s="54" t="str">
        <f>IF(I31,"d-dimeren","")</f>
        <v/>
      </c>
      <c r="I31" s="282" t="b">
        <v>0</v>
      </c>
      <c r="K31" s="54" t="str">
        <f>IF(L31,"d-dimeren","")</f>
        <v/>
      </c>
      <c r="L31" s="282" t="b">
        <v>0</v>
      </c>
      <c r="N31" s="178"/>
      <c r="P31" s="178"/>
    </row>
    <row r="32" spans="2:16" x14ac:dyDescent="0.2">
      <c r="B32" s="54" t="str">
        <f>IF(C32,"INR","")</f>
        <v/>
      </c>
      <c r="C32" s="282" t="b">
        <v>0</v>
      </c>
      <c r="D32" s="54" t="str">
        <f>IF(E32,"INR","")</f>
        <v/>
      </c>
      <c r="E32" s="282" t="b">
        <v>0</v>
      </c>
      <c r="F32" s="54" t="str">
        <f t="shared" ref="F32" si="0">IF(G32,"INR","")</f>
        <v/>
      </c>
      <c r="G32" s="282" t="b">
        <v>0</v>
      </c>
      <c r="H32" s="54" t="str">
        <f t="shared" ref="H32" si="1">IF(I32,"INR","")</f>
        <v/>
      </c>
      <c r="I32" s="282" t="b">
        <v>0</v>
      </c>
      <c r="K32" s="54" t="str">
        <f t="shared" ref="K32:K35" si="2">IF(L32,"INR","")</f>
        <v/>
      </c>
      <c r="L32" s="282" t="b">
        <v>0</v>
      </c>
      <c r="N32" s="178"/>
      <c r="P32" s="178"/>
    </row>
    <row r="33" spans="1:16" x14ac:dyDescent="0.2">
      <c r="B33" s="54" t="str">
        <f>IF(C33,"Hep-ratio","")</f>
        <v/>
      </c>
      <c r="C33" s="282" t="b">
        <v>0</v>
      </c>
      <c r="D33" s="54" t="str">
        <f>IF(E33,"Hep-ratio","")</f>
        <v/>
      </c>
      <c r="E33" s="282" t="b">
        <v>0</v>
      </c>
      <c r="F33" s="54" t="str">
        <f>IF(G33,"Hep-ratio","")</f>
        <v/>
      </c>
      <c r="G33" s="282" t="b">
        <v>0</v>
      </c>
      <c r="H33" s="54" t="str">
        <f>IF(I33,"Hep-ratio","")</f>
        <v/>
      </c>
      <c r="I33" s="282" t="b">
        <v>0</v>
      </c>
      <c r="K33" s="54" t="str">
        <f>IF(L33,"Hep-ratio","")</f>
        <v/>
      </c>
      <c r="L33" s="282" t="b">
        <v>0</v>
      </c>
      <c r="N33" s="178"/>
      <c r="P33" s="178"/>
    </row>
    <row r="34" spans="1:16" x14ac:dyDescent="0.2">
      <c r="B34" s="54" t="str">
        <f>IF(C34,"BNP","")</f>
        <v/>
      </c>
      <c r="C34" s="282" t="b">
        <v>0</v>
      </c>
      <c r="D34" s="54" t="str">
        <f>IF(E34,"BNP","")</f>
        <v/>
      </c>
      <c r="E34" s="282" t="b">
        <v>0</v>
      </c>
      <c r="F34" s="54" t="str">
        <f>IF(G34,"BNP","")</f>
        <v/>
      </c>
      <c r="G34" s="282" t="b">
        <v>0</v>
      </c>
      <c r="H34" s="54" t="str">
        <f>IF(I34,"BNP","")</f>
        <v/>
      </c>
      <c r="I34" s="282" t="b">
        <v>0</v>
      </c>
      <c r="K34" s="54" t="str">
        <f>IF(L34,"BNP","")</f>
        <v/>
      </c>
      <c r="L34" s="282" t="b">
        <v>0</v>
      </c>
      <c r="N34" s="178"/>
      <c r="P34" s="178"/>
    </row>
    <row r="35" spans="1:16" x14ac:dyDescent="0.2">
      <c r="B35" s="54" t="str">
        <f>IF(C35,"ACT","")</f>
        <v/>
      </c>
      <c r="C35" s="282" t="b">
        <v>0</v>
      </c>
      <c r="G35" s="283" t="b">
        <v>0</v>
      </c>
      <c r="K35" s="54" t="str">
        <f t="shared" si="2"/>
        <v/>
      </c>
    </row>
    <row r="37" spans="1:16" x14ac:dyDescent="0.2">
      <c r="A37" s="54" t="s">
        <v>181</v>
      </c>
    </row>
    <row r="39" spans="1:16" x14ac:dyDescent="0.2">
      <c r="A39" s="54" t="s">
        <v>293</v>
      </c>
      <c r="B39" s="54" t="str">
        <f>ConcatenateRange(B$4:B$35,  ", ")</f>
        <v/>
      </c>
    </row>
    <row r="40" spans="1:16" x14ac:dyDescent="0.2">
      <c r="A40" s="54" t="s">
        <v>346</v>
      </c>
      <c r="B40" s="261" t="str">
        <f>ConcatenateRange(D$4:D$34,  ", ")</f>
        <v/>
      </c>
    </row>
    <row r="41" spans="1:16" x14ac:dyDescent="0.2">
      <c r="A41" s="54" t="s">
        <v>347</v>
      </c>
      <c r="B41" s="261" t="str">
        <f>ConcatenateRange(F$4:F$34,  ", ")</f>
        <v/>
      </c>
    </row>
    <row r="42" spans="1:16" x14ac:dyDescent="0.2">
      <c r="A42" s="54" t="s">
        <v>108</v>
      </c>
      <c r="B42" s="261" t="str">
        <f>ConcatenateRange(H$4:H$34,  ", ")</f>
        <v/>
      </c>
    </row>
    <row r="43" spans="1:16" x14ac:dyDescent="0.2">
      <c r="A43" s="54" t="s">
        <v>125</v>
      </c>
      <c r="B43" s="261" t="str">
        <f>ConcatenateRange(K$4:K$34,  ", ")</f>
        <v/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350" customWidth="1"/>
    <col min="3" max="3" width="25" style="350" customWidth="1"/>
    <col min="4" max="4" width="16.28515625" style="350" customWidth="1"/>
    <col min="5" max="5" width="16.7109375" style="350" customWidth="1"/>
    <col min="6" max="6" width="15" style="350" bestFit="1" customWidth="1"/>
    <col min="7" max="7" width="21.85546875" style="350" bestFit="1" customWidth="1"/>
    <col min="8" max="8" width="23.5703125" style="350" customWidth="1"/>
    <col min="9" max="9" width="15.7109375" style="350" customWidth="1"/>
    <col min="10" max="10" width="27" style="350" customWidth="1"/>
    <col min="11" max="11" width="15.5703125" style="350" customWidth="1"/>
    <col min="12" max="12" width="13" style="350" customWidth="1"/>
    <col min="13" max="46" width="9.140625" style="350" customWidth="1"/>
    <col min="47" max="16384" width="9.140625" style="350"/>
  </cols>
  <sheetData>
    <row r="1" spans="2:18" s="348" customFormat="1" ht="17.25" customHeight="1" x14ac:dyDescent="0.2">
      <c r="B1" s="588"/>
      <c r="C1" s="589"/>
      <c r="D1" s="589"/>
      <c r="E1" s="589"/>
      <c r="F1" s="589"/>
      <c r="G1" s="589"/>
      <c r="H1" s="589"/>
      <c r="I1" s="589"/>
      <c r="J1" s="589"/>
    </row>
    <row r="2" spans="2:18" s="348" customFormat="1" ht="17.25" customHeight="1" x14ac:dyDescent="0.2">
      <c r="B2" s="589"/>
      <c r="C2" s="590" t="s">
        <v>229</v>
      </c>
      <c r="D2" s="591" t="str">
        <f ca="1">Txt_Pat_AfspraakDat</f>
        <v>14-nov-2018</v>
      </c>
      <c r="E2" s="590"/>
      <c r="F2" s="592"/>
      <c r="G2" s="590" t="s">
        <v>230</v>
      </c>
      <c r="H2" s="590" t="str">
        <f>Txt_Pat_OpnameDat</f>
        <v/>
      </c>
      <c r="I2" s="590" t="str">
        <f>Txt_Pat_Gewicht</f>
        <v>Gewicht:</v>
      </c>
      <c r="J2" s="590" t="str">
        <f>Txt_Pat_Bed</f>
        <v/>
      </c>
    </row>
    <row r="3" spans="2:18" s="348" customFormat="1" ht="17.25" customHeight="1" x14ac:dyDescent="0.2">
      <c r="B3" s="589"/>
      <c r="C3" s="590" t="s">
        <v>27</v>
      </c>
      <c r="D3" s="593" t="str">
        <f>Txt_Pat_FullName</f>
        <v/>
      </c>
      <c r="E3" s="590"/>
      <c r="F3" s="592"/>
      <c r="G3" s="590" t="s">
        <v>236</v>
      </c>
      <c r="H3" s="590" t="str">
        <f ca="1">Txt_Pat_GeboorteDat</f>
        <v/>
      </c>
      <c r="I3" s="590" t="str">
        <f>Txt_Pat_Lengte</f>
        <v>Lengte:</v>
      </c>
      <c r="J3" s="589"/>
    </row>
    <row r="4" spans="2:18" s="348" customFormat="1" ht="17.25" customHeight="1" x14ac:dyDescent="0.2">
      <c r="B4" s="589"/>
      <c r="C4" s="590" t="s">
        <v>3457</v>
      </c>
      <c r="D4" s="590" t="str">
        <f>Txt_Pat_PatNo</f>
        <v/>
      </c>
      <c r="E4" s="590"/>
      <c r="F4" s="594"/>
      <c r="G4" s="590" t="s">
        <v>208</v>
      </c>
      <c r="H4" s="590" t="str">
        <f ca="1">Txt_Pat_Leeftijd</f>
        <v/>
      </c>
      <c r="I4" s="590" t="str">
        <f>Txt_Pat_Oppervlak</f>
        <v>Lichamelijk oppervlak:</v>
      </c>
      <c r="J4" s="589"/>
    </row>
    <row r="6" spans="2:18" x14ac:dyDescent="0.2">
      <c r="B6" s="447"/>
      <c r="C6" s="625" t="s">
        <v>565</v>
      </c>
      <c r="D6" s="625"/>
      <c r="E6" s="625"/>
      <c r="F6" s="625"/>
      <c r="G6" s="625" t="s">
        <v>572</v>
      </c>
      <c r="H6" s="625"/>
      <c r="I6" s="625"/>
      <c r="J6" s="625"/>
      <c r="R6" s="348"/>
    </row>
    <row r="7" spans="2:18" ht="18" customHeight="1" x14ac:dyDescent="0.2">
      <c r="R7" s="348"/>
    </row>
    <row r="8" spans="2:18" ht="18" customHeight="1" thickBot="1" x14ac:dyDescent="0.25">
      <c r="D8" s="441" t="str">
        <f>IF(PedBerAfspr!C7=0,"",PedBerAfspr!C7)</f>
        <v/>
      </c>
      <c r="R8" s="348"/>
    </row>
    <row r="9" spans="2:18" ht="18" customHeight="1" thickTop="1" thickBot="1" x14ac:dyDescent="0.25">
      <c r="D9" s="439" t="str">
        <f>IF(PedBerAfspr!C8=0,"",PedBerAfspr!C8)</f>
        <v/>
      </c>
      <c r="H9" s="438" t="str">
        <f>CONCATENATE("à ",PedBerAfspr!G16," uur")</f>
        <v>à 0 uur</v>
      </c>
      <c r="I9" s="448"/>
    </row>
    <row r="10" spans="2:18" ht="18" customHeight="1" thickTop="1" thickBot="1" x14ac:dyDescent="0.25">
      <c r="D10" s="439" t="str">
        <f>IF(PedBerAfspr!C9=0,"",PedBerAfspr!C9)</f>
        <v/>
      </c>
      <c r="H10" s="414" t="str">
        <f>CONCATENATE("à ",PedBerAfspr!G18," uur")</f>
        <v>à 0 uur</v>
      </c>
      <c r="I10" s="607" t="s">
        <v>788</v>
      </c>
      <c r="J10" s="474" t="str">
        <f>IF(_Ped_AfsprD_Verliezen=0,"",_Ped_AfsprD_Verliezen)</f>
        <v/>
      </c>
      <c r="K10" s="349"/>
      <c r="L10" s="349"/>
    </row>
    <row r="11" spans="2:18" ht="18" customHeight="1" thickTop="1" thickBot="1" x14ac:dyDescent="0.25">
      <c r="D11" s="460" t="str">
        <f>CONCATENATE(PedBerAfspr!$B$12," dd")</f>
        <v>0 dd</v>
      </c>
      <c r="J11" s="349"/>
      <c r="K11" s="349"/>
      <c r="L11" s="349"/>
    </row>
    <row r="12" spans="2:18" ht="18" customHeight="1" thickTop="1" x14ac:dyDescent="0.2">
      <c r="J12" s="349"/>
      <c r="K12" s="349"/>
      <c r="L12" s="349"/>
    </row>
    <row r="13" spans="2:18" ht="18" customHeight="1" x14ac:dyDescent="0.2">
      <c r="J13" s="450"/>
      <c r="N13" s="348"/>
    </row>
    <row r="14" spans="2:18" ht="18" customHeight="1" x14ac:dyDescent="0.2">
      <c r="N14" s="348"/>
    </row>
    <row r="15" spans="2:18" ht="18" customHeight="1" x14ac:dyDescent="0.2"/>
    <row r="16" spans="2:18" ht="18" customHeight="1" x14ac:dyDescent="0.2">
      <c r="N16" s="348"/>
    </row>
    <row r="17" spans="2:15" ht="18" customHeight="1" x14ac:dyDescent="0.2">
      <c r="G17" s="608" t="s">
        <v>708</v>
      </c>
      <c r="H17" s="608"/>
      <c r="I17" s="608"/>
      <c r="J17" s="608"/>
      <c r="N17" s="348"/>
    </row>
    <row r="18" spans="2:15" ht="18" customHeight="1" thickBot="1" x14ac:dyDescent="0.25">
      <c r="D18" s="449" t="str">
        <f>CONCATENATE(PedBerAfspr!$C$42," dd")</f>
        <v>0 dd</v>
      </c>
      <c r="G18" s="828" t="str">
        <f>IF(_Ped_AfsprOverig=0,"",_Ped_AfsprOverig)</f>
        <v/>
      </c>
      <c r="H18" s="829"/>
      <c r="I18" s="829"/>
      <c r="J18" s="829"/>
      <c r="L18" s="348"/>
      <c r="N18" s="348"/>
      <c r="O18" s="348"/>
    </row>
    <row r="19" spans="2:15" ht="18" customHeight="1" thickTop="1" thickBot="1" x14ac:dyDescent="0.25">
      <c r="D19" s="460" t="str">
        <f>CONCATENATE(PedBerAfspr!$C$43," dd")</f>
        <v>0 dd</v>
      </c>
      <c r="G19" s="829"/>
      <c r="H19" s="829"/>
      <c r="I19" s="829"/>
      <c r="J19" s="829"/>
      <c r="O19" s="348"/>
    </row>
    <row r="20" spans="2:15" ht="18" customHeight="1" thickTop="1" x14ac:dyDescent="0.2">
      <c r="G20" s="829"/>
      <c r="H20" s="829"/>
      <c r="I20" s="829"/>
      <c r="J20" s="829"/>
      <c r="L20" s="348"/>
      <c r="N20" s="348"/>
      <c r="O20" s="348"/>
    </row>
    <row r="21" spans="2:15" ht="18" customHeight="1" x14ac:dyDescent="0.2">
      <c r="H21" s="451"/>
      <c r="I21" s="452"/>
      <c r="N21" s="348"/>
      <c r="O21" s="348"/>
    </row>
    <row r="22" spans="2:15" ht="18" customHeight="1" x14ac:dyDescent="0.2">
      <c r="C22" s="625" t="s">
        <v>571</v>
      </c>
      <c r="D22" s="625"/>
      <c r="E22" s="625"/>
      <c r="F22" s="625"/>
      <c r="G22" s="625"/>
      <c r="H22" s="626"/>
      <c r="I22" s="627"/>
      <c r="J22" s="625"/>
      <c r="N22" s="348"/>
    </row>
    <row r="23" spans="2:15" ht="18" customHeight="1" x14ac:dyDescent="0.2">
      <c r="H23" s="451"/>
      <c r="I23" s="452"/>
      <c r="N23" s="348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625" t="s">
        <v>764</v>
      </c>
      <c r="D28" s="625"/>
      <c r="E28" s="625"/>
      <c r="F28" s="625"/>
      <c r="G28" s="625"/>
      <c r="H28" s="625"/>
      <c r="I28" s="625"/>
      <c r="J28" s="625"/>
    </row>
    <row r="29" spans="2:15" ht="18" customHeight="1" x14ac:dyDescent="0.2">
      <c r="B29" s="448"/>
    </row>
    <row r="30" spans="2:15" ht="18" customHeight="1" x14ac:dyDescent="0.2">
      <c r="B30" s="448"/>
    </row>
    <row r="31" spans="2:15" ht="18" customHeight="1" x14ac:dyDescent="0.2">
      <c r="B31" s="448"/>
      <c r="N31" s="348"/>
    </row>
    <row r="32" spans="2:15" ht="18" customHeight="1" x14ac:dyDescent="0.2">
      <c r="B32" s="448"/>
      <c r="C32" s="453"/>
      <c r="D32" s="453"/>
      <c r="E32" s="448"/>
      <c r="F32" s="448"/>
      <c r="N32" s="348"/>
    </row>
    <row r="33" spans="3:14" ht="18" customHeight="1" x14ac:dyDescent="0.2">
      <c r="C33" s="453"/>
      <c r="D33" s="453"/>
      <c r="E33" s="448"/>
      <c r="F33" s="448"/>
      <c r="N33" s="348"/>
    </row>
    <row r="34" spans="3:14" ht="18" customHeight="1" x14ac:dyDescent="0.2">
      <c r="C34" s="453"/>
      <c r="D34" s="453"/>
      <c r="E34" s="448"/>
      <c r="F34" s="448"/>
      <c r="N34" s="348"/>
    </row>
    <row r="35" spans="3:14" ht="18" customHeight="1" x14ac:dyDescent="0.2">
      <c r="C35" s="453"/>
      <c r="D35" s="453"/>
      <c r="E35" s="698">
        <f>PedBerAfspr!D40</f>
        <v>0</v>
      </c>
      <c r="F35" s="453" t="s">
        <v>766</v>
      </c>
      <c r="G35" s="348"/>
      <c r="N35" s="348"/>
    </row>
    <row r="36" spans="3:14" ht="18" customHeight="1" x14ac:dyDescent="0.2">
      <c r="N36" s="348"/>
    </row>
    <row r="37" spans="3:14" ht="18" customHeight="1" x14ac:dyDescent="0.2">
      <c r="C37" s="637" t="s">
        <v>538</v>
      </c>
      <c r="D37" s="637"/>
      <c r="E37" s="637"/>
      <c r="F37" s="637"/>
      <c r="G37" s="637"/>
      <c r="H37" s="637"/>
      <c r="I37" s="637"/>
      <c r="J37" s="637"/>
      <c r="N37" s="348"/>
    </row>
    <row r="38" spans="3:14" ht="18" customHeight="1" x14ac:dyDescent="0.2">
      <c r="C38" s="637" t="s">
        <v>565</v>
      </c>
      <c r="D38" s="637" t="str">
        <f>IFERROR(LEFT(Txt_Ped_Afspr_Controles,LEN(Txt_Ped_Afspr_Controles)-3),"")</f>
        <v/>
      </c>
      <c r="E38" s="637"/>
      <c r="F38" s="637"/>
      <c r="G38" s="637"/>
      <c r="H38" s="637"/>
      <c r="I38" s="637"/>
      <c r="J38" s="637"/>
      <c r="N38" s="348"/>
    </row>
    <row r="39" spans="3:14" ht="18" customHeight="1" x14ac:dyDescent="0.2">
      <c r="C39" s="637" t="s">
        <v>571</v>
      </c>
      <c r="D39" s="637" t="str">
        <f>IFERROR(LEFT(Txt_Ped_Afspr_Onderzoeken,LEN(Txt_Ped_Afspr_Onderzoeken)-3),"")</f>
        <v/>
      </c>
      <c r="E39" s="637"/>
      <c r="F39" s="637"/>
      <c r="G39" s="637"/>
      <c r="H39" s="637"/>
      <c r="I39" s="637"/>
      <c r="J39" s="637"/>
    </row>
    <row r="40" spans="3:14" ht="18" customHeight="1" x14ac:dyDescent="0.2">
      <c r="C40" s="637" t="s">
        <v>764</v>
      </c>
      <c r="D40" s="637" t="str">
        <f>IFERROR(LEFT(Txt_Ped_Afspr_Instellingen,LEN(Txt_Ped_Afspr_Instellingen)-3),"")</f>
        <v/>
      </c>
      <c r="E40" s="637"/>
      <c r="F40" s="637"/>
      <c r="G40" s="637"/>
      <c r="H40" s="637"/>
      <c r="I40" s="637"/>
      <c r="J40" s="637"/>
      <c r="N40" s="348"/>
    </row>
    <row r="41" spans="3:14" ht="18" customHeight="1" x14ac:dyDescent="0.2">
      <c r="C41" s="637" t="s">
        <v>551</v>
      </c>
      <c r="D41" s="637" t="str">
        <f>IFERROR(LEFT(Txt_Ped_Afspr_Overig,LEN(Txt_Ped_Afspr_Overig)-3),"")</f>
        <v/>
      </c>
      <c r="E41" s="637"/>
      <c r="F41" s="637"/>
      <c r="G41" s="637"/>
      <c r="H41" s="637"/>
      <c r="I41" s="637"/>
      <c r="J41" s="637"/>
      <c r="N41" s="348"/>
    </row>
    <row r="42" spans="3:14" ht="18" customHeight="1" x14ac:dyDescent="0.2">
      <c r="N42" s="348"/>
    </row>
    <row r="43" spans="3:14" ht="18" customHeight="1" x14ac:dyDescent="0.2">
      <c r="N43" s="348"/>
    </row>
    <row r="44" spans="3:14" ht="18" customHeight="1" x14ac:dyDescent="0.2">
      <c r="N44" s="348"/>
    </row>
    <row r="45" spans="3:14" ht="18" customHeight="1" x14ac:dyDescent="0.2"/>
    <row r="46" spans="3:14" ht="18" customHeight="1" x14ac:dyDescent="0.2"/>
    <row r="47" spans="3:14" ht="18" customHeight="1" x14ac:dyDescent="0.2">
      <c r="N47" s="454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zoomScaleNormal="100" workbookViewId="0">
      <selection activeCell="B47" sqref="B47"/>
    </sheetView>
  </sheetViews>
  <sheetFormatPr defaultColWidth="9.140625" defaultRowHeight="12.75" x14ac:dyDescent="0.2"/>
  <cols>
    <col min="1" max="1" width="34.7109375" style="171" bestFit="1" customWidth="1"/>
    <col min="2" max="2" width="9.140625" style="171"/>
    <col min="3" max="3" width="14" style="171" customWidth="1"/>
    <col min="4" max="4" width="9.140625" style="172"/>
    <col min="5" max="5" width="28" style="177" bestFit="1" customWidth="1"/>
    <col min="6" max="6" width="9.140625" style="171"/>
    <col min="7" max="7" width="13.5703125" style="171" customWidth="1"/>
    <col min="8" max="16384" width="9.140625" style="171"/>
  </cols>
  <sheetData>
    <row r="1" spans="1:8" x14ac:dyDescent="0.2">
      <c r="A1" s="181"/>
    </row>
    <row r="6" spans="1:8" x14ac:dyDescent="0.2">
      <c r="A6" s="191" t="s">
        <v>565</v>
      </c>
      <c r="E6" s="173" t="s">
        <v>551</v>
      </c>
    </row>
    <row r="7" spans="1:8" x14ac:dyDescent="0.2">
      <c r="A7" s="174" t="s">
        <v>207</v>
      </c>
      <c r="B7" s="181" t="b">
        <v>0</v>
      </c>
      <c r="C7" s="181">
        <v>0</v>
      </c>
      <c r="D7" s="182">
        <v>0</v>
      </c>
      <c r="E7" s="175" t="s">
        <v>537</v>
      </c>
      <c r="F7" s="181" t="b">
        <v>0</v>
      </c>
    </row>
    <row r="8" spans="1:8" x14ac:dyDescent="0.2">
      <c r="A8" s="174" t="s">
        <v>95</v>
      </c>
      <c r="B8" s="181" t="b">
        <v>0</v>
      </c>
      <c r="C8" s="181">
        <v>0</v>
      </c>
      <c r="D8" s="182">
        <v>0</v>
      </c>
      <c r="E8" s="175" t="s">
        <v>547</v>
      </c>
      <c r="F8" s="181" t="b">
        <v>0</v>
      </c>
    </row>
    <row r="9" spans="1:8" x14ac:dyDescent="0.2">
      <c r="A9" s="171" t="s">
        <v>705</v>
      </c>
      <c r="B9" s="181" t="b">
        <v>0</v>
      </c>
      <c r="C9" s="181">
        <v>0</v>
      </c>
      <c r="D9" s="182">
        <v>1</v>
      </c>
      <c r="E9" s="175" t="s">
        <v>773</v>
      </c>
      <c r="F9" s="181" t="b">
        <v>0</v>
      </c>
    </row>
    <row r="10" spans="1:8" x14ac:dyDescent="0.2">
      <c r="A10" s="171" t="s">
        <v>752</v>
      </c>
      <c r="B10" s="181" t="b">
        <v>0</v>
      </c>
      <c r="C10" s="181"/>
      <c r="D10" s="182"/>
      <c r="E10" s="175" t="s">
        <v>774</v>
      </c>
      <c r="F10" s="181" t="b">
        <v>0</v>
      </c>
    </row>
    <row r="11" spans="1:8" x14ac:dyDescent="0.2">
      <c r="A11" s="174" t="s">
        <v>595</v>
      </c>
      <c r="B11" s="181" t="b">
        <v>0</v>
      </c>
      <c r="C11" s="174" t="s">
        <v>567</v>
      </c>
      <c r="D11" s="182" t="b">
        <v>0</v>
      </c>
      <c r="E11" s="175" t="s">
        <v>775</v>
      </c>
      <c r="F11" s="181" t="b">
        <v>0</v>
      </c>
    </row>
    <row r="12" spans="1:8" x14ac:dyDescent="0.2">
      <c r="A12" s="174" t="s">
        <v>597</v>
      </c>
      <c r="B12" s="196">
        <v>0</v>
      </c>
      <c r="C12" s="176" t="s">
        <v>568</v>
      </c>
      <c r="D12" s="182" t="b">
        <v>0</v>
      </c>
      <c r="E12" s="175" t="s">
        <v>545</v>
      </c>
      <c r="F12" s="181" t="b">
        <v>0</v>
      </c>
    </row>
    <row r="13" spans="1:8" x14ac:dyDescent="0.2">
      <c r="B13" s="181"/>
      <c r="C13" s="174" t="s">
        <v>569</v>
      </c>
      <c r="D13" s="182" t="b">
        <v>0</v>
      </c>
      <c r="E13" s="177" t="s">
        <v>776</v>
      </c>
      <c r="F13" s="181" t="b">
        <v>0</v>
      </c>
    </row>
    <row r="14" spans="1:8" x14ac:dyDescent="0.2">
      <c r="B14" s="181"/>
      <c r="C14" s="174" t="s">
        <v>570</v>
      </c>
      <c r="D14" s="182" t="b">
        <v>0</v>
      </c>
      <c r="E14" s="177" t="s">
        <v>777</v>
      </c>
      <c r="F14" s="181" t="b">
        <v>0</v>
      </c>
    </row>
    <row r="15" spans="1:8" x14ac:dyDescent="0.2">
      <c r="A15" s="174" t="s">
        <v>596</v>
      </c>
      <c r="B15" s="181" t="b">
        <v>0</v>
      </c>
      <c r="D15" s="182"/>
      <c r="E15" s="177" t="s">
        <v>778</v>
      </c>
      <c r="F15" s="181" t="b">
        <v>0</v>
      </c>
    </row>
    <row r="16" spans="1:8" x14ac:dyDescent="0.2">
      <c r="A16" s="171" t="s">
        <v>493</v>
      </c>
      <c r="B16" s="181" t="b">
        <v>0</v>
      </c>
      <c r="D16" s="182"/>
      <c r="E16" s="175" t="s">
        <v>787</v>
      </c>
      <c r="F16" s="181" t="b">
        <v>0</v>
      </c>
      <c r="G16" s="181">
        <v>0</v>
      </c>
      <c r="H16" s="174"/>
    </row>
    <row r="17" spans="1:8" x14ac:dyDescent="0.2">
      <c r="A17" s="174" t="s">
        <v>492</v>
      </c>
      <c r="B17" s="181" t="b">
        <v>0</v>
      </c>
      <c r="D17" s="182"/>
      <c r="E17" s="175" t="s">
        <v>551</v>
      </c>
      <c r="F17" s="181"/>
    </row>
    <row r="18" spans="1:8" x14ac:dyDescent="0.2">
      <c r="E18" s="175" t="s">
        <v>701</v>
      </c>
      <c r="F18" s="181" t="b">
        <v>0</v>
      </c>
      <c r="G18" s="181">
        <v>0</v>
      </c>
      <c r="H18" s="181"/>
    </row>
    <row r="19" spans="1:8" x14ac:dyDescent="0.2">
      <c r="A19" s="170" t="s">
        <v>571</v>
      </c>
      <c r="B19" s="181"/>
      <c r="E19" s="175"/>
    </row>
    <row r="20" spans="1:8" x14ac:dyDescent="0.2">
      <c r="A20" s="174" t="s">
        <v>750</v>
      </c>
      <c r="B20" s="181" t="b">
        <v>0</v>
      </c>
      <c r="D20" s="182"/>
      <c r="E20" s="175"/>
    </row>
    <row r="21" spans="1:8" x14ac:dyDescent="0.2">
      <c r="A21" s="174" t="s">
        <v>31</v>
      </c>
      <c r="B21" s="181" t="b">
        <v>0</v>
      </c>
      <c r="D21" s="182"/>
    </row>
    <row r="22" spans="1:8" x14ac:dyDescent="0.2">
      <c r="A22" s="174" t="s">
        <v>598</v>
      </c>
      <c r="B22" s="181" t="b">
        <v>0</v>
      </c>
      <c r="D22" s="182"/>
    </row>
    <row r="23" spans="1:8" x14ac:dyDescent="0.2">
      <c r="A23" s="174" t="s">
        <v>599</v>
      </c>
      <c r="B23" s="181" t="b">
        <v>0</v>
      </c>
      <c r="D23" s="182"/>
    </row>
    <row r="24" spans="1:8" x14ac:dyDescent="0.2">
      <c r="A24" s="171" t="s">
        <v>779</v>
      </c>
      <c r="B24" s="181" t="b">
        <v>0</v>
      </c>
      <c r="D24" s="182"/>
    </row>
    <row r="25" spans="1:8" x14ac:dyDescent="0.2">
      <c r="A25" s="171" t="s">
        <v>780</v>
      </c>
      <c r="B25" s="181" t="b">
        <v>0</v>
      </c>
      <c r="D25" s="182"/>
    </row>
    <row r="26" spans="1:8" x14ac:dyDescent="0.2">
      <c r="A26" s="170" t="s">
        <v>764</v>
      </c>
      <c r="B26" s="181"/>
      <c r="D26" s="182"/>
    </row>
    <row r="27" spans="1:8" x14ac:dyDescent="0.2">
      <c r="A27" s="174" t="s">
        <v>600</v>
      </c>
      <c r="B27" s="181" t="b">
        <v>0</v>
      </c>
      <c r="C27" s="171" t="str">
        <f t="shared" ref="C27:C35" si="0">IF(OR(D27=0,D27=1,D27=""),"",INDEX(Tbl_Ped_DrainLokatie,D27,0))</f>
        <v/>
      </c>
      <c r="D27" s="181">
        <v>1</v>
      </c>
    </row>
    <row r="28" spans="1:8" x14ac:dyDescent="0.2">
      <c r="B28" s="181"/>
      <c r="C28" s="171" t="str">
        <f>IF(OR(D28=0,D28=1,D28=""),"",INDEX(Tbl_Ped_DrainModus,D28,0))</f>
        <v/>
      </c>
      <c r="D28" s="181">
        <v>1</v>
      </c>
    </row>
    <row r="29" spans="1:8" x14ac:dyDescent="0.2">
      <c r="B29" s="181"/>
      <c r="C29" s="171" t="str">
        <f>IF(OR(D29=0,D29=1,D29=""),"",INDEX(Tbl_Ped_DrainZuig,D29,0))</f>
        <v/>
      </c>
      <c r="D29" s="181">
        <v>1</v>
      </c>
    </row>
    <row r="30" spans="1:8" x14ac:dyDescent="0.2">
      <c r="A30" s="174" t="s">
        <v>698</v>
      </c>
      <c r="B30" s="181" t="b">
        <v>0</v>
      </c>
      <c r="C30" s="171" t="str">
        <f t="shared" si="0"/>
        <v/>
      </c>
      <c r="D30" s="181">
        <v>1</v>
      </c>
    </row>
    <row r="31" spans="1:8" x14ac:dyDescent="0.2">
      <c r="B31" s="181"/>
      <c r="C31" s="171" t="str">
        <f>IF(OR(D31=0,D31=1,D31=""),"",INDEX(Tbl_Ped_DrainModus,D31,0))</f>
        <v/>
      </c>
      <c r="D31" s="181">
        <v>1</v>
      </c>
    </row>
    <row r="32" spans="1:8" x14ac:dyDescent="0.2">
      <c r="B32" s="181"/>
      <c r="C32" s="171" t="str">
        <f>IF(OR(D32=0,D32=1,D32=""),"",INDEX(Tbl_Ped_DrainZuig,D32,0))</f>
        <v/>
      </c>
      <c r="D32" s="181">
        <v>1</v>
      </c>
    </row>
    <row r="33" spans="1:5" x14ac:dyDescent="0.2">
      <c r="A33" s="174" t="s">
        <v>767</v>
      </c>
      <c r="B33" s="181" t="b">
        <v>0</v>
      </c>
      <c r="C33" s="171" t="str">
        <f t="shared" si="0"/>
        <v/>
      </c>
      <c r="D33" s="181">
        <v>1</v>
      </c>
    </row>
    <row r="34" spans="1:5" x14ac:dyDescent="0.2">
      <c r="B34" s="181"/>
      <c r="C34" s="171" t="str">
        <f t="shared" si="0"/>
        <v/>
      </c>
      <c r="D34" s="181">
        <v>1</v>
      </c>
    </row>
    <row r="35" spans="1:5" x14ac:dyDescent="0.2">
      <c r="B35" s="181"/>
      <c r="C35" s="171" t="str">
        <f t="shared" si="0"/>
        <v/>
      </c>
      <c r="D35" s="181">
        <v>1</v>
      </c>
    </row>
    <row r="36" spans="1:5" x14ac:dyDescent="0.2">
      <c r="A36" s="168" t="s">
        <v>549</v>
      </c>
      <c r="B36" s="179" t="b">
        <v>0</v>
      </c>
      <c r="C36" s="152" t="s">
        <v>768</v>
      </c>
      <c r="D36" s="180" t="b">
        <v>0</v>
      </c>
      <c r="E36" s="177" t="str">
        <f>IF(B36,CONCATENATE(A36,IF(D36,CONCATENATE(" (",C36,")"),"")," - "),"")</f>
        <v/>
      </c>
    </row>
    <row r="37" spans="1:5" x14ac:dyDescent="0.2">
      <c r="A37" s="152" t="s">
        <v>707</v>
      </c>
      <c r="B37" s="179" t="b">
        <v>0</v>
      </c>
      <c r="C37" s="152" t="s">
        <v>768</v>
      </c>
      <c r="D37" s="179" t="b">
        <v>0</v>
      </c>
      <c r="E37" s="177" t="str">
        <f t="shared" ref="E37:E38" si="1">IF(B37,CONCATENATE(A37,IF(D37,CONCATENATE(" (",C37,")"),"")," - "),"")</f>
        <v/>
      </c>
    </row>
    <row r="38" spans="1:5" x14ac:dyDescent="0.2">
      <c r="A38" s="168" t="s">
        <v>548</v>
      </c>
      <c r="B38" s="179" t="b">
        <v>0</v>
      </c>
      <c r="C38" s="152" t="s">
        <v>768</v>
      </c>
      <c r="D38" s="179" t="b">
        <v>0</v>
      </c>
      <c r="E38" s="177" t="str">
        <f t="shared" si="1"/>
        <v/>
      </c>
    </row>
    <row r="39" spans="1:5" x14ac:dyDescent="0.2">
      <c r="A39" s="152" t="s">
        <v>765</v>
      </c>
      <c r="B39" s="179" t="b">
        <v>0</v>
      </c>
      <c r="C39" s="151" t="str">
        <f>IF(OR(D39=0,D39=1,D39=""),"",INDEX(Tbl_Ped_LiquorDrain,D39,0))</f>
        <v/>
      </c>
      <c r="D39" s="180">
        <v>0</v>
      </c>
    </row>
    <row r="40" spans="1:5" x14ac:dyDescent="0.2">
      <c r="A40" s="151"/>
      <c r="B40" s="179"/>
      <c r="C40" s="151" t="s">
        <v>766</v>
      </c>
      <c r="D40" s="180">
        <v>0</v>
      </c>
    </row>
    <row r="42" spans="1:5" x14ac:dyDescent="0.2">
      <c r="A42" s="171" t="s">
        <v>789</v>
      </c>
      <c r="B42" s="181" t="b">
        <v>0</v>
      </c>
      <c r="C42" s="181">
        <v>0</v>
      </c>
    </row>
    <row r="43" spans="1:5" x14ac:dyDescent="0.2">
      <c r="A43" s="171" t="s">
        <v>790</v>
      </c>
      <c r="B43" s="181" t="b">
        <v>0</v>
      </c>
      <c r="C43" s="181">
        <v>0</v>
      </c>
    </row>
    <row r="44" spans="1:5" x14ac:dyDescent="0.2">
      <c r="A44" s="171" t="s">
        <v>791</v>
      </c>
      <c r="B44" s="181" t="b">
        <v>0</v>
      </c>
    </row>
    <row r="46" spans="1:5" x14ac:dyDescent="0.2">
      <c r="A46" s="170" t="s">
        <v>538</v>
      </c>
    </row>
    <row r="47" spans="1:5" x14ac:dyDescent="0.2">
      <c r="A47" s="174" t="s">
        <v>565</v>
      </c>
      <c r="B47" s="171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174" t="s">
        <v>571</v>
      </c>
      <c r="B48" s="171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171" t="s">
        <v>764</v>
      </c>
      <c r="B49" s="171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174" t="s">
        <v>551</v>
      </c>
      <c r="B50" s="171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174"/>
    </row>
    <row r="58" spans="1:2" x14ac:dyDescent="0.2">
      <c r="A58" s="174"/>
    </row>
    <row r="60" spans="1:2" x14ac:dyDescent="0.2">
      <c r="A60" s="174"/>
    </row>
    <row r="61" spans="1:2" x14ac:dyDescent="0.2">
      <c r="A61" s="174"/>
    </row>
    <row r="62" spans="1:2" x14ac:dyDescent="0.2">
      <c r="A62" s="174"/>
    </row>
    <row r="63" spans="1:2" x14ac:dyDescent="0.2">
      <c r="A63" s="174"/>
    </row>
    <row r="64" spans="1:2" x14ac:dyDescent="0.2">
      <c r="A64" s="174"/>
    </row>
    <row r="65" spans="1:1" x14ac:dyDescent="0.2">
      <c r="A65" s="174"/>
    </row>
    <row r="66" spans="1:1" x14ac:dyDescent="0.2">
      <c r="A66" s="174"/>
    </row>
    <row r="67" spans="1:1" x14ac:dyDescent="0.2">
      <c r="A67" s="174"/>
    </row>
    <row r="68" spans="1:1" x14ac:dyDescent="0.2">
      <c r="A68" s="174"/>
    </row>
    <row r="69" spans="1:1" x14ac:dyDescent="0.2">
      <c r="A69" s="174"/>
    </row>
    <row r="70" spans="1:1" x14ac:dyDescent="0.2">
      <c r="A70" s="174"/>
    </row>
    <row r="71" spans="1:1" x14ac:dyDescent="0.2">
      <c r="A71" s="174"/>
    </row>
    <row r="73" spans="1:1" x14ac:dyDescent="0.2">
      <c r="A73" s="174"/>
    </row>
    <row r="74" spans="1:1" x14ac:dyDescent="0.2">
      <c r="A74" s="174"/>
    </row>
    <row r="75" spans="1:1" x14ac:dyDescent="0.2">
      <c r="A75" s="174"/>
    </row>
    <row r="76" spans="1:1" x14ac:dyDescent="0.2">
      <c r="A76" s="174"/>
    </row>
    <row r="77" spans="1:1" x14ac:dyDescent="0.2">
      <c r="A77" s="174"/>
    </row>
    <row r="78" spans="1:1" x14ac:dyDescent="0.2">
      <c r="A78" s="174"/>
    </row>
    <row r="79" spans="1:1" x14ac:dyDescent="0.2">
      <c r="A79" s="174"/>
    </row>
    <row r="80" spans="1:1" x14ac:dyDescent="0.2">
      <c r="A80" s="174"/>
    </row>
    <row r="81" spans="1:1" x14ac:dyDescent="0.2">
      <c r="A81" s="174"/>
    </row>
    <row r="82" spans="1:1" x14ac:dyDescent="0.2">
      <c r="A82" s="174"/>
    </row>
    <row r="83" spans="1:1" x14ac:dyDescent="0.2">
      <c r="A83" s="174"/>
    </row>
    <row r="84" spans="1:1" x14ac:dyDescent="0.2">
      <c r="A84" s="174"/>
    </row>
    <row r="85" spans="1:1" x14ac:dyDescent="0.2">
      <c r="A85" s="174"/>
    </row>
    <row r="86" spans="1:1" x14ac:dyDescent="0.2">
      <c r="A86" s="174"/>
    </row>
    <row r="87" spans="1:1" x14ac:dyDescent="0.2">
      <c r="A87" s="174"/>
    </row>
    <row r="88" spans="1:1" x14ac:dyDescent="0.2">
      <c r="A88" s="174"/>
    </row>
    <row r="89" spans="1:1" x14ac:dyDescent="0.2">
      <c r="A89" s="174"/>
    </row>
    <row r="90" spans="1:1" x14ac:dyDescent="0.2">
      <c r="A90" s="174"/>
    </row>
    <row r="91" spans="1:1" x14ac:dyDescent="0.2">
      <c r="A91" s="174"/>
    </row>
    <row r="92" spans="1:1" x14ac:dyDescent="0.2">
      <c r="A92" s="174"/>
    </row>
    <row r="93" spans="1:1" x14ac:dyDescent="0.2">
      <c r="A93" s="174"/>
    </row>
    <row r="94" spans="1:1" x14ac:dyDescent="0.2">
      <c r="A94" s="174"/>
    </row>
    <row r="95" spans="1:1" x14ac:dyDescent="0.2">
      <c r="A95" s="174"/>
    </row>
  </sheetData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151" customWidth="1"/>
    <col min="5" max="5" width="11" bestFit="1" customWidth="1"/>
    <col min="6" max="6" width="12.140625" bestFit="1" customWidth="1"/>
    <col min="8" max="8" width="9.140625" style="44"/>
    <col min="9" max="9" width="19.28515625" bestFit="1" customWidth="1"/>
    <col min="10" max="10" width="17.7109375" bestFit="1" customWidth="1"/>
  </cols>
  <sheetData>
    <row r="1" spans="1:16" s="151" customFormat="1" x14ac:dyDescent="0.2">
      <c r="A1" s="187" t="s">
        <v>506</v>
      </c>
      <c r="B1" s="1" t="s">
        <v>541</v>
      </c>
      <c r="C1" s="1" t="s">
        <v>542</v>
      </c>
      <c r="D1" s="1" t="s">
        <v>760</v>
      </c>
      <c r="E1" s="1" t="s">
        <v>566</v>
      </c>
      <c r="F1" s="1" t="s">
        <v>573</v>
      </c>
      <c r="G1" s="1" t="s">
        <v>601</v>
      </c>
      <c r="H1" s="166"/>
      <c r="I1" s="1" t="s">
        <v>751</v>
      </c>
      <c r="J1" s="1" t="s">
        <v>769</v>
      </c>
    </row>
    <row r="2" spans="1:16" x14ac:dyDescent="0.2">
      <c r="G2">
        <v>1</v>
      </c>
    </row>
    <row r="3" spans="1:16" x14ac:dyDescent="0.2">
      <c r="A3" s="152" t="s">
        <v>502</v>
      </c>
      <c r="B3" s="157" t="s">
        <v>753</v>
      </c>
      <c r="C3" s="152" t="s">
        <v>756</v>
      </c>
      <c r="D3" s="152" t="s">
        <v>761</v>
      </c>
      <c r="E3" s="152" t="s">
        <v>567</v>
      </c>
      <c r="F3" s="152" t="s">
        <v>574</v>
      </c>
      <c r="G3">
        <v>2</v>
      </c>
      <c r="H3" s="151" t="s">
        <v>602</v>
      </c>
      <c r="I3" s="194" t="s">
        <v>781</v>
      </c>
      <c r="J3" t="s">
        <v>770</v>
      </c>
      <c r="N3" s="155"/>
      <c r="O3" s="151"/>
      <c r="P3" s="151"/>
    </row>
    <row r="4" spans="1:16" x14ac:dyDescent="0.2">
      <c r="A4" s="152" t="s">
        <v>503</v>
      </c>
      <c r="B4" s="157" t="s">
        <v>539</v>
      </c>
      <c r="C4" s="152" t="s">
        <v>757</v>
      </c>
      <c r="D4" s="152" t="s">
        <v>762</v>
      </c>
      <c r="E4" s="152" t="s">
        <v>568</v>
      </c>
      <c r="F4" s="152" t="s">
        <v>575</v>
      </c>
      <c r="G4">
        <v>3</v>
      </c>
      <c r="H4" s="151" t="s">
        <v>603</v>
      </c>
      <c r="I4" s="194" t="s">
        <v>782</v>
      </c>
      <c r="J4" t="s">
        <v>771</v>
      </c>
      <c r="N4" s="152"/>
      <c r="O4" s="151"/>
      <c r="P4" s="151"/>
    </row>
    <row r="5" spans="1:16" x14ac:dyDescent="0.2">
      <c r="A5" s="152" t="s">
        <v>504</v>
      </c>
      <c r="B5" s="157" t="s">
        <v>540</v>
      </c>
      <c r="C5" s="152" t="s">
        <v>758</v>
      </c>
      <c r="D5" s="152" t="s">
        <v>763</v>
      </c>
      <c r="E5" s="152" t="s">
        <v>569</v>
      </c>
      <c r="F5" s="152" t="s">
        <v>576</v>
      </c>
      <c r="G5" s="151">
        <v>4</v>
      </c>
      <c r="H5" s="151" t="s">
        <v>604</v>
      </c>
      <c r="I5" s="194" t="s">
        <v>783</v>
      </c>
      <c r="J5" t="s">
        <v>772</v>
      </c>
      <c r="N5" s="152"/>
      <c r="O5" s="151"/>
      <c r="P5" s="151"/>
    </row>
    <row r="6" spans="1:16" x14ac:dyDescent="0.2">
      <c r="A6" s="179"/>
      <c r="B6" s="157" t="s">
        <v>706</v>
      </c>
      <c r="C6" t="s">
        <v>759</v>
      </c>
      <c r="E6" s="152" t="s">
        <v>570</v>
      </c>
      <c r="F6" s="152" t="s">
        <v>577</v>
      </c>
      <c r="G6" s="151">
        <v>5</v>
      </c>
      <c r="H6" s="151" t="s">
        <v>605</v>
      </c>
      <c r="I6" s="165"/>
      <c r="N6" s="151"/>
      <c r="O6" s="151"/>
      <c r="P6" s="151"/>
    </row>
    <row r="7" spans="1:16" x14ac:dyDescent="0.2">
      <c r="B7" s="157" t="s">
        <v>754</v>
      </c>
      <c r="E7" s="152"/>
      <c r="G7" s="151">
        <v>6</v>
      </c>
      <c r="H7" s="151" t="s">
        <v>606</v>
      </c>
      <c r="I7" s="165"/>
      <c r="N7" s="151"/>
      <c r="O7" s="151"/>
      <c r="P7" s="151"/>
    </row>
    <row r="8" spans="1:16" x14ac:dyDescent="0.2">
      <c r="B8" s="157" t="s">
        <v>755</v>
      </c>
      <c r="G8" s="151">
        <v>7</v>
      </c>
      <c r="H8" s="151" t="s">
        <v>607</v>
      </c>
      <c r="I8" s="165"/>
      <c r="N8" s="151"/>
      <c r="O8" s="151"/>
      <c r="P8" s="151"/>
    </row>
    <row r="9" spans="1:16" x14ac:dyDescent="0.2">
      <c r="G9" s="151">
        <v>8</v>
      </c>
      <c r="H9" s="151" t="s">
        <v>608</v>
      </c>
      <c r="I9" s="165"/>
      <c r="N9" s="151"/>
      <c r="O9" s="151"/>
      <c r="P9" s="151"/>
    </row>
    <row r="10" spans="1:16" x14ac:dyDescent="0.2">
      <c r="G10" s="151">
        <v>9</v>
      </c>
      <c r="H10" s="151" t="s">
        <v>609</v>
      </c>
      <c r="I10" s="165"/>
      <c r="N10" s="151"/>
      <c r="O10" s="151"/>
      <c r="P10" s="151"/>
    </row>
    <row r="11" spans="1:16" x14ac:dyDescent="0.2">
      <c r="G11" s="151">
        <v>10</v>
      </c>
      <c r="H11" s="151" t="s">
        <v>610</v>
      </c>
      <c r="I11" s="165"/>
      <c r="N11" s="151"/>
      <c r="O11" s="151"/>
      <c r="P11" s="151"/>
    </row>
    <row r="12" spans="1:16" x14ac:dyDescent="0.2">
      <c r="G12" s="151">
        <v>11</v>
      </c>
      <c r="H12" s="151" t="s">
        <v>611</v>
      </c>
      <c r="I12" s="165"/>
      <c r="N12" s="151"/>
      <c r="O12" s="151"/>
      <c r="P12" s="151"/>
    </row>
    <row r="13" spans="1:16" x14ac:dyDescent="0.2">
      <c r="G13" s="151">
        <v>12</v>
      </c>
      <c r="H13" s="151" t="s">
        <v>612</v>
      </c>
      <c r="I13" s="165"/>
      <c r="N13" s="151"/>
      <c r="O13" s="151"/>
      <c r="P13" s="151"/>
    </row>
    <row r="14" spans="1:16" x14ac:dyDescent="0.2">
      <c r="G14" s="151">
        <v>13</v>
      </c>
      <c r="H14" s="151" t="s">
        <v>613</v>
      </c>
      <c r="I14" s="165"/>
      <c r="N14" s="151"/>
      <c r="O14" s="151"/>
      <c r="P14" s="151"/>
    </row>
    <row r="15" spans="1:16" x14ac:dyDescent="0.2">
      <c r="G15" s="151">
        <v>14</v>
      </c>
      <c r="H15" s="151" t="s">
        <v>614</v>
      </c>
      <c r="I15" s="165"/>
      <c r="N15" s="152"/>
      <c r="O15" s="151"/>
      <c r="P15" s="151"/>
    </row>
    <row r="16" spans="1:16" x14ac:dyDescent="0.2">
      <c r="G16" s="151">
        <v>15</v>
      </c>
      <c r="H16" s="151" t="s">
        <v>615</v>
      </c>
      <c r="I16" s="165"/>
      <c r="N16" s="152"/>
      <c r="O16" s="151"/>
      <c r="P16" s="151"/>
    </row>
    <row r="17" spans="7:16" x14ac:dyDescent="0.2">
      <c r="G17" s="151">
        <v>16</v>
      </c>
      <c r="H17" s="151" t="s">
        <v>616</v>
      </c>
      <c r="I17" s="165"/>
      <c r="N17" s="152"/>
      <c r="O17" s="151"/>
      <c r="P17" s="151"/>
    </row>
    <row r="18" spans="7:16" x14ac:dyDescent="0.2">
      <c r="G18" s="151">
        <v>17</v>
      </c>
      <c r="H18" s="151" t="s">
        <v>617</v>
      </c>
      <c r="I18" s="165"/>
      <c r="N18" s="152"/>
      <c r="O18" s="151"/>
      <c r="P18" s="151"/>
    </row>
    <row r="19" spans="7:16" x14ac:dyDescent="0.2">
      <c r="G19" s="151">
        <v>18</v>
      </c>
      <c r="H19" s="151" t="s">
        <v>618</v>
      </c>
      <c r="I19" s="165"/>
      <c r="N19" s="152"/>
      <c r="O19" s="151"/>
      <c r="P19" s="151"/>
    </row>
    <row r="20" spans="7:16" x14ac:dyDescent="0.2">
      <c r="G20" s="151">
        <v>19</v>
      </c>
      <c r="H20" s="151" t="s">
        <v>619</v>
      </c>
      <c r="I20" s="165"/>
      <c r="N20" s="152"/>
      <c r="O20" s="151"/>
      <c r="P20" s="151"/>
    </row>
    <row r="21" spans="7:16" x14ac:dyDescent="0.2">
      <c r="G21" s="151">
        <v>20</v>
      </c>
      <c r="H21" s="151" t="s">
        <v>620</v>
      </c>
      <c r="I21" s="165"/>
      <c r="N21" s="151"/>
      <c r="O21" s="151"/>
      <c r="P21" s="151"/>
    </row>
    <row r="22" spans="7:16" x14ac:dyDescent="0.2">
      <c r="G22" s="151">
        <v>21</v>
      </c>
      <c r="H22" s="151" t="s">
        <v>621</v>
      </c>
      <c r="I22" s="165"/>
      <c r="N22" s="152"/>
      <c r="O22" s="151"/>
      <c r="P22" s="151"/>
    </row>
    <row r="23" spans="7:16" x14ac:dyDescent="0.2">
      <c r="G23" s="151">
        <v>22</v>
      </c>
      <c r="H23" s="151" t="s">
        <v>622</v>
      </c>
      <c r="I23" s="165"/>
      <c r="N23" s="152"/>
      <c r="O23" s="151"/>
      <c r="P23" s="151"/>
    </row>
    <row r="24" spans="7:16" x14ac:dyDescent="0.2">
      <c r="G24" s="151">
        <v>23</v>
      </c>
      <c r="H24" s="151" t="s">
        <v>623</v>
      </c>
      <c r="I24" s="165"/>
      <c r="N24" s="152"/>
      <c r="O24" s="151"/>
      <c r="P24" s="151"/>
    </row>
    <row r="25" spans="7:16" x14ac:dyDescent="0.2">
      <c r="G25" s="151">
        <v>24</v>
      </c>
      <c r="H25" s="151" t="s">
        <v>624</v>
      </c>
      <c r="I25" s="165"/>
      <c r="N25" s="151"/>
      <c r="O25" s="151"/>
      <c r="P25" s="151"/>
    </row>
    <row r="26" spans="7:16" x14ac:dyDescent="0.2">
      <c r="G26" s="151">
        <v>25</v>
      </c>
      <c r="H26" s="151" t="s">
        <v>625</v>
      </c>
      <c r="I26" s="165"/>
      <c r="N26" s="152"/>
      <c r="O26" s="151"/>
      <c r="P26" s="151"/>
    </row>
    <row r="27" spans="7:16" x14ac:dyDescent="0.2">
      <c r="G27" s="151">
        <v>26</v>
      </c>
      <c r="H27" s="151" t="s">
        <v>626</v>
      </c>
      <c r="I27" s="165"/>
      <c r="N27" s="151"/>
      <c r="O27" s="151"/>
      <c r="P27" s="151"/>
    </row>
    <row r="28" spans="7:16" x14ac:dyDescent="0.2">
      <c r="G28" s="151">
        <v>27</v>
      </c>
      <c r="H28" s="151" t="s">
        <v>627</v>
      </c>
      <c r="I28" s="165"/>
      <c r="N28" s="152"/>
      <c r="O28" s="151"/>
      <c r="P28" s="151"/>
    </row>
    <row r="29" spans="7:16" x14ac:dyDescent="0.2">
      <c r="G29" s="151">
        <v>28</v>
      </c>
      <c r="H29" s="151" t="s">
        <v>628</v>
      </c>
      <c r="I29" s="165"/>
      <c r="N29" s="151"/>
      <c r="O29" s="151"/>
      <c r="P29" s="151"/>
    </row>
    <row r="30" spans="7:16" x14ac:dyDescent="0.2">
      <c r="G30" s="151">
        <v>29</v>
      </c>
      <c r="H30" s="151" t="s">
        <v>629</v>
      </c>
      <c r="I30" s="165"/>
      <c r="N30" s="152"/>
      <c r="O30" s="151"/>
      <c r="P30" s="151"/>
    </row>
    <row r="31" spans="7:16" x14ac:dyDescent="0.2">
      <c r="G31" s="151">
        <v>30</v>
      </c>
      <c r="H31" s="151" t="s">
        <v>630</v>
      </c>
      <c r="I31" s="165"/>
      <c r="N31" s="152"/>
      <c r="O31" s="151"/>
      <c r="P31" s="151"/>
    </row>
    <row r="32" spans="7:16" x14ac:dyDescent="0.2">
      <c r="G32" s="151">
        <v>31</v>
      </c>
      <c r="H32" s="151" t="s">
        <v>631</v>
      </c>
      <c r="I32" s="165"/>
      <c r="N32" s="152"/>
      <c r="O32" s="151"/>
      <c r="P32" s="151"/>
    </row>
    <row r="33" spans="7:16" x14ac:dyDescent="0.2">
      <c r="G33" s="151">
        <v>32</v>
      </c>
      <c r="H33" s="151" t="s">
        <v>632</v>
      </c>
      <c r="I33" s="165"/>
      <c r="N33" s="155"/>
      <c r="O33" s="151"/>
      <c r="P33" s="151"/>
    </row>
    <row r="34" spans="7:16" x14ac:dyDescent="0.2">
      <c r="G34" s="151">
        <v>33</v>
      </c>
      <c r="H34" s="151" t="s">
        <v>633</v>
      </c>
      <c r="I34" s="165"/>
      <c r="N34" s="152"/>
      <c r="O34" s="151"/>
      <c r="P34" s="151"/>
    </row>
    <row r="35" spans="7:16" x14ac:dyDescent="0.2">
      <c r="G35" s="151">
        <v>34</v>
      </c>
      <c r="H35" s="151" t="s">
        <v>634</v>
      </c>
      <c r="I35" s="165"/>
      <c r="N35" s="152"/>
      <c r="O35" s="151"/>
      <c r="P35" s="151"/>
    </row>
    <row r="36" spans="7:16" x14ac:dyDescent="0.2">
      <c r="G36" s="151">
        <v>35</v>
      </c>
      <c r="H36" s="151" t="s">
        <v>635</v>
      </c>
      <c r="I36" s="165"/>
      <c r="N36" s="152"/>
      <c r="O36" s="151"/>
      <c r="P36" s="151"/>
    </row>
    <row r="37" spans="7:16" x14ac:dyDescent="0.2">
      <c r="G37" s="151">
        <v>36</v>
      </c>
      <c r="H37" s="151" t="s">
        <v>636</v>
      </c>
      <c r="I37" s="165"/>
      <c r="N37" s="151"/>
      <c r="O37" s="151"/>
      <c r="P37" s="151"/>
    </row>
    <row r="38" spans="7:16" x14ac:dyDescent="0.2">
      <c r="G38" s="151">
        <v>37</v>
      </c>
      <c r="H38" s="151" t="s">
        <v>637</v>
      </c>
      <c r="I38" s="165"/>
      <c r="N38" s="152"/>
      <c r="O38" s="151"/>
      <c r="P38" s="151"/>
    </row>
    <row r="39" spans="7:16" x14ac:dyDescent="0.2">
      <c r="G39" s="151">
        <v>38</v>
      </c>
      <c r="H39" s="151" t="s">
        <v>638</v>
      </c>
      <c r="I39" s="165"/>
      <c r="N39" s="152"/>
      <c r="O39" s="151"/>
      <c r="P39" s="151"/>
    </row>
    <row r="40" spans="7:16" x14ac:dyDescent="0.2">
      <c r="G40" s="151">
        <v>39</v>
      </c>
      <c r="H40" s="151" t="s">
        <v>639</v>
      </c>
      <c r="I40" s="165"/>
      <c r="N40" s="151"/>
      <c r="O40" s="151"/>
      <c r="P40" s="151"/>
    </row>
    <row r="41" spans="7:16" x14ac:dyDescent="0.2">
      <c r="G41" s="151">
        <v>40</v>
      </c>
      <c r="H41" s="151" t="s">
        <v>640</v>
      </c>
      <c r="I41" s="165"/>
      <c r="N41" s="151"/>
      <c r="O41" s="151"/>
      <c r="P41" s="151"/>
    </row>
    <row r="42" spans="7:16" x14ac:dyDescent="0.2">
      <c r="G42" s="151">
        <v>41</v>
      </c>
      <c r="H42" s="151" t="s">
        <v>641</v>
      </c>
      <c r="I42" s="165"/>
      <c r="N42" s="151"/>
      <c r="O42" s="151"/>
      <c r="P42" s="151"/>
    </row>
    <row r="43" spans="7:16" x14ac:dyDescent="0.2">
      <c r="G43" s="151">
        <v>42</v>
      </c>
      <c r="H43" s="151" t="s">
        <v>642</v>
      </c>
      <c r="I43" s="165"/>
      <c r="N43" s="151"/>
      <c r="O43" s="151"/>
      <c r="P43" s="151"/>
    </row>
    <row r="44" spans="7:16" x14ac:dyDescent="0.2">
      <c r="G44" s="151">
        <v>43</v>
      </c>
      <c r="H44" s="151" t="s">
        <v>643</v>
      </c>
      <c r="I44" s="165"/>
      <c r="N44" s="152"/>
      <c r="O44" s="151"/>
      <c r="P44" s="151"/>
    </row>
    <row r="45" spans="7:16" x14ac:dyDescent="0.2">
      <c r="G45" s="151">
        <v>44</v>
      </c>
      <c r="H45" s="151" t="s">
        <v>644</v>
      </c>
      <c r="I45" s="165"/>
      <c r="N45" s="152"/>
      <c r="O45" s="151"/>
      <c r="P45" s="151"/>
    </row>
    <row r="46" spans="7:16" x14ac:dyDescent="0.2">
      <c r="G46" s="151">
        <v>45</v>
      </c>
      <c r="H46" s="151" t="s">
        <v>645</v>
      </c>
      <c r="I46" s="165"/>
      <c r="N46" s="152"/>
      <c r="O46" s="151"/>
      <c r="P46" s="151"/>
    </row>
    <row r="47" spans="7:16" x14ac:dyDescent="0.2">
      <c r="G47" s="151">
        <v>46</v>
      </c>
      <c r="H47" s="151" t="s">
        <v>646</v>
      </c>
      <c r="I47" s="165"/>
      <c r="N47" s="152"/>
      <c r="O47" s="151"/>
      <c r="P47" s="151"/>
    </row>
    <row r="48" spans="7:16" x14ac:dyDescent="0.2">
      <c r="G48" s="151">
        <v>47</v>
      </c>
      <c r="H48" s="151" t="s">
        <v>647</v>
      </c>
      <c r="I48" s="165"/>
      <c r="N48" s="152"/>
      <c r="O48" s="151"/>
      <c r="P48" s="151"/>
    </row>
    <row r="49" spans="7:16" x14ac:dyDescent="0.2">
      <c r="G49" s="151">
        <v>48</v>
      </c>
      <c r="H49" s="151" t="s">
        <v>648</v>
      </c>
      <c r="I49" s="165"/>
      <c r="N49" s="152"/>
      <c r="O49" s="151"/>
      <c r="P49" s="151"/>
    </row>
    <row r="50" spans="7:16" x14ac:dyDescent="0.2">
      <c r="G50" s="151">
        <v>49</v>
      </c>
      <c r="H50" s="151" t="s">
        <v>649</v>
      </c>
      <c r="I50" s="165"/>
      <c r="N50" s="152"/>
      <c r="O50" s="151"/>
      <c r="P50" s="151"/>
    </row>
    <row r="51" spans="7:16" x14ac:dyDescent="0.2">
      <c r="G51" s="151">
        <v>50</v>
      </c>
      <c r="H51" s="151" t="s">
        <v>650</v>
      </c>
      <c r="I51" s="165"/>
      <c r="N51" s="152"/>
      <c r="O51" s="151"/>
      <c r="P51" s="151"/>
    </row>
    <row r="52" spans="7:16" x14ac:dyDescent="0.2">
      <c r="G52" s="151">
        <v>51</v>
      </c>
      <c r="H52" s="151" t="s">
        <v>651</v>
      </c>
      <c r="I52" s="165"/>
      <c r="N52" s="152"/>
      <c r="O52" s="151"/>
      <c r="P52" s="151"/>
    </row>
    <row r="53" spans="7:16" x14ac:dyDescent="0.2">
      <c r="G53" s="151">
        <v>52</v>
      </c>
      <c r="H53" s="151" t="s">
        <v>652</v>
      </c>
      <c r="I53" s="165"/>
      <c r="N53" s="152"/>
      <c r="O53" s="151"/>
      <c r="P53" s="151"/>
    </row>
    <row r="54" spans="7:16" x14ac:dyDescent="0.2">
      <c r="G54" s="151">
        <v>53</v>
      </c>
      <c r="H54" s="151" t="s">
        <v>653</v>
      </c>
      <c r="I54" s="165"/>
      <c r="N54" s="152"/>
      <c r="O54" s="151"/>
      <c r="P54" s="151"/>
    </row>
    <row r="55" spans="7:16" x14ac:dyDescent="0.2">
      <c r="G55" s="151">
        <v>54</v>
      </c>
      <c r="H55" s="151" t="s">
        <v>654</v>
      </c>
      <c r="I55" s="165"/>
      <c r="N55" s="152"/>
      <c r="O55" s="151"/>
      <c r="P55" s="151"/>
    </row>
    <row r="56" spans="7:16" x14ac:dyDescent="0.2">
      <c r="G56" s="151">
        <v>55</v>
      </c>
      <c r="H56" s="151" t="s">
        <v>655</v>
      </c>
      <c r="I56" s="165"/>
      <c r="N56" s="151"/>
      <c r="O56" s="151"/>
      <c r="P56" s="151"/>
    </row>
    <row r="57" spans="7:16" x14ac:dyDescent="0.2">
      <c r="G57" s="151">
        <v>56</v>
      </c>
      <c r="H57" s="151" t="s">
        <v>656</v>
      </c>
      <c r="I57" s="165"/>
      <c r="N57" s="151"/>
      <c r="O57" s="151"/>
      <c r="P57" s="151"/>
    </row>
    <row r="58" spans="7:16" x14ac:dyDescent="0.2">
      <c r="G58" s="151">
        <v>57</v>
      </c>
      <c r="H58" s="151" t="s">
        <v>657</v>
      </c>
      <c r="I58" s="165"/>
      <c r="N58" s="152"/>
      <c r="O58" s="151"/>
      <c r="P58" s="151"/>
    </row>
    <row r="59" spans="7:16" x14ac:dyDescent="0.2">
      <c r="G59" s="151">
        <v>58</v>
      </c>
      <c r="H59" s="151" t="s">
        <v>658</v>
      </c>
      <c r="I59" s="165"/>
      <c r="N59" s="151"/>
      <c r="O59" s="151"/>
      <c r="P59" s="151"/>
    </row>
    <row r="60" spans="7:16" x14ac:dyDescent="0.2">
      <c r="G60" s="151">
        <v>59</v>
      </c>
      <c r="H60" s="151" t="s">
        <v>659</v>
      </c>
      <c r="I60" s="165"/>
      <c r="N60" s="152"/>
      <c r="O60" s="151"/>
      <c r="P60" s="151"/>
    </row>
    <row r="61" spans="7:16" x14ac:dyDescent="0.2">
      <c r="G61" s="151">
        <v>60</v>
      </c>
      <c r="H61" s="151" t="s">
        <v>660</v>
      </c>
      <c r="I61" s="165"/>
      <c r="N61" s="152"/>
      <c r="O61" s="151"/>
      <c r="P61" s="151"/>
    </row>
    <row r="62" spans="7:16" x14ac:dyDescent="0.2">
      <c r="G62" s="151">
        <v>61</v>
      </c>
      <c r="H62" s="151" t="s">
        <v>661</v>
      </c>
      <c r="I62" s="165"/>
      <c r="N62" s="151"/>
      <c r="O62" s="151"/>
      <c r="P62" s="151"/>
    </row>
    <row r="63" spans="7:16" x14ac:dyDescent="0.2">
      <c r="G63" s="151">
        <v>62</v>
      </c>
      <c r="H63" s="151" t="s">
        <v>662</v>
      </c>
      <c r="I63" s="165"/>
      <c r="N63" s="152"/>
      <c r="O63" s="151"/>
      <c r="P63" s="151"/>
    </row>
    <row r="64" spans="7:16" x14ac:dyDescent="0.2">
      <c r="G64" s="151">
        <v>63</v>
      </c>
      <c r="H64" s="151" t="s">
        <v>663</v>
      </c>
      <c r="I64" s="165"/>
      <c r="N64" s="152"/>
      <c r="O64" s="151"/>
      <c r="P64" s="151"/>
    </row>
    <row r="65" spans="7:16" x14ac:dyDescent="0.2">
      <c r="G65" s="151">
        <v>64</v>
      </c>
      <c r="H65" s="151" t="s">
        <v>664</v>
      </c>
      <c r="I65" s="165"/>
      <c r="N65" s="152"/>
      <c r="O65" s="151"/>
      <c r="P65" s="151"/>
    </row>
    <row r="66" spans="7:16" x14ac:dyDescent="0.2">
      <c r="G66" s="151">
        <v>65</v>
      </c>
      <c r="H66" s="151" t="s">
        <v>665</v>
      </c>
      <c r="I66" s="165"/>
      <c r="N66" s="152"/>
      <c r="O66" s="151"/>
      <c r="P66" s="151"/>
    </row>
    <row r="67" spans="7:16" x14ac:dyDescent="0.2">
      <c r="G67" s="151">
        <v>66</v>
      </c>
      <c r="H67" s="151" t="s">
        <v>666</v>
      </c>
      <c r="I67" s="165"/>
      <c r="N67" s="151"/>
      <c r="O67" s="151"/>
      <c r="P67" s="151"/>
    </row>
    <row r="68" spans="7:16" x14ac:dyDescent="0.2">
      <c r="G68" s="151">
        <v>67</v>
      </c>
      <c r="H68" s="151" t="s">
        <v>667</v>
      </c>
      <c r="I68" s="165"/>
      <c r="N68" s="152"/>
      <c r="O68" s="151"/>
      <c r="P68" s="151"/>
    </row>
    <row r="69" spans="7:16" x14ac:dyDescent="0.2">
      <c r="G69" s="151">
        <v>68</v>
      </c>
      <c r="H69" s="151" t="s">
        <v>668</v>
      </c>
      <c r="I69" s="165"/>
      <c r="N69" s="152"/>
      <c r="O69" s="151"/>
      <c r="P69" s="151"/>
    </row>
    <row r="70" spans="7:16" x14ac:dyDescent="0.2">
      <c r="G70" s="151">
        <v>69</v>
      </c>
      <c r="H70" s="151" t="s">
        <v>669</v>
      </c>
      <c r="I70" s="165"/>
      <c r="N70" s="152"/>
      <c r="O70" s="151"/>
      <c r="P70" s="151"/>
    </row>
    <row r="71" spans="7:16" x14ac:dyDescent="0.2">
      <c r="G71" s="151">
        <v>70</v>
      </c>
      <c r="H71" s="151" t="s">
        <v>670</v>
      </c>
      <c r="I71" s="165"/>
      <c r="N71" s="152"/>
      <c r="O71" s="151"/>
      <c r="P71" s="151"/>
    </row>
    <row r="72" spans="7:16" x14ac:dyDescent="0.2">
      <c r="G72" s="151">
        <v>71</v>
      </c>
      <c r="H72" s="151" t="s">
        <v>671</v>
      </c>
      <c r="I72" s="165"/>
      <c r="N72" s="152"/>
      <c r="O72" s="151"/>
      <c r="P72" s="151"/>
    </row>
    <row r="73" spans="7:16" x14ac:dyDescent="0.2">
      <c r="G73" s="151">
        <v>72</v>
      </c>
      <c r="H73" s="151" t="s">
        <v>672</v>
      </c>
      <c r="I73" s="165"/>
      <c r="N73" s="152"/>
      <c r="O73" s="151"/>
      <c r="P73" s="151"/>
    </row>
    <row r="74" spans="7:16" x14ac:dyDescent="0.2">
      <c r="G74" s="151">
        <v>73</v>
      </c>
      <c r="H74" s="151" t="s">
        <v>673</v>
      </c>
      <c r="I74" s="165"/>
      <c r="N74" s="151"/>
      <c r="O74" s="151"/>
      <c r="P74" s="151"/>
    </row>
    <row r="75" spans="7:16" x14ac:dyDescent="0.2">
      <c r="G75" s="151">
        <v>74</v>
      </c>
      <c r="H75" s="151" t="s">
        <v>674</v>
      </c>
      <c r="I75" s="165"/>
      <c r="N75" s="151"/>
      <c r="O75" s="151"/>
      <c r="P75" s="151"/>
    </row>
    <row r="76" spans="7:16" x14ac:dyDescent="0.2">
      <c r="G76" s="151">
        <v>75</v>
      </c>
      <c r="H76" s="151" t="s">
        <v>675</v>
      </c>
      <c r="I76" s="165"/>
    </row>
    <row r="77" spans="7:16" x14ac:dyDescent="0.2">
      <c r="G77" s="151">
        <v>76</v>
      </c>
      <c r="H77" s="151" t="s">
        <v>676</v>
      </c>
      <c r="I77" s="165"/>
    </row>
    <row r="78" spans="7:16" x14ac:dyDescent="0.2">
      <c r="G78" s="151">
        <v>77</v>
      </c>
      <c r="H78" s="151" t="s">
        <v>677</v>
      </c>
      <c r="I78" s="165"/>
    </row>
    <row r="79" spans="7:16" x14ac:dyDescent="0.2">
      <c r="G79" s="151">
        <v>78</v>
      </c>
      <c r="H79" s="151" t="s">
        <v>678</v>
      </c>
      <c r="I79" s="165"/>
    </row>
    <row r="80" spans="7:16" x14ac:dyDescent="0.2">
      <c r="G80" s="151">
        <v>79</v>
      </c>
      <c r="H80" s="151" t="s">
        <v>679</v>
      </c>
      <c r="I80" s="165"/>
    </row>
    <row r="81" spans="7:9" x14ac:dyDescent="0.2">
      <c r="G81" s="151">
        <v>80</v>
      </c>
      <c r="H81" s="151" t="s">
        <v>680</v>
      </c>
      <c r="I81" s="165"/>
    </row>
    <row r="82" spans="7:9" x14ac:dyDescent="0.2">
      <c r="G82" s="151">
        <v>81</v>
      </c>
      <c r="H82" s="151" t="s">
        <v>681</v>
      </c>
      <c r="I82" s="165"/>
    </row>
    <row r="83" spans="7:9" x14ac:dyDescent="0.2">
      <c r="G83" s="151">
        <v>82</v>
      </c>
      <c r="H83" s="151" t="s">
        <v>682</v>
      </c>
      <c r="I83" s="165"/>
    </row>
    <row r="84" spans="7:9" x14ac:dyDescent="0.2">
      <c r="G84" s="151">
        <v>83</v>
      </c>
      <c r="H84" s="151" t="s">
        <v>683</v>
      </c>
      <c r="I84" s="165"/>
    </row>
    <row r="85" spans="7:9" x14ac:dyDescent="0.2">
      <c r="G85" s="151">
        <v>84</v>
      </c>
      <c r="H85" s="151" t="s">
        <v>684</v>
      </c>
      <c r="I85" s="165"/>
    </row>
    <row r="86" spans="7:9" x14ac:dyDescent="0.2">
      <c r="G86" s="151">
        <v>85</v>
      </c>
      <c r="H86" s="151" t="s">
        <v>685</v>
      </c>
      <c r="I86" s="165"/>
    </row>
    <row r="87" spans="7:9" x14ac:dyDescent="0.2">
      <c r="G87" s="151">
        <v>86</v>
      </c>
      <c r="H87" s="151" t="s">
        <v>686</v>
      </c>
      <c r="I87" s="165"/>
    </row>
    <row r="88" spans="7:9" x14ac:dyDescent="0.2">
      <c r="G88" s="151">
        <v>87</v>
      </c>
      <c r="H88" s="151" t="s">
        <v>687</v>
      </c>
      <c r="I88" s="165"/>
    </row>
    <row r="89" spans="7:9" x14ac:dyDescent="0.2">
      <c r="G89" s="151">
        <v>88</v>
      </c>
      <c r="H89" s="151" t="s">
        <v>688</v>
      </c>
      <c r="I89" s="165"/>
    </row>
    <row r="90" spans="7:9" x14ac:dyDescent="0.2">
      <c r="G90" s="151">
        <v>89</v>
      </c>
      <c r="H90" s="151" t="s">
        <v>689</v>
      </c>
      <c r="I90" s="165"/>
    </row>
    <row r="91" spans="7:9" x14ac:dyDescent="0.2">
      <c r="G91" s="151">
        <v>90</v>
      </c>
      <c r="H91" s="151" t="s">
        <v>690</v>
      </c>
      <c r="I91" s="165"/>
    </row>
    <row r="92" spans="7:9" x14ac:dyDescent="0.2">
      <c r="G92" s="151">
        <v>91</v>
      </c>
      <c r="H92" s="151" t="s">
        <v>691</v>
      </c>
      <c r="I92" s="165"/>
    </row>
    <row r="93" spans="7:9" x14ac:dyDescent="0.2">
      <c r="G93" s="151">
        <v>92</v>
      </c>
      <c r="H93" s="151" t="s">
        <v>692</v>
      </c>
      <c r="I93" s="165"/>
    </row>
    <row r="94" spans="7:9" x14ac:dyDescent="0.2">
      <c r="G94" s="151">
        <v>93</v>
      </c>
      <c r="H94" s="151" t="s">
        <v>693</v>
      </c>
      <c r="I94" s="165"/>
    </row>
    <row r="95" spans="7:9" x14ac:dyDescent="0.2">
      <c r="G95" s="151">
        <v>94</v>
      </c>
      <c r="H95" s="151" t="s">
        <v>694</v>
      </c>
      <c r="I95" s="165"/>
    </row>
    <row r="96" spans="7:9" x14ac:dyDescent="0.2">
      <c r="G96" s="151">
        <v>95</v>
      </c>
      <c r="H96" s="151" t="s">
        <v>695</v>
      </c>
      <c r="I96" s="165"/>
    </row>
    <row r="97" spans="7:9" x14ac:dyDescent="0.2">
      <c r="G97" s="151">
        <v>96</v>
      </c>
      <c r="H97" s="151" t="s">
        <v>696</v>
      </c>
      <c r="I97" s="165"/>
    </row>
    <row r="98" spans="7:9" x14ac:dyDescent="0.2">
      <c r="G98" s="151">
        <v>97</v>
      </c>
      <c r="H98" s="151" t="s">
        <v>697</v>
      </c>
      <c r="I98" s="165"/>
    </row>
  </sheetData>
  <pageMargins left="0.7" right="0.7" top="0.75" bottom="0.75" header="0.3" footer="0.3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 fitToPage="1"/>
  </sheetPr>
  <dimension ref="A1:FIO452"/>
  <sheetViews>
    <sheetView zoomScaleNormal="100" zoomScaleSheetLayoutView="100" workbookViewId="0">
      <selection activeCell="H7" sqref="H7"/>
    </sheetView>
  </sheetViews>
  <sheetFormatPr defaultColWidth="9.140625" defaultRowHeight="12.75" x14ac:dyDescent="0.2"/>
  <cols>
    <col min="1" max="1" width="9.140625" style="298"/>
    <col min="2" max="2" width="11.7109375" style="321" customWidth="1"/>
    <col min="3" max="3" width="19.7109375" style="298" customWidth="1"/>
    <col min="4" max="4" width="24.5703125" style="298" customWidth="1"/>
    <col min="5" max="5" width="17.7109375" style="298" customWidth="1"/>
    <col min="6" max="7" width="18.7109375" style="298" customWidth="1"/>
    <col min="8" max="11" width="9.140625" style="298"/>
    <col min="12" max="21" width="0" style="298" hidden="1" customWidth="1"/>
    <col min="22" max="16384" width="9.140625" style="298"/>
  </cols>
  <sheetData>
    <row r="1" spans="1:25 4305:4305" x14ac:dyDescent="0.2">
      <c r="A1" s="297"/>
      <c r="J1" s="442"/>
      <c r="K1" s="442"/>
      <c r="L1" s="443" t="s">
        <v>585</v>
      </c>
      <c r="M1" s="443" t="s">
        <v>592</v>
      </c>
      <c r="N1" s="443" t="s">
        <v>586</v>
      </c>
      <c r="O1" s="443"/>
      <c r="P1" s="443"/>
      <c r="Q1" s="443"/>
      <c r="R1" s="443"/>
      <c r="S1" s="443" t="s">
        <v>593</v>
      </c>
      <c r="T1" s="443" t="s">
        <v>594</v>
      </c>
      <c r="U1" s="443"/>
      <c r="V1" s="443"/>
      <c r="W1" s="443"/>
      <c r="X1" s="443"/>
      <c r="Y1" s="442"/>
    </row>
    <row r="2" spans="1:25 4305:4305" ht="15" customHeight="1" x14ac:dyDescent="0.2">
      <c r="B2" s="697" t="str">
        <f>"Patient: "&amp;__2_AchterNaam&amp;", "&amp;__3_VoorNaam</f>
        <v xml:space="preserve">Patient: , </v>
      </c>
      <c r="C2" s="697"/>
      <c r="D2" s="697"/>
      <c r="E2" s="697" t="str">
        <f ca="1">"Geschatte lengte: "&amp;VLOOKUP(C5+D5/12,PedTblLengte!A2:D45,4)&amp;" cm"</f>
        <v>Geschatte lengte: 175,15 cm</v>
      </c>
      <c r="F2" s="697"/>
      <c r="G2" s="697"/>
      <c r="J2" s="442"/>
      <c r="K2" s="442"/>
      <c r="L2" s="443">
        <v>0</v>
      </c>
      <c r="M2" s="443">
        <v>40</v>
      </c>
      <c r="N2" s="443">
        <v>3.5</v>
      </c>
      <c r="O2" s="443">
        <v>0</v>
      </c>
      <c r="P2" s="443">
        <v>3.5</v>
      </c>
      <c r="Q2" s="443">
        <v>51</v>
      </c>
      <c r="R2" s="443"/>
      <c r="S2" s="443">
        <v>1</v>
      </c>
      <c r="T2" s="443">
        <v>1</v>
      </c>
      <c r="U2" s="443">
        <v>1</v>
      </c>
      <c r="V2" s="443"/>
      <c r="W2" s="443"/>
      <c r="X2" s="443"/>
      <c r="Y2" s="442"/>
      <c r="FIO2" s="298">
        <v>30</v>
      </c>
    </row>
    <row r="3" spans="1:25 4305:4305" ht="15" customHeight="1" x14ac:dyDescent="0.2">
      <c r="B3" s="697" t="str">
        <f>"Geb datum.: "</f>
        <v xml:space="preserve">Geb datum.: </v>
      </c>
      <c r="C3" s="585">
        <f>__4_GebDatum</f>
        <v>1462</v>
      </c>
      <c r="D3" s="697"/>
      <c r="E3" s="697" t="str">
        <f ca="1">"Geschat gewicht: "&amp;VLOOKUP(C5+D5/12,PedTblGew!A2:T49,20)&amp;" kg"</f>
        <v>Geschat gewicht: 66,1 kg</v>
      </c>
      <c r="F3" s="586"/>
      <c r="G3" s="697"/>
      <c r="J3" s="442"/>
      <c r="K3" s="442"/>
      <c r="L3" s="443">
        <v>1</v>
      </c>
      <c r="M3" s="443">
        <v>30</v>
      </c>
      <c r="N3" s="443">
        <v>4.5</v>
      </c>
      <c r="O3" s="443">
        <v>1</v>
      </c>
      <c r="P3" s="443">
        <v>4.2</v>
      </c>
      <c r="Q3" s="443">
        <v>54</v>
      </c>
      <c r="R3" s="443"/>
      <c r="S3" s="443">
        <v>2</v>
      </c>
      <c r="T3" s="443">
        <v>2</v>
      </c>
      <c r="U3" s="443">
        <v>2</v>
      </c>
      <c r="V3" s="443"/>
      <c r="W3" s="443"/>
      <c r="X3" s="443"/>
      <c r="Y3" s="442"/>
    </row>
    <row r="4" spans="1:25 4305:4305" ht="15.75" customHeight="1" x14ac:dyDescent="0.2">
      <c r="B4" s="566"/>
      <c r="C4" s="587" t="s">
        <v>322</v>
      </c>
      <c r="D4" s="587" t="s">
        <v>323</v>
      </c>
      <c r="E4" s="587" t="s">
        <v>207</v>
      </c>
      <c r="F4" s="587" t="s">
        <v>95</v>
      </c>
      <c r="G4" s="587" t="s">
        <v>43</v>
      </c>
      <c r="J4" s="444"/>
      <c r="K4" s="444"/>
      <c r="L4" s="443">
        <v>2</v>
      </c>
      <c r="M4" s="443">
        <v>25</v>
      </c>
      <c r="N4" s="443">
        <v>4.5</v>
      </c>
      <c r="O4" s="443">
        <v>2</v>
      </c>
      <c r="P4" s="443">
        <v>5</v>
      </c>
      <c r="Q4" s="443">
        <v>57</v>
      </c>
      <c r="R4" s="443"/>
      <c r="S4" s="443">
        <v>3</v>
      </c>
      <c r="T4" s="443">
        <v>3</v>
      </c>
      <c r="U4" s="443">
        <v>3</v>
      </c>
      <c r="V4" s="443"/>
      <c r="W4" s="443"/>
      <c r="X4" s="443"/>
      <c r="Y4" s="442"/>
    </row>
    <row r="5" spans="1:25 4305:4305" ht="15" customHeight="1" x14ac:dyDescent="0.2">
      <c r="B5" s="566"/>
      <c r="C5" s="587">
        <f ca="1">TRUNC((Var_AfspraakDatum-__4_GebDatum)/365,0)</f>
        <v>114</v>
      </c>
      <c r="D5" s="587">
        <f ca="1">TRUNC(((Var_AfspraakDatum-__4_GebDatum)-365*TRUNC((Var_AfspraakDatum-__4_GebDatum)/365,0))/30,0)</f>
        <v>11</v>
      </c>
      <c r="E5" s="587">
        <f>_Pat_Gewicht</f>
        <v>0</v>
      </c>
      <c r="F5" s="587">
        <f>_Pat_Lengte</f>
        <v>0</v>
      </c>
      <c r="G5" s="587">
        <f>ROUND(POWER(E5,0.5378)*POWER(F5,0.3964)*0.024265,2)</f>
        <v>0</v>
      </c>
      <c r="J5" s="444"/>
      <c r="K5" s="444"/>
      <c r="L5" s="443">
        <v>3</v>
      </c>
      <c r="M5" s="443">
        <v>25</v>
      </c>
      <c r="N5" s="443">
        <v>5</v>
      </c>
      <c r="O5" s="443">
        <v>3</v>
      </c>
      <c r="P5" s="443">
        <v>5.7</v>
      </c>
      <c r="Q5" s="443">
        <v>60</v>
      </c>
      <c r="R5" s="443"/>
      <c r="S5" s="443">
        <v>4</v>
      </c>
      <c r="T5" s="443">
        <v>3</v>
      </c>
      <c r="U5" s="443"/>
      <c r="V5" s="443"/>
      <c r="W5" s="443"/>
      <c r="X5" s="443"/>
      <c r="Y5" s="442"/>
    </row>
    <row r="6" spans="1:25 4305:4305" ht="15" customHeight="1" x14ac:dyDescent="0.2">
      <c r="A6" s="297"/>
      <c r="C6" s="342"/>
      <c r="D6" s="342"/>
      <c r="E6" s="342"/>
      <c r="F6" s="342"/>
      <c r="G6" s="342"/>
      <c r="J6" s="444"/>
      <c r="K6" s="444"/>
      <c r="L6" s="443">
        <v>4</v>
      </c>
      <c r="M6" s="443">
        <v>25</v>
      </c>
      <c r="N6" s="443">
        <v>5</v>
      </c>
      <c r="O6" s="443">
        <v>4</v>
      </c>
      <c r="P6" s="443">
        <v>6.5</v>
      </c>
      <c r="Q6" s="443">
        <v>63</v>
      </c>
      <c r="R6" s="443"/>
      <c r="S6" s="443">
        <v>5</v>
      </c>
      <c r="T6" s="443">
        <v>5</v>
      </c>
      <c r="U6" s="443">
        <v>5</v>
      </c>
      <c r="V6" s="443"/>
      <c r="W6" s="443"/>
      <c r="X6" s="443"/>
      <c r="Y6" s="442"/>
    </row>
    <row r="7" spans="1:25 4305:4305" ht="20.100000000000001" customHeight="1" thickBot="1" x14ac:dyDescent="0.25">
      <c r="B7" s="609" t="s">
        <v>238</v>
      </c>
      <c r="C7" s="598" t="s">
        <v>44</v>
      </c>
      <c r="D7" s="437" t="str">
        <f ca="1">"Maat: "&amp;VLOOKUP(C5,L2:N20,3)&amp;", Lengte: "&amp;IF(C5&gt;1,ROUND((C5/2+15)/2,0)*2,IF(C5=0,12,15))&amp;" cm"&amp;" nasaal, "&amp;ROUND((C5/2+12)/2,0)*2&amp;" cm oraal"</f>
        <v>Maat: 7, Lengte: 72 cm nasaal, 70 cm oraal</v>
      </c>
      <c r="E7" s="437"/>
      <c r="F7" s="437"/>
      <c r="G7" s="445"/>
      <c r="J7" s="442"/>
      <c r="K7" s="442"/>
      <c r="L7" s="443">
        <v>5</v>
      </c>
      <c r="M7" s="443">
        <v>25</v>
      </c>
      <c r="N7" s="443">
        <v>5.5</v>
      </c>
      <c r="O7" s="443">
        <v>5</v>
      </c>
      <c r="P7" s="443">
        <v>7</v>
      </c>
      <c r="Q7" s="443">
        <v>65</v>
      </c>
      <c r="R7" s="443"/>
      <c r="S7" s="443">
        <v>6</v>
      </c>
      <c r="T7" s="443">
        <v>5</v>
      </c>
      <c r="U7" s="443"/>
      <c r="V7" s="443"/>
      <c r="W7" s="443"/>
      <c r="X7" s="443"/>
      <c r="Y7" s="442"/>
    </row>
    <row r="8" spans="1:25 4305:4305" ht="20.100000000000001" customHeight="1" thickTop="1" thickBot="1" x14ac:dyDescent="0.25">
      <c r="B8" s="609"/>
      <c r="C8" s="598" t="s">
        <v>45</v>
      </c>
      <c r="D8" s="430" t="str">
        <f>IF(_Pat_Gewicht&gt;0,IF(ROUND((E5)*4,0)&gt;150,150,VLOOKUP(ROUND(E5*4,0),S2:T362,2))&amp;" Joules Asynchroon","")</f>
        <v/>
      </c>
      <c r="E8" s="430"/>
      <c r="F8" s="430"/>
      <c r="G8" s="457" t="s">
        <v>0</v>
      </c>
      <c r="J8" s="442"/>
      <c r="K8" s="442"/>
      <c r="L8" s="443">
        <v>6</v>
      </c>
      <c r="M8" s="443">
        <v>20</v>
      </c>
      <c r="N8" s="443">
        <v>5.5</v>
      </c>
      <c r="O8" s="443">
        <v>6</v>
      </c>
      <c r="P8" s="443">
        <v>7.7</v>
      </c>
      <c r="Q8" s="443">
        <v>67</v>
      </c>
      <c r="R8" s="443"/>
      <c r="S8" s="443">
        <v>7</v>
      </c>
      <c r="T8" s="443">
        <v>7</v>
      </c>
      <c r="U8" s="443">
        <v>7</v>
      </c>
      <c r="V8" s="443"/>
      <c r="W8" s="443"/>
      <c r="X8" s="443"/>
      <c r="Y8" s="442"/>
    </row>
    <row r="9" spans="1:25 4305:4305" ht="20.100000000000001" customHeight="1" thickTop="1" thickBot="1" x14ac:dyDescent="0.25">
      <c r="B9" s="609"/>
      <c r="C9" s="598" t="s">
        <v>91</v>
      </c>
      <c r="D9" s="430" t="str">
        <f ca="1">IF(OR(ROUND(0.01*(E5),2)&gt;1,C5&gt;=18),"1 mg iv",ROUND(0.01*(E5),2)&amp;" mg iv")</f>
        <v>1 mg iv</v>
      </c>
      <c r="E9" s="430" t="str">
        <f>"= "&amp;IF(ROUND(0.01*(E5),2)&gt;1,"1 ml van 1mg = 10 ml (1:10.000)",ROUND(0.1*(E5),1)&amp;" ml van 1mg = 10 ml (1:10.000)")</f>
        <v>= 0 ml van 1mg = 10 ml (1:10.000)</v>
      </c>
      <c r="F9" s="430"/>
      <c r="G9" s="457" t="s">
        <v>1</v>
      </c>
      <c r="J9" s="442"/>
      <c r="K9" s="442"/>
      <c r="L9" s="443">
        <v>7</v>
      </c>
      <c r="M9" s="443">
        <v>20</v>
      </c>
      <c r="N9" s="443">
        <v>6</v>
      </c>
      <c r="O9" s="443">
        <v>7</v>
      </c>
      <c r="P9" s="443">
        <v>8.1999999999999993</v>
      </c>
      <c r="Q9" s="443">
        <v>69</v>
      </c>
      <c r="R9" s="443"/>
      <c r="S9" s="443">
        <v>8</v>
      </c>
      <c r="T9" s="443">
        <v>7</v>
      </c>
      <c r="U9" s="443"/>
      <c r="V9" s="443"/>
      <c r="W9" s="443"/>
      <c r="X9" s="443"/>
      <c r="Y9" s="442"/>
    </row>
    <row r="10" spans="1:25 4305:4305" ht="20.100000000000001" customHeight="1" thickTop="1" thickBot="1" x14ac:dyDescent="0.25">
      <c r="B10" s="609"/>
      <c r="C10" s="598" t="s">
        <v>46</v>
      </c>
      <c r="D10" s="430" t="str">
        <f>ROUND(IF(E5&gt;50,50,0.5*E5),0)&amp;" ml iv"</f>
        <v>0 ml iv</v>
      </c>
      <c r="E10" s="430"/>
      <c r="F10" s="430"/>
      <c r="G10" s="457" t="s">
        <v>2</v>
      </c>
      <c r="J10" s="442"/>
      <c r="K10" s="442"/>
      <c r="L10" s="443">
        <v>8</v>
      </c>
      <c r="M10" s="443">
        <v>20</v>
      </c>
      <c r="N10" s="443">
        <v>6</v>
      </c>
      <c r="O10" s="443">
        <v>8</v>
      </c>
      <c r="P10" s="443">
        <v>8.5</v>
      </c>
      <c r="Q10" s="443">
        <v>70</v>
      </c>
      <c r="R10" s="443"/>
      <c r="S10" s="443">
        <v>9</v>
      </c>
      <c r="T10" s="443">
        <v>7</v>
      </c>
      <c r="U10" s="443"/>
      <c r="V10" s="443"/>
      <c r="W10" s="443"/>
      <c r="X10" s="443"/>
      <c r="Y10" s="442"/>
    </row>
    <row r="11" spans="1:25 4305:4305" ht="20.100000000000001" customHeight="1" thickTop="1" thickBot="1" x14ac:dyDescent="0.25">
      <c r="B11" s="609"/>
      <c r="C11" s="598" t="s">
        <v>140</v>
      </c>
      <c r="D11" s="430" t="str">
        <f>IF(0.2*E5&lt;=25,0.2*E5&amp;" gram iv","25 gram iv")</f>
        <v>0 gram iv</v>
      </c>
      <c r="E11" s="430" t="str">
        <f>"="&amp;" "&amp;IF(2*E5&lt;=250,ROUND(2*E5,0)&amp;" ml glucose 10%","250 ml glucose 10%")</f>
        <v>= 0 ml glucose 10%</v>
      </c>
      <c r="F11" s="430"/>
      <c r="G11" s="457" t="s">
        <v>3</v>
      </c>
      <c r="J11" s="442"/>
      <c r="K11" s="442"/>
      <c r="L11" s="443">
        <v>9</v>
      </c>
      <c r="M11" s="443">
        <v>20</v>
      </c>
      <c r="N11" s="443">
        <v>6.5</v>
      </c>
      <c r="O11" s="443">
        <v>9</v>
      </c>
      <c r="P11" s="443">
        <v>9</v>
      </c>
      <c r="Q11" s="443">
        <v>72</v>
      </c>
      <c r="R11" s="443"/>
      <c r="S11" s="443">
        <v>10</v>
      </c>
      <c r="T11" s="443">
        <v>10</v>
      </c>
      <c r="U11" s="443">
        <v>10</v>
      </c>
      <c r="V11" s="443"/>
      <c r="W11" s="443"/>
      <c r="X11" s="443"/>
      <c r="Y11" s="442"/>
    </row>
    <row r="12" spans="1:25 4305:4305" ht="20.100000000000001" customHeight="1" thickTop="1" thickBot="1" x14ac:dyDescent="0.25">
      <c r="B12" s="609"/>
      <c r="C12" s="598" t="s">
        <v>47</v>
      </c>
      <c r="D12" s="415" t="str">
        <f>IF(ROUND(20*E5/10,0)*10&gt;500,500,ROUND(20*E5/10,0)*10)&amp;" ml fysiologisch zout iv per bolus"</f>
        <v>0 ml fysiologisch zout iv per bolus</v>
      </c>
      <c r="E12" s="415"/>
      <c r="F12" s="415"/>
      <c r="G12" s="456" t="s">
        <v>4</v>
      </c>
      <c r="J12" s="442"/>
      <c r="K12" s="442"/>
      <c r="L12" s="443">
        <v>10</v>
      </c>
      <c r="M12" s="443">
        <v>20</v>
      </c>
      <c r="N12" s="443">
        <v>6.5</v>
      </c>
      <c r="O12" s="443">
        <v>10</v>
      </c>
      <c r="P12" s="443">
        <v>9.3000000000000007</v>
      </c>
      <c r="Q12" s="443">
        <v>73</v>
      </c>
      <c r="R12" s="443"/>
      <c r="S12" s="443">
        <v>11</v>
      </c>
      <c r="T12" s="443">
        <v>10</v>
      </c>
      <c r="U12" s="443"/>
      <c r="V12" s="443"/>
      <c r="W12" s="443"/>
      <c r="X12" s="443"/>
      <c r="Y12" s="442"/>
    </row>
    <row r="13" spans="1:25 4305:4305" ht="20.100000000000001" customHeight="1" thickTop="1" x14ac:dyDescent="0.2">
      <c r="D13" s="295"/>
      <c r="G13" s="344"/>
      <c r="J13" s="442"/>
      <c r="K13" s="442"/>
      <c r="L13" s="443">
        <v>11</v>
      </c>
      <c r="M13" s="443">
        <v>20</v>
      </c>
      <c r="N13" s="443">
        <v>7</v>
      </c>
      <c r="O13" s="443">
        <v>11</v>
      </c>
      <c r="P13" s="443">
        <v>9.5</v>
      </c>
      <c r="Q13" s="443">
        <v>74</v>
      </c>
      <c r="R13" s="443"/>
      <c r="S13" s="443">
        <v>12</v>
      </c>
      <c r="T13" s="443">
        <v>10</v>
      </c>
      <c r="U13" s="443"/>
      <c r="V13" s="443"/>
      <c r="W13" s="443"/>
      <c r="X13" s="443"/>
      <c r="Y13" s="442"/>
    </row>
    <row r="14" spans="1:25 4305:4305" ht="20.100000000000001" customHeight="1" thickBot="1" x14ac:dyDescent="0.25">
      <c r="B14" s="609" t="s">
        <v>294</v>
      </c>
      <c r="C14" s="598" t="s">
        <v>246</v>
      </c>
      <c r="D14" s="437" t="str">
        <f>IF(0.5*E5&gt;20,"20 mg iv",0.5*E5&amp;" mg iv")</f>
        <v>0 mg iv</v>
      </c>
      <c r="E14" s="437" t="str">
        <f>"= "&amp;IF(0.5*E5&gt;20,"10 ml van een 2 mg/ml oplossing",ROUND(0.5*E5*0.5,1)&amp;" ml van een 2 mg/ml oplossing")</f>
        <v>= 0 ml van een 2 mg/ml oplossing</v>
      </c>
      <c r="F14" s="437"/>
      <c r="G14" s="445" t="s">
        <v>5</v>
      </c>
      <c r="J14" s="442"/>
      <c r="K14" s="442"/>
      <c r="L14" s="443">
        <v>12</v>
      </c>
      <c r="M14" s="443">
        <v>15</v>
      </c>
      <c r="N14" s="443">
        <v>7</v>
      </c>
      <c r="O14" s="443">
        <v>12</v>
      </c>
      <c r="P14" s="443">
        <v>10</v>
      </c>
      <c r="Q14" s="443">
        <v>76</v>
      </c>
      <c r="R14" s="443"/>
      <c r="S14" s="443">
        <v>13</v>
      </c>
      <c r="T14" s="443">
        <v>10</v>
      </c>
      <c r="U14" s="443"/>
      <c r="V14" s="443"/>
      <c r="W14" s="443"/>
      <c r="X14" s="443"/>
      <c r="Y14" s="442"/>
    </row>
    <row r="15" spans="1:25 4305:4305" ht="20.100000000000001" customHeight="1" thickTop="1" thickBot="1" x14ac:dyDescent="0.25">
      <c r="B15" s="609"/>
      <c r="C15" s="598" t="s">
        <v>206</v>
      </c>
      <c r="D15" s="430" t="str">
        <f>IF(ROUND(1*(E5),1)&gt;100,"100 mg iv",ROUND(1*(E5),1)&amp;" mg iv")</f>
        <v>0 mg iv</v>
      </c>
      <c r="E15" s="430" t="str">
        <f>"= "&amp;IF(ROUND(1*(E5),1)&gt;100,"10 ml"&amp;" van een 1mg/ml oplossing",ROUND(0.1*(E5),1)&amp;" ml"&amp;" van een 10 mg/ml oplossing")</f>
        <v>= 0 ml van een 10 mg/ml oplossing</v>
      </c>
      <c r="F15" s="430"/>
      <c r="G15" s="457" t="s">
        <v>6</v>
      </c>
      <c r="J15" s="442"/>
      <c r="K15" s="442"/>
      <c r="L15" s="443">
        <v>13</v>
      </c>
      <c r="M15" s="443">
        <v>15</v>
      </c>
      <c r="N15" s="443">
        <v>7</v>
      </c>
      <c r="O15" s="443"/>
      <c r="P15" s="443"/>
      <c r="Q15" s="443"/>
      <c r="R15" s="443"/>
      <c r="S15" s="443">
        <v>14</v>
      </c>
      <c r="T15" s="443">
        <v>10</v>
      </c>
      <c r="U15" s="443"/>
      <c r="V15" s="443"/>
      <c r="W15" s="443"/>
      <c r="X15" s="443"/>
      <c r="Y15" s="442"/>
    </row>
    <row r="16" spans="1:25 4305:4305" ht="20.100000000000001" customHeight="1" thickTop="1" thickBot="1" x14ac:dyDescent="0.25">
      <c r="B16" s="609"/>
      <c r="C16" s="598" t="s">
        <v>247</v>
      </c>
      <c r="D16" s="430" t="str">
        <f>IF(ROUND(0.02*(E5),1)&lt;0.1,"0,1 mg iv",IF(ROUND(0.02*(E5),1)&gt;0.5,"0,5 mg iv",ROUND(0.02*(E5),1)&amp;" mg iv"))</f>
        <v>0,1 mg iv</v>
      </c>
      <c r="E16" s="833" t="str">
        <f>"= "&amp;IF(ROUND(0.02*(E5),1)&lt;0.1,0.1,IF(ROUND(0.02*(E5),1)&gt;0.5,0.5,ROUND(0.02*(E5),1)))*2&amp;" ml van 0,5 mg/ml (min 0,1 mg)"</f>
        <v>= 0,2 ml van 0,5 mg/ml (min 0,1 mg)</v>
      </c>
      <c r="F16" s="833"/>
      <c r="G16" s="457" t="s">
        <v>7</v>
      </c>
      <c r="J16" s="442"/>
      <c r="K16" s="442"/>
      <c r="L16" s="443">
        <v>14</v>
      </c>
      <c r="M16" s="443">
        <v>15</v>
      </c>
      <c r="N16" s="443">
        <v>7</v>
      </c>
      <c r="O16" s="443"/>
      <c r="P16" s="443"/>
      <c r="Q16" s="443"/>
      <c r="R16" s="443"/>
      <c r="S16" s="443">
        <v>15</v>
      </c>
      <c r="T16" s="443">
        <v>10</v>
      </c>
      <c r="U16" s="443"/>
      <c r="V16" s="443"/>
      <c r="W16" s="443"/>
      <c r="X16" s="443"/>
      <c r="Y16" s="442"/>
    </row>
    <row r="17" spans="2:25" ht="20.100000000000001" customHeight="1" thickTop="1" thickBot="1" x14ac:dyDescent="0.25">
      <c r="B17" s="609"/>
      <c r="C17" s="598"/>
      <c r="D17" s="415"/>
      <c r="E17" s="834"/>
      <c r="F17" s="834"/>
      <c r="G17" s="456"/>
      <c r="J17" s="442"/>
      <c r="K17" s="442"/>
      <c r="L17" s="443">
        <v>15</v>
      </c>
      <c r="M17" s="443">
        <v>15</v>
      </c>
      <c r="N17" s="443">
        <v>7</v>
      </c>
      <c r="O17" s="443"/>
      <c r="P17" s="443"/>
      <c r="Q17" s="443"/>
      <c r="R17" s="443"/>
      <c r="S17" s="443">
        <v>16</v>
      </c>
      <c r="T17" s="443">
        <v>20</v>
      </c>
      <c r="U17" s="443"/>
      <c r="V17" s="443"/>
      <c r="W17" s="443"/>
      <c r="X17" s="443"/>
      <c r="Y17" s="442"/>
    </row>
    <row r="18" spans="2:25" ht="15.75" customHeight="1" thickTop="1" x14ac:dyDescent="0.2">
      <c r="C18" s="343"/>
      <c r="D18" s="295"/>
      <c r="E18" s="345"/>
      <c r="F18" s="345"/>
      <c r="G18" s="344"/>
      <c r="H18" s="346"/>
      <c r="I18" s="346"/>
      <c r="J18" s="446"/>
      <c r="K18" s="442"/>
      <c r="L18" s="443">
        <v>16</v>
      </c>
      <c r="M18" s="443">
        <v>15</v>
      </c>
      <c r="N18" s="443">
        <v>7</v>
      </c>
      <c r="O18" s="443"/>
      <c r="P18" s="443"/>
      <c r="Q18" s="443"/>
      <c r="R18" s="443"/>
      <c r="S18" s="443">
        <v>17</v>
      </c>
      <c r="T18" s="443">
        <v>20</v>
      </c>
      <c r="U18" s="443"/>
      <c r="V18" s="443"/>
      <c r="W18" s="443"/>
      <c r="X18" s="443"/>
      <c r="Y18" s="442"/>
    </row>
    <row r="19" spans="2:25" ht="20.100000000000001" customHeight="1" thickBot="1" x14ac:dyDescent="0.25">
      <c r="B19" s="609" t="s">
        <v>202</v>
      </c>
      <c r="C19" s="598" t="s">
        <v>74</v>
      </c>
      <c r="D19" s="437" t="str">
        <f>IF(0.02*E5&gt;0.3,"0,3 mg iv",0.02*E5&amp;" mg iv")</f>
        <v>0 mg iv</v>
      </c>
      <c r="E19" s="437" t="str">
        <f>"= "&amp;IF(0.02*E5&gt;1,"10 ml van anexate 0,1 mg/ml",ROUND((0.02*E5)/0.1,1)&amp;" ml van anexate 0,1 mg/ml")</f>
        <v>= 0 ml van anexate 0,1 mg/ml</v>
      </c>
      <c r="F19" s="437"/>
      <c r="G19" s="445" t="s">
        <v>8</v>
      </c>
      <c r="H19" s="346"/>
      <c r="I19" s="346"/>
      <c r="J19" s="446"/>
      <c r="K19" s="442"/>
      <c r="L19" s="443">
        <v>17</v>
      </c>
      <c r="M19" s="443">
        <v>15</v>
      </c>
      <c r="N19" s="443">
        <v>7</v>
      </c>
      <c r="O19" s="443"/>
      <c r="P19" s="443"/>
      <c r="Q19" s="443"/>
      <c r="R19" s="443"/>
      <c r="S19" s="443">
        <v>18</v>
      </c>
      <c r="T19" s="443">
        <v>20</v>
      </c>
      <c r="U19" s="443"/>
      <c r="V19" s="443"/>
      <c r="W19" s="443"/>
      <c r="X19" s="443"/>
      <c r="Y19" s="442"/>
    </row>
    <row r="20" spans="2:25" ht="20.100000000000001" customHeight="1" thickTop="1" thickBot="1" x14ac:dyDescent="0.25">
      <c r="B20" s="609"/>
      <c r="C20" s="598" t="s">
        <v>248</v>
      </c>
      <c r="D20" s="430" t="str">
        <f>IF(0.01*E5&gt;0.4,"0,4 mg iv",0.01*E5&amp;" mg iv")</f>
        <v>0 mg iv</v>
      </c>
      <c r="E20" s="833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33"/>
      <c r="G20" s="457" t="s">
        <v>9</v>
      </c>
      <c r="J20" s="442"/>
      <c r="K20" s="442"/>
      <c r="L20" s="443">
        <v>18</v>
      </c>
      <c r="M20" s="443">
        <v>15</v>
      </c>
      <c r="N20" s="443">
        <v>7</v>
      </c>
      <c r="O20" s="443"/>
      <c r="P20" s="443"/>
      <c r="Q20" s="443"/>
      <c r="R20" s="443"/>
      <c r="S20" s="443">
        <v>19</v>
      </c>
      <c r="T20" s="443">
        <v>20</v>
      </c>
      <c r="U20" s="443"/>
      <c r="V20" s="443"/>
      <c r="W20" s="443"/>
      <c r="X20" s="443"/>
      <c r="Y20" s="442"/>
    </row>
    <row r="21" spans="2:25" ht="20.100000000000001" customHeight="1" thickTop="1" thickBot="1" x14ac:dyDescent="0.25">
      <c r="B21" s="609"/>
      <c r="C21" s="598"/>
      <c r="D21" s="415"/>
      <c r="E21" s="834"/>
      <c r="F21" s="834"/>
      <c r="G21" s="456"/>
      <c r="J21" s="442"/>
      <c r="K21" s="442"/>
      <c r="L21" s="443"/>
      <c r="M21" s="443"/>
      <c r="N21" s="443"/>
      <c r="O21" s="443"/>
      <c r="P21" s="443"/>
      <c r="Q21" s="443"/>
      <c r="R21" s="443"/>
      <c r="S21" s="443">
        <v>20</v>
      </c>
      <c r="T21" s="443">
        <v>20</v>
      </c>
      <c r="U21" s="443">
        <v>20</v>
      </c>
      <c r="V21" s="443"/>
      <c r="W21" s="443"/>
      <c r="X21" s="443"/>
      <c r="Y21" s="442"/>
    </row>
    <row r="22" spans="2:25" ht="20.100000000000001" customHeight="1" thickTop="1" x14ac:dyDescent="0.2">
      <c r="C22" s="343"/>
      <c r="D22" s="295"/>
      <c r="E22" s="345"/>
      <c r="F22" s="345"/>
      <c r="G22" s="344"/>
      <c r="J22" s="442"/>
      <c r="K22" s="442"/>
      <c r="L22" s="443"/>
      <c r="M22" s="443"/>
      <c r="N22" s="443"/>
      <c r="O22" s="443"/>
      <c r="P22" s="443"/>
      <c r="Q22" s="443"/>
      <c r="R22" s="443"/>
      <c r="S22" s="443">
        <v>21</v>
      </c>
      <c r="T22" s="443">
        <v>30</v>
      </c>
      <c r="U22" s="443"/>
      <c r="V22" s="443"/>
      <c r="W22" s="443"/>
      <c r="X22" s="443"/>
      <c r="Y22" s="442"/>
    </row>
    <row r="23" spans="2:25" ht="20.100000000000001" customHeight="1" thickBot="1" x14ac:dyDescent="0.25">
      <c r="B23" s="609" t="s">
        <v>203</v>
      </c>
      <c r="C23" s="598" t="str">
        <f ca="1">IF(C5=0,"alprostadil (Prostin)","")</f>
        <v/>
      </c>
      <c r="D23" s="437" t="str">
        <f ca="1">IF(C5=0,"0,5 mg in 50 ml NaCl 0.9%","")</f>
        <v/>
      </c>
      <c r="E23" s="437" t="str">
        <f ca="1">IF(C5=0,"1 ml/uur = "&amp;ROUND(1000*(0.5/50)*24/(E5)/1.44,0)&amp;" nanog/kg/min iv","")</f>
        <v/>
      </c>
      <c r="F23" s="437"/>
      <c r="G23" s="445" t="s">
        <v>241</v>
      </c>
      <c r="J23" s="442"/>
      <c r="K23" s="442"/>
      <c r="L23" s="443"/>
      <c r="M23" s="443"/>
      <c r="N23" s="443"/>
      <c r="O23" s="443"/>
      <c r="P23" s="443"/>
      <c r="Q23" s="443"/>
      <c r="R23" s="443"/>
      <c r="S23" s="443">
        <v>22</v>
      </c>
      <c r="T23" s="443">
        <v>30</v>
      </c>
      <c r="U23" s="443"/>
      <c r="V23" s="443"/>
      <c r="W23" s="443"/>
      <c r="X23" s="443"/>
      <c r="Y23" s="442"/>
    </row>
    <row r="24" spans="2:25" ht="20.100000000000001" customHeight="1" thickTop="1" thickBot="1" x14ac:dyDescent="0.25">
      <c r="B24" s="609"/>
      <c r="C24" s="598" t="s">
        <v>77</v>
      </c>
      <c r="D24" s="430" t="str">
        <f>IF(E5&gt;5,"200 mg in 50 ml NaCl 0.9%",ROUND(((E5)*24*60*(10/1000)/(24/50))/50,0)*50&amp;" mg in 50 ml NaCl 0.9%")</f>
        <v>0 mg in 50 ml NaCl 0.9%</v>
      </c>
      <c r="E24" s="430" t="str">
        <f>IF(_Pat_Gewicht&gt;0,"1 ml/uur = "&amp;IF(E5&gt;5,ROUND((200/50/E5/60)*1000,1),ROUND(24*ROUND(((E5)*24*60*(10/1000)/(24/50))/50,0)*50/50/1.44/E5,1))&amp;" mcg/kg/min","")</f>
        <v/>
      </c>
      <c r="F24" s="430"/>
      <c r="G24" s="457" t="s">
        <v>252</v>
      </c>
      <c r="J24" s="442"/>
      <c r="K24" s="442"/>
      <c r="L24" s="443"/>
      <c r="M24" s="443"/>
      <c r="N24" s="443"/>
      <c r="O24" s="443"/>
      <c r="P24" s="443"/>
      <c r="Q24" s="443"/>
      <c r="R24" s="443"/>
      <c r="S24" s="443">
        <v>23</v>
      </c>
      <c r="T24" s="443">
        <v>30</v>
      </c>
      <c r="U24" s="443"/>
      <c r="V24" s="443"/>
      <c r="W24" s="443"/>
      <c r="X24" s="443"/>
      <c r="Y24" s="442"/>
    </row>
    <row r="25" spans="2:25" ht="20.100000000000001" customHeight="1" thickTop="1" thickBot="1" x14ac:dyDescent="0.25">
      <c r="B25" s="609"/>
      <c r="C25" s="598" t="s">
        <v>78</v>
      </c>
      <c r="D25" s="415" t="str">
        <f>IF(_Pat_Gewicht/15&gt;5,"10 mg in 50 ml NaCl 0.9%",ROUND((E5)*24*60*(0.1/1000)/(24/50)/5,1)*5&amp;" mg in 50 ml NaCl 0.9%")</f>
        <v>0 mg in 50 ml NaCl 0.9%</v>
      </c>
      <c r="E25" s="415" t="str">
        <f>IF(_Pat_Gewicht&gt;0,"1 ml/uur = "&amp;IF(E5&gt;5,ROUND((10/50/E5/60)*1000,2),ROUND(24*ROUND((E5)*24*60*(0.1/1000)/(24/50)/5,1)*5/50/1.44/E5,2))&amp;" mcg/kg/min","")</f>
        <v/>
      </c>
      <c r="F25" s="415"/>
      <c r="G25" s="456" t="s">
        <v>301</v>
      </c>
      <c r="J25" s="442"/>
      <c r="K25" s="442"/>
      <c r="L25" s="443"/>
      <c r="M25" s="443"/>
      <c r="N25" s="443"/>
      <c r="O25" s="443"/>
      <c r="P25" s="443"/>
      <c r="Q25" s="443"/>
      <c r="R25" s="443"/>
      <c r="S25" s="443">
        <v>24</v>
      </c>
      <c r="T25" s="443">
        <v>30</v>
      </c>
      <c r="U25" s="443"/>
      <c r="V25" s="443"/>
      <c r="W25" s="443"/>
      <c r="X25" s="443"/>
      <c r="Y25" s="442"/>
    </row>
    <row r="26" spans="2:25" ht="20.100000000000001" customHeight="1" thickTop="1" x14ac:dyDescent="0.2">
      <c r="D26" s="295"/>
      <c r="G26" s="344"/>
      <c r="J26" s="442"/>
      <c r="K26" s="442"/>
      <c r="L26" s="443"/>
      <c r="M26" s="443"/>
      <c r="N26" s="443"/>
      <c r="O26" s="443"/>
      <c r="P26" s="443"/>
      <c r="Q26" s="443"/>
      <c r="R26" s="443"/>
      <c r="S26" s="443">
        <v>25</v>
      </c>
      <c r="T26" s="443">
        <v>30</v>
      </c>
      <c r="U26" s="443"/>
      <c r="V26" s="443"/>
      <c r="W26" s="443"/>
      <c r="X26" s="443"/>
      <c r="Y26" s="442"/>
    </row>
    <row r="27" spans="2:25" ht="20.100000000000001" customHeight="1" thickBot="1" x14ac:dyDescent="0.25">
      <c r="B27" s="831" t="s">
        <v>6983</v>
      </c>
      <c r="C27" s="598" t="s">
        <v>329</v>
      </c>
      <c r="D27" s="437" t="str">
        <f>IF(ROUND(E5/2,0)*2&gt;50,"300 mg iv",ROUND(E5*5,0)&amp;" mg iv")</f>
        <v>0 mg iv</v>
      </c>
      <c r="E27" s="437" t="str">
        <f>IF(ROUND(E5/2,0)*2&gt;50,"6 ml van amiodarone 50 mg/ml iv",ROUND(E5*0.1,1)&amp;" ml van amiodarone 50 mg/ml iv")</f>
        <v>0 ml van amiodarone 50 mg/ml iv</v>
      </c>
      <c r="F27" s="437"/>
      <c r="G27" s="445" t="s">
        <v>10</v>
      </c>
      <c r="J27" s="442"/>
      <c r="K27" s="442"/>
      <c r="L27" s="443"/>
      <c r="M27" s="443"/>
      <c r="N27" s="443"/>
      <c r="O27" s="443"/>
      <c r="P27" s="443"/>
      <c r="Q27" s="443"/>
      <c r="R27" s="443"/>
      <c r="S27" s="443">
        <v>26</v>
      </c>
      <c r="T27" s="443">
        <v>30</v>
      </c>
      <c r="U27" s="443"/>
      <c r="V27" s="443"/>
      <c r="W27" s="443"/>
      <c r="X27" s="443"/>
      <c r="Y27" s="442"/>
    </row>
    <row r="28" spans="2:25" ht="20.100000000000001" customHeight="1" thickTop="1" thickBot="1" x14ac:dyDescent="0.25">
      <c r="B28" s="832"/>
      <c r="C28" s="598" t="s">
        <v>237</v>
      </c>
      <c r="D28" s="415" t="str">
        <f>IF(E5/10&gt;10,"10 ml iv",E5/10 &amp;" ml iv")</f>
        <v>0 ml iv</v>
      </c>
      <c r="E28" s="415" t="s">
        <v>178</v>
      </c>
      <c r="F28" s="415"/>
      <c r="G28" s="456" t="s">
        <v>11</v>
      </c>
      <c r="J28" s="442"/>
      <c r="K28" s="442"/>
      <c r="L28" s="443"/>
      <c r="M28" s="443"/>
      <c r="N28" s="443"/>
      <c r="O28" s="443"/>
      <c r="P28" s="443"/>
      <c r="Q28" s="443"/>
      <c r="R28" s="443"/>
      <c r="S28" s="443">
        <v>27</v>
      </c>
      <c r="T28" s="443">
        <v>30</v>
      </c>
      <c r="U28" s="443"/>
      <c r="V28" s="443"/>
      <c r="W28" s="443"/>
      <c r="X28" s="443"/>
      <c r="Y28" s="442"/>
    </row>
    <row r="29" spans="2:25" ht="20.100000000000001" customHeight="1" thickTop="1" x14ac:dyDescent="0.2">
      <c r="D29" s="295"/>
      <c r="G29" s="344"/>
      <c r="J29" s="442"/>
      <c r="K29" s="442"/>
      <c r="L29" s="443"/>
      <c r="M29" s="443"/>
      <c r="N29" s="443"/>
      <c r="O29" s="443"/>
      <c r="P29" s="443"/>
      <c r="Q29" s="443"/>
      <c r="R29" s="443"/>
      <c r="S29" s="443">
        <v>28</v>
      </c>
      <c r="T29" s="443">
        <v>30</v>
      </c>
      <c r="U29" s="443"/>
      <c r="V29" s="443"/>
      <c r="W29" s="443"/>
      <c r="X29" s="443"/>
      <c r="Y29" s="442"/>
    </row>
    <row r="30" spans="2:25" ht="20.100000000000001" customHeight="1" thickBot="1" x14ac:dyDescent="0.25">
      <c r="B30" s="830" t="s">
        <v>70</v>
      </c>
      <c r="C30" s="598" t="s">
        <v>79</v>
      </c>
      <c r="D30" s="437" t="str">
        <f>IF((0.5*E5)&gt;10,"10 mg rect",(0.5*E5)&amp;" mg rect")</f>
        <v>0 mg rect</v>
      </c>
      <c r="E30" s="437" t="str">
        <f>"= "&amp;IF((0.5*E5)&gt;10,"5 ml van diazepam 2 mg/ml",ROUND((0.5*E5)/2,1)&amp;" ml van diazepam 2 mg/ml")</f>
        <v>= 0 ml van diazepam 2 mg/ml</v>
      </c>
      <c r="F30" s="437"/>
      <c r="G30" s="445" t="s">
        <v>12</v>
      </c>
      <c r="J30" s="442"/>
      <c r="K30" s="442"/>
      <c r="L30" s="443"/>
      <c r="M30" s="443"/>
      <c r="N30" s="443"/>
      <c r="O30" s="443"/>
      <c r="P30" s="443"/>
      <c r="Q30" s="443"/>
      <c r="R30" s="443"/>
      <c r="S30" s="443">
        <v>29</v>
      </c>
      <c r="T30" s="443">
        <v>30</v>
      </c>
      <c r="U30" s="443"/>
      <c r="V30" s="443"/>
      <c r="W30" s="443"/>
      <c r="X30" s="443"/>
      <c r="Y30" s="442"/>
    </row>
    <row r="31" spans="2:25" ht="20.100000000000001" customHeight="1" thickTop="1" thickBot="1" x14ac:dyDescent="0.25">
      <c r="B31" s="830"/>
      <c r="C31" s="598" t="s">
        <v>205</v>
      </c>
      <c r="D31" s="430" t="str">
        <f>IF((20*E5)&gt;1500,"1500 mg iv",20*E5&amp;" mg iv")</f>
        <v>0 mg iv</v>
      </c>
      <c r="E31" s="833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33"/>
      <c r="G31" s="459" t="s">
        <v>28</v>
      </c>
      <c r="J31" s="442"/>
      <c r="L31" s="443"/>
      <c r="M31" s="443"/>
      <c r="N31" s="443"/>
      <c r="O31" s="443"/>
      <c r="P31" s="443"/>
      <c r="Q31" s="443"/>
      <c r="R31" s="443"/>
      <c r="S31" s="443">
        <v>30</v>
      </c>
      <c r="T31" s="443">
        <v>30</v>
      </c>
      <c r="U31" s="443">
        <v>30</v>
      </c>
      <c r="V31" s="443"/>
      <c r="W31" s="443"/>
      <c r="X31" s="443"/>
      <c r="Y31" s="442"/>
    </row>
    <row r="32" spans="2:25" ht="20.100000000000001" customHeight="1" thickTop="1" thickBot="1" x14ac:dyDescent="0.25">
      <c r="B32" s="609"/>
      <c r="C32" s="598"/>
      <c r="D32" s="430"/>
      <c r="E32" s="833"/>
      <c r="F32" s="833"/>
      <c r="G32" s="457"/>
      <c r="L32" s="443"/>
      <c r="M32" s="443"/>
      <c r="N32" s="443"/>
      <c r="O32" s="443"/>
      <c r="P32" s="443"/>
      <c r="Q32" s="443"/>
      <c r="R32" s="443"/>
      <c r="S32" s="443">
        <v>31</v>
      </c>
      <c r="T32" s="443">
        <v>50</v>
      </c>
      <c r="U32" s="443"/>
      <c r="V32" s="443"/>
      <c r="W32" s="443"/>
      <c r="X32" s="443"/>
      <c r="Y32" s="442"/>
    </row>
    <row r="33" spans="2:25" ht="12.75" customHeight="1" thickTop="1" thickBot="1" x14ac:dyDescent="0.25">
      <c r="B33" s="609"/>
      <c r="C33" s="598" t="s">
        <v>275</v>
      </c>
      <c r="D33" s="415" t="str">
        <f>IF((0.1*E5)&gt;10,"10 mg iv",0.1*E5&amp;" mg iv")</f>
        <v>0 mg iv</v>
      </c>
      <c r="E33" s="415" t="str">
        <f>"= "&amp;IF((0.1*E5)&gt;15,10,ROUND((0.1*E5),1))&amp;" ml van dormicum 1 mg/ml iv"</f>
        <v>= 0 ml van dormicum 1 mg/ml iv</v>
      </c>
      <c r="F33" s="415"/>
      <c r="G33" s="458" t="s">
        <v>13</v>
      </c>
      <c r="L33" s="443"/>
      <c r="M33" s="443"/>
      <c r="N33" s="443"/>
      <c r="O33" s="443"/>
      <c r="P33" s="443"/>
      <c r="Q33" s="443"/>
      <c r="R33" s="443"/>
      <c r="S33" s="443">
        <v>32</v>
      </c>
      <c r="T33" s="443">
        <v>50</v>
      </c>
      <c r="U33" s="443"/>
      <c r="V33" s="443"/>
      <c r="W33" s="443"/>
      <c r="X33" s="443"/>
      <c r="Y33" s="442"/>
    </row>
    <row r="34" spans="2:25" ht="13.5" customHeight="1" thickTop="1" x14ac:dyDescent="0.2">
      <c r="D34" s="295"/>
      <c r="G34" s="344"/>
      <c r="L34" s="443"/>
      <c r="M34" s="443"/>
      <c r="N34" s="443"/>
      <c r="O34" s="443"/>
      <c r="P34" s="443"/>
      <c r="Q34" s="443"/>
      <c r="R34" s="443"/>
      <c r="S34" s="443">
        <v>33</v>
      </c>
      <c r="T34" s="443">
        <v>50</v>
      </c>
      <c r="U34" s="443"/>
      <c r="V34" s="443"/>
      <c r="W34" s="443"/>
      <c r="X34" s="443"/>
      <c r="Y34" s="442"/>
    </row>
    <row r="35" spans="2:25" ht="19.5" customHeight="1" thickBot="1" x14ac:dyDescent="0.25">
      <c r="B35" s="609" t="s">
        <v>71</v>
      </c>
      <c r="C35" s="598" t="s">
        <v>308</v>
      </c>
      <c r="D35" s="437" t="str">
        <f>IF(1*(E5&gt;25),"25 mg iv",1*(E5)&amp;" mg iv")</f>
        <v>0 mg iv</v>
      </c>
      <c r="E35" s="437"/>
      <c r="F35" s="437"/>
      <c r="G35" s="445" t="s">
        <v>14</v>
      </c>
      <c r="L35" s="443"/>
      <c r="M35" s="443"/>
      <c r="N35" s="443"/>
      <c r="O35" s="443"/>
      <c r="P35" s="443"/>
      <c r="Q35" s="443"/>
      <c r="R35" s="443"/>
      <c r="S35" s="443">
        <v>34</v>
      </c>
      <c r="T35" s="443">
        <v>50</v>
      </c>
      <c r="U35" s="443"/>
      <c r="V35" s="443"/>
      <c r="W35" s="443"/>
      <c r="X35" s="443"/>
      <c r="Y35" s="442"/>
    </row>
    <row r="36" spans="2:25" ht="19.5" customHeight="1" thickTop="1" thickBot="1" x14ac:dyDescent="0.25">
      <c r="B36" s="609"/>
      <c r="C36" s="598" t="s">
        <v>80</v>
      </c>
      <c r="D36" s="415" t="str">
        <f>IF(ROUND((0.5*E5),1)&gt;50,"50 gram iv",ROUND((0.5*E5),1)&amp;" gram iv")</f>
        <v>0 gram iv</v>
      </c>
      <c r="E36" s="415" t="str">
        <f>"= "&amp;IF(ROUND((0.5*E5),1)&gt;50,ROUND(50/0.15,0),ROUND((0.5*E5)/0.15,0))&amp;" ml van mannitol 15% in 30 min iv"</f>
        <v>= 0 ml van mannitol 15% in 30 min iv</v>
      </c>
      <c r="F36" s="415"/>
      <c r="G36" s="456" t="s">
        <v>15</v>
      </c>
      <c r="L36" s="443"/>
      <c r="M36" s="443"/>
      <c r="N36" s="443"/>
      <c r="O36" s="443"/>
      <c r="P36" s="443"/>
      <c r="Q36" s="443"/>
      <c r="R36" s="443"/>
      <c r="S36" s="443">
        <v>35</v>
      </c>
      <c r="T36" s="443">
        <v>50</v>
      </c>
      <c r="U36" s="443"/>
      <c r="V36" s="443"/>
      <c r="W36" s="443"/>
      <c r="X36" s="443"/>
      <c r="Y36" s="442"/>
    </row>
    <row r="37" spans="2:25" ht="25.5" customHeight="1" thickTop="1" x14ac:dyDescent="0.2">
      <c r="D37" s="295"/>
      <c r="G37" s="347"/>
      <c r="L37" s="443"/>
      <c r="M37" s="443"/>
      <c r="N37" s="443"/>
      <c r="O37" s="443"/>
      <c r="P37" s="443"/>
      <c r="Q37" s="443"/>
      <c r="R37" s="443"/>
      <c r="S37" s="443">
        <v>36</v>
      </c>
      <c r="T37" s="443">
        <v>50</v>
      </c>
      <c r="U37" s="443"/>
      <c r="V37" s="443"/>
      <c r="W37" s="443"/>
      <c r="X37" s="443"/>
      <c r="Y37" s="442"/>
    </row>
    <row r="38" spans="2:25" ht="19.5" customHeight="1" thickBot="1" x14ac:dyDescent="0.25">
      <c r="B38" s="609" t="s">
        <v>81</v>
      </c>
      <c r="C38" s="606" t="s">
        <v>224</v>
      </c>
      <c r="D38" s="437" t="str">
        <f ca="1">"AMV "&amp;ROUND(E5*8*VLOOKUP(C5,L2:M20,2)/1000,1)&amp;" L/min"</f>
        <v>AMV 0 L/min</v>
      </c>
      <c r="E38" s="437"/>
      <c r="F38" s="437" t="s">
        <v>82</v>
      </c>
      <c r="G38" s="437"/>
      <c r="L38" s="443"/>
      <c r="M38" s="443"/>
      <c r="N38" s="443"/>
      <c r="O38" s="443"/>
      <c r="P38" s="443"/>
      <c r="Q38" s="443"/>
      <c r="R38" s="443"/>
      <c r="S38" s="443"/>
      <c r="T38" s="443"/>
      <c r="U38" s="443"/>
      <c r="V38" s="443"/>
      <c r="W38" s="443"/>
      <c r="X38" s="443"/>
      <c r="Y38" s="442"/>
    </row>
    <row r="39" spans="2:25" ht="19.5" customHeight="1" thickTop="1" thickBot="1" x14ac:dyDescent="0.25">
      <c r="B39" s="609"/>
      <c r="C39" s="598"/>
      <c r="D39" s="430" t="str">
        <f ca="1">"frequentie "&amp;VLOOKUP(C5,L2:M20,2)&amp;"/min"</f>
        <v>frequentie 15/min</v>
      </c>
      <c r="E39" s="430"/>
      <c r="F39" s="430" t="s">
        <v>83</v>
      </c>
      <c r="G39" s="430"/>
      <c r="L39" s="443"/>
      <c r="M39" s="443"/>
      <c r="N39" s="443"/>
      <c r="O39" s="443"/>
      <c r="P39" s="443"/>
      <c r="Q39" s="443"/>
      <c r="R39" s="443"/>
      <c r="S39" s="443">
        <v>37</v>
      </c>
      <c r="T39" s="443">
        <v>50</v>
      </c>
      <c r="U39" s="443"/>
      <c r="V39" s="443"/>
      <c r="W39" s="443"/>
      <c r="X39" s="443"/>
      <c r="Y39" s="442"/>
    </row>
    <row r="40" spans="2:25" ht="19.5" customHeight="1" thickTop="1" thickBot="1" x14ac:dyDescent="0.25">
      <c r="B40" s="609"/>
      <c r="C40" s="598"/>
      <c r="D40" s="430" t="s">
        <v>330</v>
      </c>
      <c r="E40" s="430"/>
      <c r="F40" s="430" t="s">
        <v>319</v>
      </c>
      <c r="G40" s="430"/>
      <c r="L40" s="443"/>
      <c r="M40" s="443"/>
      <c r="N40" s="443"/>
      <c r="O40" s="443"/>
      <c r="P40" s="443"/>
      <c r="Q40" s="443"/>
      <c r="R40" s="443"/>
      <c r="S40" s="443">
        <v>38</v>
      </c>
      <c r="T40" s="443">
        <v>50</v>
      </c>
      <c r="U40" s="443"/>
      <c r="V40" s="443"/>
      <c r="W40" s="443"/>
      <c r="X40" s="443"/>
      <c r="Y40" s="442"/>
    </row>
    <row r="41" spans="2:25" ht="19.5" customHeight="1" thickTop="1" thickBot="1" x14ac:dyDescent="0.25">
      <c r="B41" s="609"/>
      <c r="C41" s="598"/>
      <c r="D41" s="430" t="s">
        <v>320</v>
      </c>
      <c r="E41" s="430"/>
      <c r="F41" s="430"/>
      <c r="G41" s="430"/>
      <c r="L41" s="443"/>
      <c r="M41" s="443"/>
      <c r="N41" s="443"/>
      <c r="O41" s="443"/>
      <c r="P41" s="443"/>
      <c r="Q41" s="443"/>
      <c r="R41" s="443"/>
      <c r="S41" s="443">
        <v>39</v>
      </c>
      <c r="T41" s="443">
        <v>50</v>
      </c>
      <c r="U41" s="443"/>
      <c r="V41" s="443"/>
      <c r="W41" s="443"/>
      <c r="X41" s="443"/>
      <c r="Y41" s="442"/>
    </row>
    <row r="42" spans="2:25" ht="19.5" customHeight="1" thickTop="1" thickBot="1" x14ac:dyDescent="0.25">
      <c r="B42" s="609"/>
      <c r="C42" s="598"/>
      <c r="D42" s="415"/>
      <c r="E42" s="415"/>
      <c r="F42" s="415"/>
      <c r="G42" s="415"/>
      <c r="L42" s="443"/>
      <c r="M42" s="443"/>
      <c r="N42" s="443"/>
      <c r="O42" s="443"/>
      <c r="P42" s="443"/>
      <c r="Q42" s="443"/>
      <c r="R42" s="443"/>
      <c r="S42" s="443">
        <v>40</v>
      </c>
      <c r="T42" s="443">
        <v>50</v>
      </c>
      <c r="U42" s="443"/>
      <c r="V42" s="443"/>
      <c r="W42" s="443"/>
      <c r="X42" s="443"/>
      <c r="Y42" s="442"/>
    </row>
    <row r="43" spans="2:25" ht="19.5" customHeight="1" thickTop="1" x14ac:dyDescent="0.2">
      <c r="B43" s="612" t="s">
        <v>244</v>
      </c>
      <c r="C43" s="298" t="str">
        <f>IF(OR(_User_Type="Artsen",_User_Type="Supervisor"), _User_LastName&amp;", "&amp;_User_FirstName,"")</f>
        <v/>
      </c>
      <c r="L43" s="443"/>
      <c r="M43" s="443"/>
      <c r="N43" s="443"/>
      <c r="O43" s="443"/>
      <c r="P43" s="443"/>
      <c r="Q43" s="443"/>
      <c r="R43" s="443"/>
      <c r="S43" s="443">
        <v>41</v>
      </c>
      <c r="T43" s="443">
        <v>50</v>
      </c>
      <c r="U43" s="443"/>
      <c r="V43" s="443"/>
      <c r="W43" s="443"/>
      <c r="X43" s="443"/>
      <c r="Y43" s="442"/>
    </row>
    <row r="44" spans="2:25" ht="19.5" customHeight="1" x14ac:dyDescent="0.2">
      <c r="B44" s="612" t="s">
        <v>67</v>
      </c>
      <c r="C44" s="437"/>
      <c r="L44" s="443"/>
      <c r="M44" s="443"/>
      <c r="N44" s="443"/>
      <c r="O44" s="443"/>
      <c r="P44" s="443"/>
      <c r="Q44" s="443"/>
      <c r="R44" s="443"/>
      <c r="S44" s="443">
        <v>42</v>
      </c>
      <c r="T44" s="443">
        <v>50</v>
      </c>
      <c r="U44" s="443"/>
      <c r="V44" s="443"/>
      <c r="W44" s="443"/>
      <c r="X44" s="443"/>
      <c r="Y44" s="442"/>
    </row>
    <row r="45" spans="2:25" ht="19.5" customHeight="1" x14ac:dyDescent="0.2">
      <c r="L45" s="443"/>
      <c r="M45" s="443"/>
      <c r="N45" s="443"/>
      <c r="O45" s="443"/>
      <c r="P45" s="443"/>
      <c r="Q45" s="443"/>
      <c r="R45" s="443"/>
      <c r="S45" s="443">
        <v>43</v>
      </c>
      <c r="T45" s="443">
        <v>50</v>
      </c>
      <c r="U45" s="443"/>
      <c r="V45" s="443"/>
      <c r="W45" s="443"/>
      <c r="X45" s="443"/>
      <c r="Y45" s="442"/>
    </row>
    <row r="46" spans="2:25" ht="19.5" customHeight="1" x14ac:dyDescent="0.2">
      <c r="L46" s="443"/>
      <c r="M46" s="443"/>
      <c r="N46" s="443"/>
      <c r="O46" s="443"/>
      <c r="P46" s="443"/>
      <c r="Q46" s="443"/>
      <c r="R46" s="443"/>
      <c r="S46" s="443">
        <v>44</v>
      </c>
      <c r="T46" s="443">
        <v>50</v>
      </c>
      <c r="U46" s="443"/>
      <c r="V46" s="443"/>
      <c r="W46" s="443"/>
      <c r="X46" s="443"/>
      <c r="Y46" s="442"/>
    </row>
    <row r="47" spans="2:25" x14ac:dyDescent="0.2">
      <c r="L47" s="443"/>
      <c r="M47" s="443"/>
      <c r="N47" s="443"/>
      <c r="O47" s="443"/>
      <c r="P47" s="443"/>
      <c r="Q47" s="443"/>
      <c r="R47" s="443"/>
      <c r="S47" s="443">
        <v>45</v>
      </c>
      <c r="T47" s="443">
        <v>50</v>
      </c>
      <c r="U47" s="443"/>
      <c r="V47" s="443"/>
      <c r="W47" s="443"/>
      <c r="X47" s="443"/>
      <c r="Y47" s="442"/>
    </row>
    <row r="48" spans="2:25" x14ac:dyDescent="0.2">
      <c r="L48" s="443"/>
      <c r="M48" s="443"/>
      <c r="N48" s="443"/>
      <c r="O48" s="443"/>
      <c r="P48" s="443"/>
      <c r="Q48" s="443"/>
      <c r="R48" s="443"/>
      <c r="S48" s="443">
        <v>46</v>
      </c>
      <c r="T48" s="443">
        <v>50</v>
      </c>
      <c r="U48" s="443"/>
      <c r="V48" s="443"/>
      <c r="W48" s="443"/>
      <c r="X48" s="443"/>
      <c r="Y48" s="442"/>
    </row>
    <row r="49" spans="12:25" x14ac:dyDescent="0.2">
      <c r="L49" s="443"/>
      <c r="M49" s="443"/>
      <c r="N49" s="443"/>
      <c r="O49" s="443"/>
      <c r="P49" s="443"/>
      <c r="Q49" s="443"/>
      <c r="R49" s="443"/>
      <c r="S49" s="443">
        <v>47</v>
      </c>
      <c r="T49" s="443">
        <v>50</v>
      </c>
      <c r="U49" s="443"/>
      <c r="V49" s="443"/>
      <c r="W49" s="443"/>
      <c r="X49" s="443"/>
      <c r="Y49" s="442"/>
    </row>
    <row r="50" spans="12:25" x14ac:dyDescent="0.2">
      <c r="L50" s="443"/>
      <c r="M50" s="443"/>
      <c r="N50" s="443"/>
      <c r="O50" s="443"/>
      <c r="P50" s="443"/>
      <c r="Q50" s="443"/>
      <c r="R50" s="443"/>
      <c r="S50" s="443">
        <v>48</v>
      </c>
      <c r="T50" s="443">
        <v>50</v>
      </c>
      <c r="U50" s="443"/>
      <c r="V50" s="443"/>
      <c r="W50" s="443"/>
      <c r="X50" s="443"/>
      <c r="Y50" s="442"/>
    </row>
    <row r="51" spans="12:25" x14ac:dyDescent="0.2">
      <c r="L51" s="443"/>
      <c r="M51" s="443"/>
      <c r="N51" s="443"/>
      <c r="O51" s="443"/>
      <c r="P51" s="443"/>
      <c r="Q51" s="443"/>
      <c r="R51" s="443"/>
      <c r="S51" s="443">
        <v>49</v>
      </c>
      <c r="T51" s="443">
        <v>50</v>
      </c>
      <c r="U51" s="443"/>
      <c r="V51" s="443"/>
      <c r="W51" s="443"/>
      <c r="X51" s="443"/>
      <c r="Y51" s="442"/>
    </row>
    <row r="52" spans="12:25" x14ac:dyDescent="0.2">
      <c r="L52" s="443"/>
      <c r="M52" s="443"/>
      <c r="N52" s="443"/>
      <c r="O52" s="443"/>
      <c r="P52" s="443"/>
      <c r="Q52" s="443"/>
      <c r="R52" s="443"/>
      <c r="S52" s="443">
        <v>50</v>
      </c>
      <c r="T52" s="443">
        <v>50</v>
      </c>
      <c r="U52" s="443">
        <v>50</v>
      </c>
      <c r="V52" s="443"/>
      <c r="W52" s="443"/>
      <c r="X52" s="443"/>
      <c r="Y52" s="442"/>
    </row>
    <row r="53" spans="12:25" x14ac:dyDescent="0.2">
      <c r="L53" s="443"/>
      <c r="M53" s="443"/>
      <c r="N53" s="443"/>
      <c r="O53" s="443"/>
      <c r="P53" s="443"/>
      <c r="Q53" s="443"/>
      <c r="R53" s="443"/>
      <c r="S53" s="443">
        <v>51</v>
      </c>
      <c r="T53" s="443">
        <v>70</v>
      </c>
      <c r="U53" s="443"/>
      <c r="V53" s="443"/>
      <c r="W53" s="443"/>
      <c r="X53" s="443"/>
      <c r="Y53" s="442"/>
    </row>
    <row r="54" spans="12:25" x14ac:dyDescent="0.2">
      <c r="L54" s="443"/>
      <c r="M54" s="443"/>
      <c r="N54" s="443"/>
      <c r="O54" s="443"/>
      <c r="P54" s="443"/>
      <c r="Q54" s="443"/>
      <c r="R54" s="443"/>
      <c r="S54" s="443">
        <v>52</v>
      </c>
      <c r="T54" s="443">
        <v>70</v>
      </c>
      <c r="U54" s="443"/>
      <c r="V54" s="443"/>
      <c r="W54" s="443"/>
      <c r="X54" s="443"/>
      <c r="Y54" s="442"/>
    </row>
    <row r="55" spans="12:25" x14ac:dyDescent="0.2">
      <c r="L55" s="443"/>
      <c r="M55" s="443"/>
      <c r="N55" s="443"/>
      <c r="O55" s="443"/>
      <c r="P55" s="443"/>
      <c r="Q55" s="443"/>
      <c r="R55" s="443"/>
      <c r="S55" s="443">
        <v>53</v>
      </c>
      <c r="T55" s="443">
        <v>70</v>
      </c>
      <c r="U55" s="443"/>
      <c r="V55" s="443"/>
      <c r="W55" s="443"/>
      <c r="X55" s="443"/>
      <c r="Y55" s="442"/>
    </row>
    <row r="56" spans="12:25" x14ac:dyDescent="0.2">
      <c r="L56" s="443"/>
      <c r="M56" s="443"/>
      <c r="N56" s="443"/>
      <c r="O56" s="443"/>
      <c r="P56" s="443"/>
      <c r="Q56" s="443"/>
      <c r="R56" s="443"/>
      <c r="S56" s="443">
        <v>54</v>
      </c>
      <c r="T56" s="443">
        <v>70</v>
      </c>
      <c r="U56" s="443"/>
      <c r="V56" s="443"/>
      <c r="W56" s="443"/>
      <c r="X56" s="443"/>
      <c r="Y56" s="442"/>
    </row>
    <row r="57" spans="12:25" x14ac:dyDescent="0.2">
      <c r="L57" s="443"/>
      <c r="M57" s="443"/>
      <c r="N57" s="443"/>
      <c r="O57" s="443"/>
      <c r="P57" s="443"/>
      <c r="Q57" s="443"/>
      <c r="R57" s="443"/>
      <c r="S57" s="443">
        <v>55</v>
      </c>
      <c r="T57" s="443">
        <v>70</v>
      </c>
      <c r="U57" s="443"/>
      <c r="V57" s="443"/>
      <c r="W57" s="443"/>
      <c r="X57" s="443"/>
      <c r="Y57" s="442"/>
    </row>
    <row r="58" spans="12:25" x14ac:dyDescent="0.2">
      <c r="L58" s="443"/>
      <c r="M58" s="443"/>
      <c r="N58" s="443"/>
      <c r="O58" s="443"/>
      <c r="P58" s="443"/>
      <c r="Q58" s="443"/>
      <c r="R58" s="443"/>
      <c r="S58" s="443">
        <v>56</v>
      </c>
      <c r="T58" s="443">
        <v>70</v>
      </c>
      <c r="U58" s="443"/>
      <c r="V58" s="443"/>
      <c r="W58" s="443"/>
      <c r="X58" s="443"/>
      <c r="Y58" s="442"/>
    </row>
    <row r="59" spans="12:25" x14ac:dyDescent="0.2">
      <c r="L59" s="443"/>
      <c r="M59" s="443"/>
      <c r="N59" s="443"/>
      <c r="O59" s="443"/>
      <c r="P59" s="443"/>
      <c r="Q59" s="443"/>
      <c r="R59" s="443"/>
      <c r="S59" s="443">
        <v>57</v>
      </c>
      <c r="T59" s="443">
        <v>70</v>
      </c>
      <c r="U59" s="443"/>
      <c r="V59" s="443"/>
      <c r="W59" s="443"/>
      <c r="X59" s="443"/>
      <c r="Y59" s="442"/>
    </row>
    <row r="60" spans="12:25" x14ac:dyDescent="0.2">
      <c r="L60" s="443"/>
      <c r="M60" s="443"/>
      <c r="N60" s="443"/>
      <c r="O60" s="443"/>
      <c r="P60" s="443"/>
      <c r="Q60" s="443"/>
      <c r="R60" s="443"/>
      <c r="S60" s="443">
        <v>58</v>
      </c>
      <c r="T60" s="443">
        <v>70</v>
      </c>
      <c r="U60" s="443"/>
      <c r="V60" s="443"/>
      <c r="W60" s="443"/>
      <c r="X60" s="443"/>
      <c r="Y60" s="442"/>
    </row>
    <row r="61" spans="12:25" x14ac:dyDescent="0.2">
      <c r="L61" s="443"/>
      <c r="M61" s="443"/>
      <c r="N61" s="443"/>
      <c r="O61" s="443"/>
      <c r="P61" s="443"/>
      <c r="Q61" s="443"/>
      <c r="R61" s="443"/>
      <c r="S61" s="443">
        <v>59</v>
      </c>
      <c r="T61" s="443">
        <v>70</v>
      </c>
      <c r="U61" s="443"/>
      <c r="V61" s="443"/>
      <c r="W61" s="443"/>
      <c r="X61" s="443"/>
      <c r="Y61" s="442"/>
    </row>
    <row r="62" spans="12:25" x14ac:dyDescent="0.2">
      <c r="L62" s="443"/>
      <c r="M62" s="443"/>
      <c r="N62" s="443"/>
      <c r="O62" s="443"/>
      <c r="P62" s="443"/>
      <c r="Q62" s="443"/>
      <c r="R62" s="443"/>
      <c r="S62" s="443">
        <v>60</v>
      </c>
      <c r="T62" s="443">
        <v>70</v>
      </c>
      <c r="U62" s="443"/>
      <c r="V62" s="443"/>
      <c r="W62" s="443"/>
      <c r="X62" s="443"/>
      <c r="Y62" s="442"/>
    </row>
    <row r="63" spans="12:25" x14ac:dyDescent="0.2">
      <c r="L63" s="443"/>
      <c r="M63" s="443"/>
      <c r="N63" s="443"/>
      <c r="O63" s="443"/>
      <c r="P63" s="443"/>
      <c r="Q63" s="443"/>
      <c r="R63" s="443"/>
      <c r="S63" s="443">
        <v>61</v>
      </c>
      <c r="T63" s="443">
        <v>70</v>
      </c>
      <c r="U63" s="443"/>
      <c r="V63" s="443"/>
      <c r="W63" s="443"/>
      <c r="X63" s="443"/>
      <c r="Y63" s="442"/>
    </row>
    <row r="64" spans="12:25" x14ac:dyDescent="0.2">
      <c r="L64" s="443"/>
      <c r="M64" s="443"/>
      <c r="N64" s="443"/>
      <c r="O64" s="443"/>
      <c r="P64" s="443"/>
      <c r="Q64" s="443"/>
      <c r="R64" s="443"/>
      <c r="S64" s="443">
        <v>62</v>
      </c>
      <c r="T64" s="443">
        <v>70</v>
      </c>
      <c r="U64" s="443"/>
      <c r="V64" s="443"/>
      <c r="W64" s="443"/>
      <c r="X64" s="443"/>
      <c r="Y64" s="442"/>
    </row>
    <row r="65" spans="12:25" x14ac:dyDescent="0.2">
      <c r="L65" s="443"/>
      <c r="M65" s="443"/>
      <c r="N65" s="443"/>
      <c r="O65" s="443"/>
      <c r="P65" s="443"/>
      <c r="Q65" s="443"/>
      <c r="R65" s="443"/>
      <c r="S65" s="443">
        <v>63</v>
      </c>
      <c r="T65" s="443">
        <v>70</v>
      </c>
      <c r="U65" s="443"/>
      <c r="V65" s="443"/>
      <c r="W65" s="443"/>
      <c r="X65" s="443"/>
      <c r="Y65" s="442"/>
    </row>
    <row r="66" spans="12:25" x14ac:dyDescent="0.2">
      <c r="L66" s="443"/>
      <c r="M66" s="443"/>
      <c r="N66" s="443"/>
      <c r="O66" s="443"/>
      <c r="P66" s="443"/>
      <c r="Q66" s="443"/>
      <c r="R66" s="443"/>
      <c r="S66" s="443">
        <v>64</v>
      </c>
      <c r="T66" s="443">
        <v>70</v>
      </c>
      <c r="U66" s="443"/>
      <c r="V66" s="443"/>
      <c r="W66" s="443"/>
      <c r="X66" s="443"/>
      <c r="Y66" s="442"/>
    </row>
    <row r="67" spans="12:25" x14ac:dyDescent="0.2">
      <c r="L67" s="443"/>
      <c r="M67" s="443"/>
      <c r="N67" s="443"/>
      <c r="O67" s="443"/>
      <c r="P67" s="443"/>
      <c r="Q67" s="443"/>
      <c r="R67" s="443"/>
      <c r="S67" s="443">
        <v>65</v>
      </c>
      <c r="T67" s="443">
        <v>70</v>
      </c>
      <c r="U67" s="443"/>
      <c r="V67" s="443"/>
      <c r="W67" s="443"/>
      <c r="X67" s="443"/>
      <c r="Y67" s="442"/>
    </row>
    <row r="68" spans="12:25" x14ac:dyDescent="0.2">
      <c r="L68" s="443"/>
      <c r="M68" s="443"/>
      <c r="N68" s="443"/>
      <c r="O68" s="443"/>
      <c r="P68" s="443"/>
      <c r="Q68" s="443"/>
      <c r="R68" s="443"/>
      <c r="S68" s="443">
        <v>66</v>
      </c>
      <c r="T68" s="443">
        <v>70</v>
      </c>
      <c r="U68" s="443"/>
      <c r="V68" s="443"/>
      <c r="W68" s="443"/>
      <c r="X68" s="443"/>
      <c r="Y68" s="442"/>
    </row>
    <row r="69" spans="12:25" x14ac:dyDescent="0.2">
      <c r="L69" s="443"/>
      <c r="M69" s="443"/>
      <c r="N69" s="443"/>
      <c r="O69" s="443"/>
      <c r="P69" s="443"/>
      <c r="Q69" s="443"/>
      <c r="R69" s="443"/>
      <c r="S69" s="443">
        <v>67</v>
      </c>
      <c r="T69" s="443">
        <v>70</v>
      </c>
      <c r="U69" s="443"/>
      <c r="V69" s="443"/>
      <c r="W69" s="443"/>
      <c r="X69" s="443"/>
      <c r="Y69" s="442"/>
    </row>
    <row r="70" spans="12:25" x14ac:dyDescent="0.2">
      <c r="L70" s="443"/>
      <c r="M70" s="443"/>
      <c r="N70" s="443"/>
      <c r="O70" s="443"/>
      <c r="P70" s="443"/>
      <c r="Q70" s="443"/>
      <c r="R70" s="443"/>
      <c r="S70" s="443">
        <v>68</v>
      </c>
      <c r="T70" s="443">
        <v>70</v>
      </c>
      <c r="U70" s="443"/>
      <c r="V70" s="443"/>
      <c r="W70" s="443"/>
      <c r="X70" s="443"/>
      <c r="Y70" s="442"/>
    </row>
    <row r="71" spans="12:25" x14ac:dyDescent="0.2">
      <c r="L71" s="443"/>
      <c r="M71" s="443"/>
      <c r="N71" s="443"/>
      <c r="O71" s="443"/>
      <c r="P71" s="443"/>
      <c r="Q71" s="443"/>
      <c r="R71" s="443"/>
      <c r="S71" s="443">
        <v>69</v>
      </c>
      <c r="T71" s="443">
        <v>70</v>
      </c>
      <c r="U71" s="443"/>
      <c r="V71" s="443"/>
      <c r="W71" s="443"/>
      <c r="X71" s="443"/>
      <c r="Y71" s="442"/>
    </row>
    <row r="72" spans="12:25" x14ac:dyDescent="0.2">
      <c r="L72" s="443"/>
      <c r="M72" s="443"/>
      <c r="N72" s="443"/>
      <c r="O72" s="443"/>
      <c r="P72" s="443"/>
      <c r="Q72" s="443"/>
      <c r="R72" s="443"/>
      <c r="S72" s="443">
        <v>70</v>
      </c>
      <c r="T72" s="443">
        <v>70</v>
      </c>
      <c r="U72" s="443">
        <v>70</v>
      </c>
      <c r="V72" s="443"/>
      <c r="W72" s="443"/>
      <c r="X72" s="443"/>
      <c r="Y72" s="442"/>
    </row>
    <row r="73" spans="12:25" x14ac:dyDescent="0.2">
      <c r="L73" s="443"/>
      <c r="M73" s="443"/>
      <c r="N73" s="443"/>
      <c r="O73" s="443"/>
      <c r="P73" s="443"/>
      <c r="Q73" s="443"/>
      <c r="R73" s="443"/>
      <c r="S73" s="443">
        <v>71</v>
      </c>
      <c r="T73" s="443">
        <v>100</v>
      </c>
      <c r="U73" s="443"/>
      <c r="V73" s="443"/>
      <c r="W73" s="443"/>
      <c r="X73" s="443"/>
      <c r="Y73" s="442"/>
    </row>
    <row r="74" spans="12:25" x14ac:dyDescent="0.2">
      <c r="L74" s="443"/>
      <c r="M74" s="443"/>
      <c r="N74" s="443"/>
      <c r="O74" s="443"/>
      <c r="P74" s="443"/>
      <c r="Q74" s="443"/>
      <c r="R74" s="443"/>
      <c r="S74" s="443">
        <v>72</v>
      </c>
      <c r="T74" s="443">
        <v>100</v>
      </c>
      <c r="U74" s="443"/>
      <c r="V74" s="443"/>
      <c r="W74" s="443"/>
      <c r="X74" s="443"/>
      <c r="Y74" s="442"/>
    </row>
    <row r="75" spans="12:25" x14ac:dyDescent="0.2">
      <c r="L75" s="443"/>
      <c r="M75" s="443"/>
      <c r="N75" s="443"/>
      <c r="O75" s="443"/>
      <c r="P75" s="443"/>
      <c r="Q75" s="443"/>
      <c r="R75" s="443"/>
      <c r="S75" s="443">
        <v>73</v>
      </c>
      <c r="T75" s="443">
        <v>100</v>
      </c>
      <c r="U75" s="443"/>
      <c r="V75" s="443"/>
      <c r="W75" s="443"/>
      <c r="X75" s="443"/>
      <c r="Y75" s="442"/>
    </row>
    <row r="76" spans="12:25" x14ac:dyDescent="0.2">
      <c r="L76" s="443"/>
      <c r="M76" s="443"/>
      <c r="N76" s="443"/>
      <c r="O76" s="443"/>
      <c r="P76" s="443"/>
      <c r="Q76" s="443"/>
      <c r="R76" s="443"/>
      <c r="S76" s="443">
        <v>74</v>
      </c>
      <c r="T76" s="443">
        <v>100</v>
      </c>
      <c r="U76" s="443"/>
      <c r="V76" s="443"/>
      <c r="W76" s="443"/>
      <c r="X76" s="443"/>
      <c r="Y76" s="442"/>
    </row>
    <row r="77" spans="12:25" x14ac:dyDescent="0.2">
      <c r="L77" s="443"/>
      <c r="M77" s="443"/>
      <c r="N77" s="443"/>
      <c r="O77" s="443"/>
      <c r="P77" s="443"/>
      <c r="Q77" s="443"/>
      <c r="R77" s="443"/>
      <c r="S77" s="443">
        <v>75</v>
      </c>
      <c r="T77" s="443">
        <v>100</v>
      </c>
      <c r="U77" s="443"/>
      <c r="V77" s="443"/>
      <c r="W77" s="443"/>
      <c r="X77" s="443"/>
      <c r="Y77" s="442"/>
    </row>
    <row r="78" spans="12:25" x14ac:dyDescent="0.2">
      <c r="L78" s="443"/>
      <c r="M78" s="443"/>
      <c r="N78" s="443"/>
      <c r="O78" s="443"/>
      <c r="P78" s="443"/>
      <c r="Q78" s="443"/>
      <c r="R78" s="443"/>
      <c r="S78" s="443">
        <v>76</v>
      </c>
      <c r="T78" s="443">
        <v>100</v>
      </c>
      <c r="U78" s="443"/>
      <c r="V78" s="443"/>
      <c r="W78" s="443"/>
      <c r="X78" s="443"/>
      <c r="Y78" s="442"/>
    </row>
    <row r="79" spans="12:25" x14ac:dyDescent="0.2">
      <c r="L79" s="443"/>
      <c r="M79" s="443"/>
      <c r="N79" s="443"/>
      <c r="O79" s="443"/>
      <c r="P79" s="443"/>
      <c r="Q79" s="443"/>
      <c r="R79" s="443"/>
      <c r="S79" s="443">
        <v>77</v>
      </c>
      <c r="T79" s="443">
        <v>100</v>
      </c>
      <c r="U79" s="443"/>
      <c r="V79" s="443"/>
      <c r="W79" s="443"/>
      <c r="X79" s="443"/>
      <c r="Y79" s="442"/>
    </row>
    <row r="80" spans="12:25" x14ac:dyDescent="0.2">
      <c r="L80" s="443"/>
      <c r="M80" s="443"/>
      <c r="N80" s="443"/>
      <c r="O80" s="443"/>
      <c r="P80" s="443"/>
      <c r="Q80" s="443"/>
      <c r="R80" s="443"/>
      <c r="S80" s="443">
        <v>78</v>
      </c>
      <c r="T80" s="443">
        <v>100</v>
      </c>
      <c r="U80" s="443"/>
      <c r="V80" s="443"/>
      <c r="W80" s="443"/>
      <c r="X80" s="443"/>
      <c r="Y80" s="442"/>
    </row>
    <row r="81" spans="12:25" x14ac:dyDescent="0.2">
      <c r="L81" s="443"/>
      <c r="M81" s="443"/>
      <c r="N81" s="443"/>
      <c r="O81" s="443"/>
      <c r="P81" s="443"/>
      <c r="Q81" s="443"/>
      <c r="R81" s="443"/>
      <c r="S81" s="443">
        <v>79</v>
      </c>
      <c r="T81" s="443">
        <v>100</v>
      </c>
      <c r="U81" s="443"/>
      <c r="V81" s="443"/>
      <c r="W81" s="443"/>
      <c r="X81" s="443"/>
      <c r="Y81" s="442"/>
    </row>
    <row r="82" spans="12:25" x14ac:dyDescent="0.2">
      <c r="L82" s="443"/>
      <c r="M82" s="443"/>
      <c r="N82" s="443"/>
      <c r="O82" s="443"/>
      <c r="P82" s="443"/>
      <c r="Q82" s="443"/>
      <c r="R82" s="443"/>
      <c r="S82" s="443">
        <v>80</v>
      </c>
      <c r="T82" s="443">
        <v>100</v>
      </c>
      <c r="U82" s="443"/>
      <c r="V82" s="443"/>
      <c r="W82" s="443"/>
      <c r="X82" s="443"/>
      <c r="Y82" s="442"/>
    </row>
    <row r="83" spans="12:25" x14ac:dyDescent="0.2">
      <c r="L83" s="443"/>
      <c r="M83" s="443"/>
      <c r="N83" s="443"/>
      <c r="O83" s="443"/>
      <c r="P83" s="443"/>
      <c r="Q83" s="443"/>
      <c r="R83" s="443"/>
      <c r="S83" s="443">
        <v>81</v>
      </c>
      <c r="T83" s="443">
        <v>100</v>
      </c>
      <c r="U83" s="443"/>
      <c r="V83" s="443"/>
      <c r="W83" s="443"/>
      <c r="X83" s="443"/>
      <c r="Y83" s="442"/>
    </row>
    <row r="84" spans="12:25" x14ac:dyDescent="0.2">
      <c r="L84" s="443"/>
      <c r="M84" s="443"/>
      <c r="N84" s="443"/>
      <c r="O84" s="443"/>
      <c r="P84" s="443"/>
      <c r="Q84" s="443"/>
      <c r="R84" s="443"/>
      <c r="S84" s="443">
        <v>82</v>
      </c>
      <c r="T84" s="443">
        <v>100</v>
      </c>
      <c r="U84" s="443"/>
      <c r="V84" s="443"/>
      <c r="W84" s="443"/>
      <c r="X84" s="443"/>
      <c r="Y84" s="442"/>
    </row>
    <row r="85" spans="12:25" x14ac:dyDescent="0.2">
      <c r="L85" s="443"/>
      <c r="M85" s="443"/>
      <c r="N85" s="443"/>
      <c r="O85" s="443"/>
      <c r="P85" s="443"/>
      <c r="Q85" s="443"/>
      <c r="R85" s="443"/>
      <c r="S85" s="443">
        <v>83</v>
      </c>
      <c r="T85" s="443">
        <v>100</v>
      </c>
      <c r="U85" s="443"/>
      <c r="V85" s="443"/>
      <c r="W85" s="443"/>
      <c r="X85" s="443"/>
      <c r="Y85" s="442"/>
    </row>
    <row r="86" spans="12:25" x14ac:dyDescent="0.2">
      <c r="L86" s="443"/>
      <c r="M86" s="443"/>
      <c r="N86" s="443"/>
      <c r="O86" s="443"/>
      <c r="P86" s="443"/>
      <c r="Q86" s="443"/>
      <c r="R86" s="443"/>
      <c r="S86" s="443">
        <v>84</v>
      </c>
      <c r="T86" s="443">
        <v>100</v>
      </c>
      <c r="U86" s="443"/>
      <c r="V86" s="443"/>
      <c r="W86" s="443"/>
      <c r="X86" s="443"/>
      <c r="Y86" s="442"/>
    </row>
    <row r="87" spans="12:25" x14ac:dyDescent="0.2">
      <c r="L87" s="443"/>
      <c r="M87" s="443"/>
      <c r="N87" s="443"/>
      <c r="O87" s="443"/>
      <c r="P87" s="443"/>
      <c r="Q87" s="443"/>
      <c r="R87" s="443"/>
      <c r="S87" s="443">
        <v>85</v>
      </c>
      <c r="T87" s="443">
        <v>100</v>
      </c>
      <c r="U87" s="443"/>
      <c r="V87" s="443"/>
      <c r="W87" s="443"/>
      <c r="X87" s="443"/>
      <c r="Y87" s="442"/>
    </row>
    <row r="88" spans="12:25" x14ac:dyDescent="0.2">
      <c r="L88" s="443"/>
      <c r="M88" s="443"/>
      <c r="N88" s="443"/>
      <c r="O88" s="443"/>
      <c r="P88" s="443"/>
      <c r="Q88" s="443"/>
      <c r="R88" s="443"/>
      <c r="S88" s="443">
        <v>86</v>
      </c>
      <c r="T88" s="443">
        <v>100</v>
      </c>
      <c r="U88" s="443"/>
      <c r="V88" s="443"/>
      <c r="W88" s="443"/>
      <c r="X88" s="443"/>
      <c r="Y88" s="442"/>
    </row>
    <row r="89" spans="12:25" x14ac:dyDescent="0.2">
      <c r="L89" s="443"/>
      <c r="M89" s="443"/>
      <c r="N89" s="443"/>
      <c r="O89" s="443"/>
      <c r="P89" s="443"/>
      <c r="Q89" s="443"/>
      <c r="R89" s="443"/>
      <c r="S89" s="443">
        <v>87</v>
      </c>
      <c r="T89" s="443">
        <v>100</v>
      </c>
      <c r="U89" s="443"/>
      <c r="V89" s="443"/>
      <c r="W89" s="443"/>
      <c r="X89" s="443"/>
      <c r="Y89" s="442"/>
    </row>
    <row r="90" spans="12:25" x14ac:dyDescent="0.2">
      <c r="L90" s="443"/>
      <c r="M90" s="443"/>
      <c r="N90" s="443"/>
      <c r="O90" s="443"/>
      <c r="P90" s="443"/>
      <c r="Q90" s="443"/>
      <c r="R90" s="443"/>
      <c r="S90" s="443">
        <v>88</v>
      </c>
      <c r="T90" s="443">
        <v>100</v>
      </c>
      <c r="U90" s="443"/>
      <c r="V90" s="443"/>
      <c r="W90" s="443"/>
      <c r="X90" s="443"/>
      <c r="Y90" s="442"/>
    </row>
    <row r="91" spans="12:25" x14ac:dyDescent="0.2">
      <c r="L91" s="443"/>
      <c r="M91" s="443"/>
      <c r="N91" s="443"/>
      <c r="O91" s="443"/>
      <c r="P91" s="443"/>
      <c r="Q91" s="443"/>
      <c r="R91" s="443"/>
      <c r="S91" s="443">
        <v>89</v>
      </c>
      <c r="T91" s="443">
        <v>100</v>
      </c>
      <c r="U91" s="443"/>
      <c r="V91" s="443"/>
      <c r="W91" s="443"/>
      <c r="X91" s="443"/>
      <c r="Y91" s="442"/>
    </row>
    <row r="92" spans="12:25" x14ac:dyDescent="0.2">
      <c r="L92" s="443"/>
      <c r="M92" s="443"/>
      <c r="N92" s="443"/>
      <c r="O92" s="443"/>
      <c r="P92" s="443"/>
      <c r="Q92" s="443"/>
      <c r="R92" s="443"/>
      <c r="S92" s="443">
        <v>90</v>
      </c>
      <c r="T92" s="443">
        <v>100</v>
      </c>
      <c r="U92" s="443"/>
      <c r="V92" s="443"/>
      <c r="W92" s="443"/>
      <c r="X92" s="443"/>
      <c r="Y92" s="442"/>
    </row>
    <row r="93" spans="12:25" x14ac:dyDescent="0.2">
      <c r="L93" s="443"/>
      <c r="M93" s="443"/>
      <c r="N93" s="443"/>
      <c r="O93" s="443"/>
      <c r="P93" s="443"/>
      <c r="Q93" s="443"/>
      <c r="R93" s="443"/>
      <c r="S93" s="443">
        <v>91</v>
      </c>
      <c r="T93" s="443">
        <v>100</v>
      </c>
      <c r="U93" s="443"/>
      <c r="V93" s="443"/>
      <c r="W93" s="443"/>
      <c r="X93" s="443"/>
      <c r="Y93" s="442"/>
    </row>
    <row r="94" spans="12:25" x14ac:dyDescent="0.2">
      <c r="L94" s="443"/>
      <c r="M94" s="443"/>
      <c r="N94" s="443"/>
      <c r="O94" s="443"/>
      <c r="P94" s="443"/>
      <c r="Q94" s="443"/>
      <c r="R94" s="443"/>
      <c r="S94" s="443">
        <v>92</v>
      </c>
      <c r="T94" s="443">
        <v>100</v>
      </c>
      <c r="U94" s="443"/>
      <c r="V94" s="443"/>
      <c r="W94" s="443"/>
      <c r="X94" s="443"/>
      <c r="Y94" s="442"/>
    </row>
    <row r="95" spans="12:25" x14ac:dyDescent="0.2">
      <c r="L95" s="443"/>
      <c r="M95" s="443"/>
      <c r="N95" s="443"/>
      <c r="O95" s="443"/>
      <c r="P95" s="443"/>
      <c r="Q95" s="443"/>
      <c r="R95" s="443"/>
      <c r="S95" s="443">
        <v>93</v>
      </c>
      <c r="T95" s="443">
        <v>100</v>
      </c>
      <c r="U95" s="443"/>
      <c r="V95" s="443"/>
      <c r="W95" s="443"/>
      <c r="X95" s="443"/>
      <c r="Y95" s="442"/>
    </row>
    <row r="96" spans="12:25" x14ac:dyDescent="0.2">
      <c r="L96" s="443"/>
      <c r="M96" s="443"/>
      <c r="N96" s="443"/>
      <c r="O96" s="443"/>
      <c r="P96" s="443"/>
      <c r="Q96" s="443"/>
      <c r="R96" s="443"/>
      <c r="S96" s="443">
        <v>94</v>
      </c>
      <c r="T96" s="443">
        <v>100</v>
      </c>
      <c r="U96" s="443"/>
      <c r="V96" s="443"/>
      <c r="W96" s="443"/>
      <c r="X96" s="443"/>
      <c r="Y96" s="442"/>
    </row>
    <row r="97" spans="12:25" x14ac:dyDescent="0.2">
      <c r="L97" s="443"/>
      <c r="M97" s="443"/>
      <c r="N97" s="443"/>
      <c r="O97" s="443"/>
      <c r="P97" s="443"/>
      <c r="Q97" s="443"/>
      <c r="R97" s="443"/>
      <c r="S97" s="443">
        <v>95</v>
      </c>
      <c r="T97" s="443">
        <v>100</v>
      </c>
      <c r="U97" s="443"/>
      <c r="V97" s="443"/>
      <c r="W97" s="443"/>
      <c r="X97" s="443"/>
      <c r="Y97" s="442"/>
    </row>
    <row r="98" spans="12:25" x14ac:dyDescent="0.2">
      <c r="L98" s="443"/>
      <c r="M98" s="443"/>
      <c r="N98" s="443"/>
      <c r="O98" s="443"/>
      <c r="P98" s="443"/>
      <c r="Q98" s="443"/>
      <c r="R98" s="443"/>
      <c r="S98" s="443">
        <v>96</v>
      </c>
      <c r="T98" s="443">
        <v>100</v>
      </c>
      <c r="U98" s="443"/>
      <c r="V98" s="443"/>
      <c r="W98" s="443"/>
      <c r="X98" s="443"/>
      <c r="Y98" s="442"/>
    </row>
    <row r="99" spans="12:25" x14ac:dyDescent="0.2">
      <c r="L99" s="443"/>
      <c r="M99" s="443"/>
      <c r="N99" s="443"/>
      <c r="O99" s="443"/>
      <c r="P99" s="443"/>
      <c r="Q99" s="443"/>
      <c r="R99" s="443"/>
      <c r="S99" s="443">
        <v>97</v>
      </c>
      <c r="T99" s="443">
        <v>100</v>
      </c>
      <c r="U99" s="443"/>
      <c r="V99" s="443"/>
      <c r="W99" s="443"/>
      <c r="X99" s="443"/>
      <c r="Y99" s="442"/>
    </row>
    <row r="100" spans="12:25" x14ac:dyDescent="0.2">
      <c r="L100" s="443"/>
      <c r="M100" s="443"/>
      <c r="N100" s="443"/>
      <c r="O100" s="443"/>
      <c r="P100" s="443"/>
      <c r="Q100" s="443"/>
      <c r="R100" s="443"/>
      <c r="S100" s="443">
        <v>98</v>
      </c>
      <c r="T100" s="443">
        <v>100</v>
      </c>
      <c r="U100" s="443"/>
      <c r="V100" s="443"/>
      <c r="W100" s="443"/>
      <c r="X100" s="443"/>
      <c r="Y100" s="442"/>
    </row>
    <row r="101" spans="12:25" x14ac:dyDescent="0.2">
      <c r="L101" s="443"/>
      <c r="M101" s="443"/>
      <c r="N101" s="443"/>
      <c r="O101" s="443"/>
      <c r="P101" s="443"/>
      <c r="Q101" s="443"/>
      <c r="R101" s="443"/>
      <c r="S101" s="443">
        <v>99</v>
      </c>
      <c r="T101" s="443">
        <v>100</v>
      </c>
      <c r="U101" s="443"/>
      <c r="V101" s="443"/>
      <c r="W101" s="443"/>
      <c r="X101" s="443"/>
      <c r="Y101" s="442"/>
    </row>
    <row r="102" spans="12:25" x14ac:dyDescent="0.2">
      <c r="L102" s="443"/>
      <c r="M102" s="443"/>
      <c r="N102" s="443"/>
      <c r="O102" s="443"/>
      <c r="P102" s="443"/>
      <c r="Q102" s="443"/>
      <c r="R102" s="443"/>
      <c r="S102" s="443">
        <v>100</v>
      </c>
      <c r="T102" s="443">
        <v>100</v>
      </c>
      <c r="U102" s="443">
        <v>100</v>
      </c>
      <c r="V102" s="443"/>
      <c r="W102" s="443"/>
      <c r="X102" s="443"/>
      <c r="Y102" s="442"/>
    </row>
    <row r="103" spans="12:25" x14ac:dyDescent="0.2">
      <c r="L103" s="443"/>
      <c r="M103" s="443"/>
      <c r="N103" s="443"/>
      <c r="O103" s="443"/>
      <c r="P103" s="443"/>
      <c r="Q103" s="443"/>
      <c r="R103" s="443"/>
      <c r="S103" s="443">
        <v>101</v>
      </c>
      <c r="T103" s="443">
        <v>150</v>
      </c>
      <c r="U103" s="443"/>
      <c r="V103" s="443"/>
      <c r="W103" s="443"/>
      <c r="X103" s="443"/>
      <c r="Y103" s="442"/>
    </row>
    <row r="104" spans="12:25" x14ac:dyDescent="0.2">
      <c r="L104" s="443"/>
      <c r="M104" s="443"/>
      <c r="N104" s="443"/>
      <c r="O104" s="443"/>
      <c r="P104" s="443"/>
      <c r="Q104" s="443"/>
      <c r="R104" s="443"/>
      <c r="S104" s="443">
        <v>102</v>
      </c>
      <c r="T104" s="443">
        <v>150</v>
      </c>
      <c r="U104" s="443"/>
      <c r="V104" s="443"/>
      <c r="W104" s="443"/>
      <c r="X104" s="443"/>
      <c r="Y104" s="442"/>
    </row>
    <row r="105" spans="12:25" x14ac:dyDescent="0.2">
      <c r="L105" s="443"/>
      <c r="M105" s="443"/>
      <c r="N105" s="443"/>
      <c r="O105" s="443"/>
      <c r="P105" s="443"/>
      <c r="Q105" s="443"/>
      <c r="R105" s="443"/>
      <c r="S105" s="443">
        <v>103</v>
      </c>
      <c r="T105" s="443">
        <v>150</v>
      </c>
      <c r="U105" s="443"/>
      <c r="V105" s="443"/>
      <c r="W105" s="443"/>
      <c r="X105" s="443"/>
      <c r="Y105" s="442"/>
    </row>
    <row r="106" spans="12:25" x14ac:dyDescent="0.2">
      <c r="L106" s="443"/>
      <c r="M106" s="443"/>
      <c r="N106" s="443"/>
      <c r="O106" s="443"/>
      <c r="P106" s="443"/>
      <c r="Q106" s="443"/>
      <c r="R106" s="443"/>
      <c r="S106" s="443">
        <v>104</v>
      </c>
      <c r="T106" s="443">
        <v>150</v>
      </c>
      <c r="U106" s="443"/>
      <c r="V106" s="443"/>
      <c r="W106" s="443"/>
      <c r="X106" s="443"/>
      <c r="Y106" s="442"/>
    </row>
    <row r="107" spans="12:25" x14ac:dyDescent="0.2">
      <c r="L107" s="443"/>
      <c r="M107" s="443"/>
      <c r="N107" s="443"/>
      <c r="O107" s="443"/>
      <c r="P107" s="443"/>
      <c r="Q107" s="443"/>
      <c r="R107" s="443"/>
      <c r="S107" s="443">
        <v>105</v>
      </c>
      <c r="T107" s="443">
        <v>150</v>
      </c>
      <c r="U107" s="443"/>
      <c r="V107" s="443"/>
      <c r="W107" s="443"/>
      <c r="X107" s="443"/>
      <c r="Y107" s="442"/>
    </row>
    <row r="108" spans="12:25" x14ac:dyDescent="0.2">
      <c r="L108" s="443"/>
      <c r="M108" s="443"/>
      <c r="N108" s="443"/>
      <c r="O108" s="443"/>
      <c r="P108" s="443"/>
      <c r="Q108" s="443"/>
      <c r="R108" s="443"/>
      <c r="S108" s="443">
        <v>106</v>
      </c>
      <c r="T108" s="443">
        <v>150</v>
      </c>
      <c r="U108" s="443"/>
      <c r="V108" s="443"/>
      <c r="W108" s="443"/>
      <c r="X108" s="443"/>
      <c r="Y108" s="442"/>
    </row>
    <row r="109" spans="12:25" x14ac:dyDescent="0.2">
      <c r="L109" s="443"/>
      <c r="M109" s="443"/>
      <c r="N109" s="443"/>
      <c r="O109" s="443"/>
      <c r="P109" s="443"/>
      <c r="Q109" s="443"/>
      <c r="R109" s="443"/>
      <c r="S109" s="443">
        <v>107</v>
      </c>
      <c r="T109" s="443">
        <v>150</v>
      </c>
      <c r="U109" s="443"/>
      <c r="V109" s="443"/>
      <c r="W109" s="443"/>
      <c r="X109" s="443"/>
      <c r="Y109" s="442"/>
    </row>
    <row r="110" spans="12:25" x14ac:dyDescent="0.2">
      <c r="L110" s="443"/>
      <c r="M110" s="443"/>
      <c r="N110" s="443"/>
      <c r="O110" s="443"/>
      <c r="P110" s="443"/>
      <c r="Q110" s="443"/>
      <c r="R110" s="443"/>
      <c r="S110" s="443">
        <v>108</v>
      </c>
      <c r="T110" s="443">
        <v>150</v>
      </c>
      <c r="U110" s="443"/>
      <c r="V110" s="443"/>
      <c r="W110" s="443"/>
      <c r="X110" s="443"/>
      <c r="Y110" s="442"/>
    </row>
    <row r="111" spans="12:25" x14ac:dyDescent="0.2">
      <c r="L111" s="443"/>
      <c r="M111" s="443"/>
      <c r="N111" s="443"/>
      <c r="O111" s="443"/>
      <c r="P111" s="443"/>
      <c r="Q111" s="443"/>
      <c r="R111" s="443"/>
      <c r="S111" s="443">
        <v>109</v>
      </c>
      <c r="T111" s="443">
        <v>150</v>
      </c>
      <c r="U111" s="443"/>
      <c r="V111" s="443"/>
      <c r="W111" s="443"/>
      <c r="X111" s="443"/>
      <c r="Y111" s="442"/>
    </row>
    <row r="112" spans="12:25" x14ac:dyDescent="0.2">
      <c r="L112" s="443"/>
      <c r="M112" s="443"/>
      <c r="N112" s="443"/>
      <c r="O112" s="443"/>
      <c r="P112" s="443"/>
      <c r="Q112" s="443"/>
      <c r="R112" s="443"/>
      <c r="S112" s="443">
        <v>110</v>
      </c>
      <c r="T112" s="443">
        <v>150</v>
      </c>
      <c r="U112" s="443"/>
      <c r="V112" s="443"/>
      <c r="W112" s="443"/>
      <c r="X112" s="443"/>
      <c r="Y112" s="442"/>
    </row>
    <row r="113" spans="12:25" x14ac:dyDescent="0.2">
      <c r="L113" s="443"/>
      <c r="M113" s="443"/>
      <c r="N113" s="443"/>
      <c r="O113" s="443"/>
      <c r="P113" s="443"/>
      <c r="Q113" s="443"/>
      <c r="R113" s="443"/>
      <c r="S113" s="443">
        <v>111</v>
      </c>
      <c r="T113" s="443">
        <v>150</v>
      </c>
      <c r="U113" s="443"/>
      <c r="V113" s="443"/>
      <c r="W113" s="443"/>
      <c r="X113" s="443"/>
      <c r="Y113" s="442"/>
    </row>
    <row r="114" spans="12:25" x14ac:dyDescent="0.2">
      <c r="L114" s="443"/>
      <c r="M114" s="443"/>
      <c r="N114" s="443"/>
      <c r="O114" s="443"/>
      <c r="P114" s="443"/>
      <c r="Q114" s="443"/>
      <c r="R114" s="443"/>
      <c r="S114" s="443">
        <v>112</v>
      </c>
      <c r="T114" s="443">
        <v>150</v>
      </c>
      <c r="U114" s="443"/>
      <c r="V114" s="443"/>
      <c r="W114" s="443"/>
      <c r="X114" s="443"/>
      <c r="Y114" s="442"/>
    </row>
    <row r="115" spans="12:25" x14ac:dyDescent="0.2">
      <c r="L115" s="443"/>
      <c r="M115" s="443"/>
      <c r="N115" s="443"/>
      <c r="O115" s="443"/>
      <c r="P115" s="443"/>
      <c r="Q115" s="443"/>
      <c r="R115" s="443"/>
      <c r="S115" s="443">
        <v>113</v>
      </c>
      <c r="T115" s="443">
        <v>150</v>
      </c>
      <c r="U115" s="443"/>
      <c r="V115" s="443"/>
      <c r="W115" s="443"/>
      <c r="X115" s="443"/>
      <c r="Y115" s="442"/>
    </row>
    <row r="116" spans="12:25" x14ac:dyDescent="0.2">
      <c r="L116" s="443"/>
      <c r="M116" s="443"/>
      <c r="N116" s="443"/>
      <c r="O116" s="443"/>
      <c r="P116" s="443"/>
      <c r="Q116" s="443"/>
      <c r="R116" s="443"/>
      <c r="S116" s="443">
        <v>114</v>
      </c>
      <c r="T116" s="443">
        <v>150</v>
      </c>
      <c r="U116" s="443"/>
      <c r="V116" s="443"/>
      <c r="W116" s="443"/>
      <c r="X116" s="443"/>
      <c r="Y116" s="442"/>
    </row>
    <row r="117" spans="12:25" x14ac:dyDescent="0.2">
      <c r="L117" s="443"/>
      <c r="M117" s="443"/>
      <c r="N117" s="443"/>
      <c r="O117" s="443"/>
      <c r="P117" s="443"/>
      <c r="Q117" s="443"/>
      <c r="R117" s="443"/>
      <c r="S117" s="443">
        <v>115</v>
      </c>
      <c r="T117" s="443">
        <v>150</v>
      </c>
      <c r="U117" s="443"/>
      <c r="V117" s="443"/>
      <c r="W117" s="443"/>
      <c r="X117" s="443"/>
      <c r="Y117" s="442"/>
    </row>
    <row r="118" spans="12:25" x14ac:dyDescent="0.2">
      <c r="L118" s="443"/>
      <c r="M118" s="443"/>
      <c r="N118" s="443"/>
      <c r="O118" s="443"/>
      <c r="P118" s="443"/>
      <c r="Q118" s="443"/>
      <c r="R118" s="443"/>
      <c r="S118" s="443">
        <v>116</v>
      </c>
      <c r="T118" s="443">
        <v>150</v>
      </c>
      <c r="U118" s="443"/>
      <c r="V118" s="443"/>
      <c r="W118" s="443"/>
      <c r="X118" s="443"/>
      <c r="Y118" s="442"/>
    </row>
    <row r="119" spans="12:25" x14ac:dyDescent="0.2">
      <c r="L119" s="443"/>
      <c r="M119" s="443"/>
      <c r="N119" s="443"/>
      <c r="O119" s="443"/>
      <c r="P119" s="443"/>
      <c r="Q119" s="443"/>
      <c r="R119" s="443"/>
      <c r="S119" s="443">
        <v>117</v>
      </c>
      <c r="T119" s="443">
        <v>150</v>
      </c>
      <c r="U119" s="443"/>
      <c r="V119" s="443"/>
      <c r="W119" s="443"/>
      <c r="X119" s="443"/>
      <c r="Y119" s="442"/>
    </row>
    <row r="120" spans="12:25" x14ac:dyDescent="0.2">
      <c r="L120" s="443"/>
      <c r="M120" s="443"/>
      <c r="N120" s="443"/>
      <c r="O120" s="443"/>
      <c r="P120" s="443"/>
      <c r="Q120" s="443"/>
      <c r="R120" s="443"/>
      <c r="S120" s="443">
        <v>118</v>
      </c>
      <c r="T120" s="443">
        <v>150</v>
      </c>
      <c r="U120" s="443"/>
      <c r="V120" s="443"/>
      <c r="W120" s="443"/>
      <c r="X120" s="443"/>
      <c r="Y120" s="442"/>
    </row>
    <row r="121" spans="12:25" x14ac:dyDescent="0.2">
      <c r="L121" s="443"/>
      <c r="M121" s="443"/>
      <c r="N121" s="443"/>
      <c r="O121" s="443"/>
      <c r="P121" s="443"/>
      <c r="Q121" s="443"/>
      <c r="R121" s="443"/>
      <c r="S121" s="443">
        <v>119</v>
      </c>
      <c r="T121" s="443">
        <v>150</v>
      </c>
      <c r="U121" s="443"/>
      <c r="V121" s="443"/>
      <c r="W121" s="443"/>
      <c r="X121" s="443"/>
      <c r="Y121" s="442"/>
    </row>
    <row r="122" spans="12:25" x14ac:dyDescent="0.2">
      <c r="L122" s="443"/>
      <c r="M122" s="443"/>
      <c r="N122" s="443"/>
      <c r="O122" s="443"/>
      <c r="P122" s="443"/>
      <c r="Q122" s="443"/>
      <c r="R122" s="443"/>
      <c r="S122" s="443">
        <v>120</v>
      </c>
      <c r="T122" s="443">
        <v>150</v>
      </c>
      <c r="U122" s="443"/>
      <c r="V122" s="443"/>
      <c r="W122" s="443"/>
      <c r="X122" s="443"/>
      <c r="Y122" s="442"/>
    </row>
    <row r="123" spans="12:25" x14ac:dyDescent="0.2">
      <c r="L123" s="443"/>
      <c r="M123" s="443"/>
      <c r="N123" s="443"/>
      <c r="O123" s="443"/>
      <c r="P123" s="443"/>
      <c r="Q123" s="443"/>
      <c r="R123" s="443"/>
      <c r="S123" s="443">
        <v>121</v>
      </c>
      <c r="T123" s="443">
        <v>150</v>
      </c>
      <c r="U123" s="443"/>
      <c r="V123" s="443"/>
      <c r="W123" s="443"/>
      <c r="X123" s="443"/>
      <c r="Y123" s="442"/>
    </row>
    <row r="124" spans="12:25" x14ac:dyDescent="0.2">
      <c r="L124" s="443"/>
      <c r="M124" s="443"/>
      <c r="N124" s="443"/>
      <c r="O124" s="443"/>
      <c r="P124" s="443"/>
      <c r="Q124" s="443"/>
      <c r="R124" s="443"/>
      <c r="S124" s="443">
        <v>122</v>
      </c>
      <c r="T124" s="443">
        <v>150</v>
      </c>
      <c r="U124" s="443"/>
      <c r="V124" s="443"/>
      <c r="W124" s="443"/>
      <c r="X124" s="443"/>
      <c r="Y124" s="442"/>
    </row>
    <row r="125" spans="12:25" x14ac:dyDescent="0.2">
      <c r="L125" s="443"/>
      <c r="M125" s="443"/>
      <c r="N125" s="443"/>
      <c r="O125" s="443"/>
      <c r="P125" s="443"/>
      <c r="Q125" s="443"/>
      <c r="R125" s="443"/>
      <c r="S125" s="443">
        <v>123</v>
      </c>
      <c r="T125" s="443">
        <v>150</v>
      </c>
      <c r="U125" s="443"/>
      <c r="V125" s="443"/>
      <c r="W125" s="443"/>
      <c r="X125" s="443"/>
      <c r="Y125" s="442"/>
    </row>
    <row r="126" spans="12:25" x14ac:dyDescent="0.2">
      <c r="L126" s="443"/>
      <c r="M126" s="443"/>
      <c r="N126" s="443"/>
      <c r="O126" s="443"/>
      <c r="P126" s="443"/>
      <c r="Q126" s="443"/>
      <c r="R126" s="443"/>
      <c r="S126" s="443">
        <v>124</v>
      </c>
      <c r="T126" s="443">
        <v>150</v>
      </c>
      <c r="U126" s="443"/>
      <c r="V126" s="443"/>
      <c r="W126" s="443"/>
      <c r="X126" s="443"/>
      <c r="Y126" s="442"/>
    </row>
    <row r="127" spans="12:25" x14ac:dyDescent="0.2">
      <c r="L127" s="443"/>
      <c r="M127" s="443"/>
      <c r="N127" s="443"/>
      <c r="O127" s="443"/>
      <c r="P127" s="443"/>
      <c r="Q127" s="443"/>
      <c r="R127" s="443"/>
      <c r="S127" s="443">
        <v>125</v>
      </c>
      <c r="T127" s="443">
        <v>150</v>
      </c>
      <c r="U127" s="443"/>
      <c r="V127" s="443"/>
      <c r="W127" s="443"/>
      <c r="X127" s="443"/>
      <c r="Y127" s="442"/>
    </row>
    <row r="128" spans="12:25" x14ac:dyDescent="0.2">
      <c r="L128" s="443"/>
      <c r="M128" s="443"/>
      <c r="N128" s="443"/>
      <c r="O128" s="443"/>
      <c r="P128" s="443"/>
      <c r="Q128" s="443"/>
      <c r="R128" s="443"/>
      <c r="S128" s="443">
        <v>126</v>
      </c>
      <c r="T128" s="443">
        <v>150</v>
      </c>
      <c r="U128" s="443"/>
      <c r="V128" s="443"/>
      <c r="W128" s="443"/>
      <c r="X128" s="443"/>
      <c r="Y128" s="442"/>
    </row>
    <row r="129" spans="12:25" x14ac:dyDescent="0.2">
      <c r="L129" s="443"/>
      <c r="M129" s="443"/>
      <c r="N129" s="443"/>
      <c r="O129" s="443"/>
      <c r="P129" s="443"/>
      <c r="Q129" s="443"/>
      <c r="R129" s="443"/>
      <c r="S129" s="443">
        <v>127</v>
      </c>
      <c r="T129" s="443">
        <v>150</v>
      </c>
      <c r="U129" s="443"/>
      <c r="V129" s="443"/>
      <c r="W129" s="443"/>
      <c r="X129" s="443"/>
      <c r="Y129" s="442"/>
    </row>
    <row r="130" spans="12:25" x14ac:dyDescent="0.2">
      <c r="L130" s="443"/>
      <c r="M130" s="443"/>
      <c r="N130" s="443"/>
      <c r="O130" s="443"/>
      <c r="P130" s="443"/>
      <c r="Q130" s="443"/>
      <c r="R130" s="443"/>
      <c r="S130" s="443">
        <v>128</v>
      </c>
      <c r="T130" s="443">
        <v>150</v>
      </c>
      <c r="U130" s="443"/>
      <c r="V130" s="443"/>
      <c r="W130" s="443"/>
      <c r="X130" s="443"/>
      <c r="Y130" s="442"/>
    </row>
    <row r="131" spans="12:25" x14ac:dyDescent="0.2">
      <c r="L131" s="443"/>
      <c r="M131" s="443"/>
      <c r="N131" s="443"/>
      <c r="O131" s="443"/>
      <c r="P131" s="443"/>
      <c r="Q131" s="443"/>
      <c r="R131" s="443"/>
      <c r="S131" s="443">
        <v>129</v>
      </c>
      <c r="T131" s="443">
        <v>150</v>
      </c>
      <c r="U131" s="443"/>
      <c r="V131" s="443"/>
      <c r="W131" s="443"/>
      <c r="X131" s="443"/>
      <c r="Y131" s="442"/>
    </row>
    <row r="132" spans="12:25" x14ac:dyDescent="0.2">
      <c r="L132" s="443"/>
      <c r="M132" s="443"/>
      <c r="N132" s="443"/>
      <c r="O132" s="443"/>
      <c r="P132" s="443"/>
      <c r="Q132" s="443"/>
      <c r="R132" s="443"/>
      <c r="S132" s="443">
        <v>130</v>
      </c>
      <c r="T132" s="443">
        <v>150</v>
      </c>
      <c r="U132" s="443"/>
      <c r="V132" s="443"/>
      <c r="W132" s="443"/>
      <c r="X132" s="443"/>
      <c r="Y132" s="442"/>
    </row>
    <row r="133" spans="12:25" x14ac:dyDescent="0.2">
      <c r="L133" s="443"/>
      <c r="M133" s="443"/>
      <c r="N133" s="443"/>
      <c r="O133" s="443"/>
      <c r="P133" s="443"/>
      <c r="Q133" s="443"/>
      <c r="R133" s="443"/>
      <c r="S133" s="443">
        <v>131</v>
      </c>
      <c r="T133" s="443">
        <v>150</v>
      </c>
      <c r="U133" s="443"/>
      <c r="V133" s="443"/>
      <c r="W133" s="443"/>
      <c r="X133" s="443"/>
      <c r="Y133" s="442"/>
    </row>
    <row r="134" spans="12:25" x14ac:dyDescent="0.2">
      <c r="L134" s="443"/>
      <c r="M134" s="443"/>
      <c r="N134" s="443"/>
      <c r="O134" s="443"/>
      <c r="P134" s="443"/>
      <c r="Q134" s="443"/>
      <c r="R134" s="443"/>
      <c r="S134" s="443">
        <v>132</v>
      </c>
      <c r="T134" s="443">
        <v>150</v>
      </c>
      <c r="U134" s="443"/>
      <c r="V134" s="443"/>
      <c r="W134" s="443"/>
      <c r="X134" s="443"/>
      <c r="Y134" s="442"/>
    </row>
    <row r="135" spans="12:25" x14ac:dyDescent="0.2">
      <c r="L135" s="443"/>
      <c r="M135" s="443"/>
      <c r="N135" s="443"/>
      <c r="O135" s="443"/>
      <c r="P135" s="443"/>
      <c r="Q135" s="443"/>
      <c r="R135" s="443"/>
      <c r="S135" s="443">
        <v>133</v>
      </c>
      <c r="T135" s="443">
        <v>150</v>
      </c>
      <c r="U135" s="443"/>
      <c r="V135" s="443"/>
      <c r="W135" s="443"/>
      <c r="X135" s="443"/>
      <c r="Y135" s="442"/>
    </row>
    <row r="136" spans="12:25" x14ac:dyDescent="0.2">
      <c r="L136" s="443"/>
      <c r="M136" s="443"/>
      <c r="N136" s="443"/>
      <c r="O136" s="443"/>
      <c r="P136" s="443"/>
      <c r="Q136" s="443"/>
      <c r="R136" s="443"/>
      <c r="S136" s="443">
        <v>134</v>
      </c>
      <c r="T136" s="443">
        <v>150</v>
      </c>
      <c r="U136" s="443"/>
      <c r="V136" s="443"/>
      <c r="W136" s="443"/>
      <c r="X136" s="443"/>
      <c r="Y136" s="442"/>
    </row>
    <row r="137" spans="12:25" x14ac:dyDescent="0.2">
      <c r="L137" s="443"/>
      <c r="M137" s="443"/>
      <c r="N137" s="443"/>
      <c r="O137" s="443"/>
      <c r="P137" s="443"/>
      <c r="Q137" s="443"/>
      <c r="R137" s="443"/>
      <c r="S137" s="443">
        <v>135</v>
      </c>
      <c r="T137" s="443">
        <v>150</v>
      </c>
      <c r="U137" s="443"/>
      <c r="V137" s="443"/>
      <c r="W137" s="443"/>
      <c r="X137" s="443"/>
      <c r="Y137" s="442"/>
    </row>
    <row r="138" spans="12:25" x14ac:dyDescent="0.2">
      <c r="L138" s="443"/>
      <c r="M138" s="443"/>
      <c r="N138" s="443"/>
      <c r="O138" s="443"/>
      <c r="P138" s="443"/>
      <c r="Q138" s="443"/>
      <c r="R138" s="443"/>
      <c r="S138" s="443">
        <v>136</v>
      </c>
      <c r="T138" s="443">
        <v>150</v>
      </c>
      <c r="U138" s="443"/>
      <c r="V138" s="443"/>
      <c r="W138" s="443"/>
      <c r="X138" s="443"/>
      <c r="Y138" s="442"/>
    </row>
    <row r="139" spans="12:25" x14ac:dyDescent="0.2">
      <c r="L139" s="443"/>
      <c r="M139" s="443"/>
      <c r="N139" s="443"/>
      <c r="O139" s="443"/>
      <c r="P139" s="443"/>
      <c r="Q139" s="443"/>
      <c r="R139" s="443"/>
      <c r="S139" s="443">
        <v>137</v>
      </c>
      <c r="T139" s="443">
        <v>150</v>
      </c>
      <c r="U139" s="443"/>
      <c r="V139" s="443"/>
      <c r="W139" s="443"/>
      <c r="X139" s="443"/>
      <c r="Y139" s="442"/>
    </row>
    <row r="140" spans="12:25" x14ac:dyDescent="0.2">
      <c r="L140" s="443"/>
      <c r="M140" s="443"/>
      <c r="N140" s="443"/>
      <c r="O140" s="443"/>
      <c r="P140" s="443"/>
      <c r="Q140" s="443"/>
      <c r="R140" s="443"/>
      <c r="S140" s="443">
        <v>138</v>
      </c>
      <c r="T140" s="443">
        <v>150</v>
      </c>
      <c r="U140" s="443"/>
      <c r="V140" s="443"/>
      <c r="W140" s="443"/>
      <c r="X140" s="443"/>
      <c r="Y140" s="442"/>
    </row>
    <row r="141" spans="12:25" x14ac:dyDescent="0.2">
      <c r="L141" s="443"/>
      <c r="M141" s="443"/>
      <c r="N141" s="443"/>
      <c r="O141" s="443"/>
      <c r="P141" s="443"/>
      <c r="Q141" s="443"/>
      <c r="R141" s="443"/>
      <c r="S141" s="443">
        <v>139</v>
      </c>
      <c r="T141" s="443">
        <v>150</v>
      </c>
      <c r="U141" s="443"/>
      <c r="V141" s="443"/>
      <c r="W141" s="443"/>
      <c r="X141" s="443"/>
      <c r="Y141" s="442"/>
    </row>
    <row r="142" spans="12:25" x14ac:dyDescent="0.2">
      <c r="L142" s="443"/>
      <c r="M142" s="443"/>
      <c r="N142" s="443"/>
      <c r="O142" s="443"/>
      <c r="P142" s="443"/>
      <c r="Q142" s="443"/>
      <c r="R142" s="443"/>
      <c r="S142" s="443">
        <v>140</v>
      </c>
      <c r="T142" s="443">
        <v>150</v>
      </c>
      <c r="U142" s="443"/>
      <c r="V142" s="443"/>
      <c r="W142" s="443"/>
      <c r="X142" s="443"/>
      <c r="Y142" s="442"/>
    </row>
    <row r="143" spans="12:25" x14ac:dyDescent="0.2">
      <c r="L143" s="443"/>
      <c r="M143" s="443"/>
      <c r="N143" s="443"/>
      <c r="O143" s="443"/>
      <c r="P143" s="443"/>
      <c r="Q143" s="443"/>
      <c r="R143" s="443"/>
      <c r="S143" s="443">
        <v>141</v>
      </c>
      <c r="T143" s="443">
        <v>150</v>
      </c>
      <c r="U143" s="443"/>
      <c r="V143" s="443"/>
      <c r="W143" s="443"/>
      <c r="X143" s="443"/>
      <c r="Y143" s="442"/>
    </row>
    <row r="144" spans="12:25" x14ac:dyDescent="0.2">
      <c r="L144" s="443"/>
      <c r="M144" s="443"/>
      <c r="N144" s="443"/>
      <c r="O144" s="443"/>
      <c r="P144" s="443"/>
      <c r="Q144" s="443"/>
      <c r="R144" s="443"/>
      <c r="S144" s="443">
        <v>142</v>
      </c>
      <c r="T144" s="443">
        <v>150</v>
      </c>
      <c r="U144" s="443"/>
      <c r="V144" s="443"/>
      <c r="W144" s="443"/>
      <c r="X144" s="443"/>
      <c r="Y144" s="442"/>
    </row>
    <row r="145" spans="12:25" x14ac:dyDescent="0.2">
      <c r="L145" s="443"/>
      <c r="M145" s="443"/>
      <c r="N145" s="443"/>
      <c r="O145" s="443"/>
      <c r="P145" s="443"/>
      <c r="Q145" s="443"/>
      <c r="R145" s="443"/>
      <c r="S145" s="443">
        <v>143</v>
      </c>
      <c r="T145" s="443">
        <v>150</v>
      </c>
      <c r="U145" s="443"/>
      <c r="V145" s="443"/>
      <c r="W145" s="443"/>
      <c r="X145" s="443"/>
      <c r="Y145" s="442"/>
    </row>
    <row r="146" spans="12:25" x14ac:dyDescent="0.2">
      <c r="L146" s="443"/>
      <c r="M146" s="443"/>
      <c r="N146" s="443"/>
      <c r="O146" s="443"/>
      <c r="P146" s="443"/>
      <c r="Q146" s="443"/>
      <c r="R146" s="443"/>
      <c r="S146" s="443">
        <v>144</v>
      </c>
      <c r="T146" s="443">
        <v>150</v>
      </c>
      <c r="U146" s="443"/>
      <c r="V146" s="443"/>
      <c r="W146" s="443"/>
      <c r="X146" s="443"/>
      <c r="Y146" s="442"/>
    </row>
    <row r="147" spans="12:25" x14ac:dyDescent="0.2">
      <c r="L147" s="443"/>
      <c r="M147" s="443"/>
      <c r="N147" s="443"/>
      <c r="O147" s="443"/>
      <c r="P147" s="443"/>
      <c r="Q147" s="443"/>
      <c r="R147" s="443"/>
      <c r="S147" s="443">
        <v>145</v>
      </c>
      <c r="T147" s="443">
        <v>150</v>
      </c>
      <c r="U147" s="443"/>
      <c r="V147" s="443"/>
      <c r="W147" s="443"/>
      <c r="X147" s="443"/>
      <c r="Y147" s="442"/>
    </row>
    <row r="148" spans="12:25" x14ac:dyDescent="0.2">
      <c r="L148" s="443"/>
      <c r="M148" s="443"/>
      <c r="N148" s="443"/>
      <c r="O148" s="443"/>
      <c r="P148" s="443"/>
      <c r="Q148" s="443"/>
      <c r="R148" s="443"/>
      <c r="S148" s="443">
        <v>146</v>
      </c>
      <c r="T148" s="443">
        <v>150</v>
      </c>
      <c r="U148" s="443"/>
      <c r="V148" s="443"/>
      <c r="W148" s="443"/>
      <c r="X148" s="443"/>
      <c r="Y148" s="442"/>
    </row>
    <row r="149" spans="12:25" x14ac:dyDescent="0.2">
      <c r="L149" s="443"/>
      <c r="M149" s="443"/>
      <c r="N149" s="443"/>
      <c r="O149" s="443"/>
      <c r="P149" s="443"/>
      <c r="Q149" s="443"/>
      <c r="R149" s="443"/>
      <c r="S149" s="443">
        <v>147</v>
      </c>
      <c r="T149" s="443">
        <v>150</v>
      </c>
      <c r="U149" s="443"/>
      <c r="V149" s="443"/>
      <c r="W149" s="443"/>
      <c r="X149" s="443"/>
      <c r="Y149" s="442"/>
    </row>
    <row r="150" spans="12:25" x14ac:dyDescent="0.2">
      <c r="L150" s="443"/>
      <c r="M150" s="443"/>
      <c r="N150" s="443"/>
      <c r="O150" s="443"/>
      <c r="P150" s="443"/>
      <c r="Q150" s="443"/>
      <c r="R150" s="443"/>
      <c r="S150" s="443">
        <v>148</v>
      </c>
      <c r="T150" s="443">
        <v>150</v>
      </c>
      <c r="U150" s="443"/>
      <c r="V150" s="443"/>
      <c r="W150" s="443"/>
      <c r="X150" s="443"/>
      <c r="Y150" s="442"/>
    </row>
    <row r="151" spans="12:25" x14ac:dyDescent="0.2">
      <c r="L151" s="443"/>
      <c r="M151" s="443"/>
      <c r="N151" s="443"/>
      <c r="O151" s="443"/>
      <c r="P151" s="443"/>
      <c r="Q151" s="443"/>
      <c r="R151" s="443"/>
      <c r="S151" s="443">
        <v>149</v>
      </c>
      <c r="T151" s="443">
        <v>150</v>
      </c>
      <c r="U151" s="443"/>
      <c r="V151" s="443"/>
      <c r="W151" s="443"/>
      <c r="X151" s="443"/>
      <c r="Y151" s="442"/>
    </row>
    <row r="152" spans="12:25" x14ac:dyDescent="0.2">
      <c r="L152" s="443"/>
      <c r="M152" s="443"/>
      <c r="N152" s="443"/>
      <c r="O152" s="443"/>
      <c r="P152" s="443"/>
      <c r="Q152" s="443"/>
      <c r="R152" s="443"/>
      <c r="S152" s="443">
        <v>150</v>
      </c>
      <c r="T152" s="443">
        <v>150</v>
      </c>
      <c r="U152" s="443">
        <v>150</v>
      </c>
      <c r="V152" s="443"/>
      <c r="W152" s="443"/>
      <c r="X152" s="443"/>
      <c r="Y152" s="442"/>
    </row>
    <row r="153" spans="12:25" x14ac:dyDescent="0.2">
      <c r="L153" s="443"/>
      <c r="M153" s="443"/>
      <c r="N153" s="443"/>
      <c r="O153" s="443"/>
      <c r="P153" s="443"/>
      <c r="Q153" s="443"/>
      <c r="R153" s="443"/>
      <c r="S153" s="443">
        <v>151</v>
      </c>
      <c r="T153" s="443">
        <v>150</v>
      </c>
      <c r="U153" s="443"/>
      <c r="V153" s="443"/>
      <c r="W153" s="443"/>
      <c r="X153" s="443"/>
      <c r="Y153" s="442"/>
    </row>
    <row r="154" spans="12:25" x14ac:dyDescent="0.2">
      <c r="L154" s="443"/>
      <c r="M154" s="443"/>
      <c r="N154" s="443"/>
      <c r="O154" s="443"/>
      <c r="P154" s="443"/>
      <c r="Q154" s="443"/>
      <c r="R154" s="443"/>
      <c r="S154" s="443">
        <v>152</v>
      </c>
      <c r="T154" s="443">
        <v>150</v>
      </c>
      <c r="U154" s="443"/>
      <c r="V154" s="443"/>
      <c r="W154" s="443"/>
      <c r="X154" s="443"/>
      <c r="Y154" s="442"/>
    </row>
    <row r="155" spans="12:25" x14ac:dyDescent="0.2">
      <c r="L155" s="443"/>
      <c r="M155" s="443"/>
      <c r="N155" s="443"/>
      <c r="O155" s="443"/>
      <c r="P155" s="443"/>
      <c r="Q155" s="443"/>
      <c r="R155" s="443"/>
      <c r="S155" s="443">
        <v>153</v>
      </c>
      <c r="T155" s="443">
        <v>150</v>
      </c>
      <c r="U155" s="443"/>
      <c r="V155" s="443"/>
      <c r="W155" s="443"/>
      <c r="X155" s="443"/>
      <c r="Y155" s="442"/>
    </row>
    <row r="156" spans="12:25" x14ac:dyDescent="0.2">
      <c r="L156" s="443"/>
      <c r="M156" s="443"/>
      <c r="N156" s="443"/>
      <c r="O156" s="443"/>
      <c r="P156" s="443"/>
      <c r="Q156" s="443"/>
      <c r="R156" s="443"/>
      <c r="S156" s="443">
        <v>154</v>
      </c>
      <c r="T156" s="443">
        <v>150</v>
      </c>
      <c r="U156" s="443"/>
      <c r="V156" s="443"/>
      <c r="W156" s="443"/>
      <c r="X156" s="443"/>
      <c r="Y156" s="442"/>
    </row>
    <row r="157" spans="12:25" x14ac:dyDescent="0.2">
      <c r="L157" s="443"/>
      <c r="M157" s="443"/>
      <c r="N157" s="443"/>
      <c r="O157" s="443"/>
      <c r="P157" s="443"/>
      <c r="Q157" s="443"/>
      <c r="R157" s="443"/>
      <c r="S157" s="443">
        <v>155</v>
      </c>
      <c r="T157" s="443">
        <v>150</v>
      </c>
      <c r="U157" s="443"/>
      <c r="V157" s="443"/>
      <c r="W157" s="443"/>
      <c r="X157" s="443"/>
      <c r="Y157" s="442"/>
    </row>
    <row r="158" spans="12:25" x14ac:dyDescent="0.2">
      <c r="L158" s="443"/>
      <c r="M158" s="443"/>
      <c r="N158" s="443"/>
      <c r="O158" s="443"/>
      <c r="P158" s="443"/>
      <c r="Q158" s="443"/>
      <c r="R158" s="443"/>
      <c r="S158" s="443">
        <v>156</v>
      </c>
      <c r="T158" s="443">
        <v>150</v>
      </c>
      <c r="U158" s="443"/>
      <c r="V158" s="443"/>
      <c r="W158" s="443"/>
      <c r="X158" s="443"/>
      <c r="Y158" s="442"/>
    </row>
    <row r="159" spans="12:25" x14ac:dyDescent="0.2">
      <c r="L159" s="443"/>
      <c r="M159" s="443"/>
      <c r="N159" s="443"/>
      <c r="O159" s="443"/>
      <c r="P159" s="443"/>
      <c r="Q159" s="443"/>
      <c r="R159" s="443"/>
      <c r="S159" s="443">
        <v>157</v>
      </c>
      <c r="T159" s="443">
        <v>150</v>
      </c>
      <c r="U159" s="443"/>
      <c r="V159" s="443"/>
      <c r="W159" s="443"/>
      <c r="X159" s="443"/>
      <c r="Y159" s="442"/>
    </row>
    <row r="160" spans="12:25" x14ac:dyDescent="0.2">
      <c r="L160" s="443"/>
      <c r="M160" s="443"/>
      <c r="N160" s="443"/>
      <c r="O160" s="443"/>
      <c r="P160" s="443"/>
      <c r="Q160" s="443"/>
      <c r="R160" s="443"/>
      <c r="S160" s="443">
        <v>158</v>
      </c>
      <c r="T160" s="443">
        <v>150</v>
      </c>
      <c r="U160" s="443"/>
      <c r="V160" s="443"/>
      <c r="W160" s="443"/>
      <c r="X160" s="443"/>
      <c r="Y160" s="442"/>
    </row>
    <row r="161" spans="12:25" x14ac:dyDescent="0.2">
      <c r="L161" s="443"/>
      <c r="M161" s="443"/>
      <c r="N161" s="443"/>
      <c r="O161" s="443"/>
      <c r="P161" s="443"/>
      <c r="Q161" s="443"/>
      <c r="R161" s="443"/>
      <c r="S161" s="443">
        <v>159</v>
      </c>
      <c r="T161" s="443">
        <v>150</v>
      </c>
      <c r="U161" s="443"/>
      <c r="V161" s="443"/>
      <c r="W161" s="443"/>
      <c r="X161" s="443"/>
      <c r="Y161" s="442"/>
    </row>
    <row r="162" spans="12:25" x14ac:dyDescent="0.2">
      <c r="L162" s="443"/>
      <c r="M162" s="443"/>
      <c r="N162" s="443"/>
      <c r="O162" s="443"/>
      <c r="P162" s="443"/>
      <c r="Q162" s="443"/>
      <c r="R162" s="443"/>
      <c r="S162" s="443">
        <v>160</v>
      </c>
      <c r="T162" s="443">
        <v>150</v>
      </c>
      <c r="U162" s="443"/>
      <c r="V162" s="443"/>
      <c r="W162" s="443"/>
      <c r="X162" s="443"/>
      <c r="Y162" s="442"/>
    </row>
    <row r="163" spans="12:25" x14ac:dyDescent="0.2">
      <c r="L163" s="443"/>
      <c r="M163" s="443"/>
      <c r="N163" s="443"/>
      <c r="O163" s="443"/>
      <c r="P163" s="443"/>
      <c r="Q163" s="443"/>
      <c r="R163" s="443"/>
      <c r="S163" s="443">
        <v>161</v>
      </c>
      <c r="T163" s="443">
        <v>150</v>
      </c>
      <c r="U163" s="443"/>
      <c r="V163" s="443"/>
      <c r="W163" s="443"/>
      <c r="X163" s="443"/>
      <c r="Y163" s="442"/>
    </row>
    <row r="164" spans="12:25" x14ac:dyDescent="0.2">
      <c r="L164" s="443"/>
      <c r="M164" s="443"/>
      <c r="N164" s="443"/>
      <c r="O164" s="443"/>
      <c r="P164" s="443"/>
      <c r="Q164" s="443"/>
      <c r="R164" s="443"/>
      <c r="S164" s="443">
        <v>162</v>
      </c>
      <c r="T164" s="443">
        <v>150</v>
      </c>
      <c r="U164" s="443"/>
      <c r="V164" s="443"/>
      <c r="W164" s="443"/>
      <c r="X164" s="443"/>
      <c r="Y164" s="442"/>
    </row>
    <row r="165" spans="12:25" x14ac:dyDescent="0.2">
      <c r="L165" s="443"/>
      <c r="M165" s="443"/>
      <c r="N165" s="443"/>
      <c r="O165" s="443"/>
      <c r="P165" s="443"/>
      <c r="Q165" s="443"/>
      <c r="R165" s="443"/>
      <c r="S165" s="443">
        <v>163</v>
      </c>
      <c r="T165" s="443">
        <v>150</v>
      </c>
      <c r="U165" s="443"/>
      <c r="V165" s="443"/>
      <c r="W165" s="443"/>
      <c r="X165" s="443"/>
      <c r="Y165" s="442"/>
    </row>
    <row r="166" spans="12:25" x14ac:dyDescent="0.2">
      <c r="L166" s="443"/>
      <c r="M166" s="443"/>
      <c r="N166" s="443"/>
      <c r="O166" s="443"/>
      <c r="P166" s="443"/>
      <c r="Q166" s="443"/>
      <c r="R166" s="443"/>
      <c r="S166" s="443">
        <v>164</v>
      </c>
      <c r="T166" s="443">
        <v>150</v>
      </c>
      <c r="U166" s="443"/>
      <c r="V166" s="443"/>
      <c r="W166" s="443"/>
      <c r="X166" s="443"/>
      <c r="Y166" s="442"/>
    </row>
    <row r="167" spans="12:25" x14ac:dyDescent="0.2">
      <c r="L167" s="443"/>
      <c r="M167" s="443"/>
      <c r="N167" s="443"/>
      <c r="O167" s="443"/>
      <c r="P167" s="443"/>
      <c r="Q167" s="443"/>
      <c r="R167" s="443"/>
      <c r="S167" s="443">
        <v>165</v>
      </c>
      <c r="T167" s="443">
        <v>150</v>
      </c>
      <c r="U167" s="443"/>
      <c r="V167" s="443"/>
      <c r="W167" s="443"/>
      <c r="X167" s="443"/>
      <c r="Y167" s="442"/>
    </row>
    <row r="168" spans="12:25" x14ac:dyDescent="0.2">
      <c r="L168" s="443"/>
      <c r="M168" s="443"/>
      <c r="N168" s="443"/>
      <c r="O168" s="443"/>
      <c r="P168" s="443"/>
      <c r="Q168" s="443"/>
      <c r="R168" s="443"/>
      <c r="S168" s="443">
        <v>166</v>
      </c>
      <c r="T168" s="443">
        <v>150</v>
      </c>
      <c r="U168" s="443"/>
      <c r="V168" s="443"/>
      <c r="W168" s="443"/>
      <c r="X168" s="443"/>
      <c r="Y168" s="442"/>
    </row>
    <row r="169" spans="12:25" x14ac:dyDescent="0.2">
      <c r="L169" s="443"/>
      <c r="M169" s="443"/>
      <c r="N169" s="443"/>
      <c r="O169" s="443"/>
      <c r="P169" s="443"/>
      <c r="Q169" s="443"/>
      <c r="R169" s="443"/>
      <c r="S169" s="443">
        <v>167</v>
      </c>
      <c r="T169" s="443">
        <v>150</v>
      </c>
      <c r="U169" s="443"/>
      <c r="V169" s="443"/>
      <c r="W169" s="443"/>
      <c r="X169" s="443"/>
      <c r="Y169" s="442"/>
    </row>
    <row r="170" spans="12:25" x14ac:dyDescent="0.2">
      <c r="L170" s="443"/>
      <c r="M170" s="443"/>
      <c r="N170" s="443"/>
      <c r="O170" s="443"/>
      <c r="P170" s="443"/>
      <c r="Q170" s="443"/>
      <c r="R170" s="443"/>
      <c r="S170" s="443">
        <v>168</v>
      </c>
      <c r="T170" s="443">
        <v>150</v>
      </c>
      <c r="U170" s="443"/>
      <c r="V170" s="443"/>
      <c r="W170" s="443"/>
      <c r="X170" s="443"/>
      <c r="Y170" s="442"/>
    </row>
    <row r="171" spans="12:25" x14ac:dyDescent="0.2">
      <c r="L171" s="443"/>
      <c r="M171" s="443"/>
      <c r="N171" s="443"/>
      <c r="O171" s="443"/>
      <c r="P171" s="443"/>
      <c r="Q171" s="443"/>
      <c r="R171" s="443"/>
      <c r="S171" s="443">
        <v>169</v>
      </c>
      <c r="T171" s="443">
        <v>150</v>
      </c>
      <c r="U171" s="443"/>
      <c r="V171" s="443"/>
      <c r="W171" s="443"/>
      <c r="X171" s="443"/>
      <c r="Y171" s="442"/>
    </row>
    <row r="172" spans="12:25" x14ac:dyDescent="0.2">
      <c r="L172" s="443"/>
      <c r="M172" s="443"/>
      <c r="N172" s="443"/>
      <c r="O172" s="443"/>
      <c r="P172" s="443"/>
      <c r="Q172" s="443"/>
      <c r="R172" s="443"/>
      <c r="S172" s="443">
        <v>170</v>
      </c>
      <c r="T172" s="443">
        <v>150</v>
      </c>
      <c r="U172" s="443"/>
      <c r="V172" s="443"/>
      <c r="W172" s="443"/>
      <c r="X172" s="443"/>
      <c r="Y172" s="442"/>
    </row>
    <row r="173" spans="12:25" x14ac:dyDescent="0.2">
      <c r="L173" s="443"/>
      <c r="M173" s="443"/>
      <c r="N173" s="443"/>
      <c r="O173" s="443"/>
      <c r="P173" s="443"/>
      <c r="Q173" s="443"/>
      <c r="R173" s="443"/>
      <c r="S173" s="443">
        <v>171</v>
      </c>
      <c r="T173" s="443">
        <v>150</v>
      </c>
      <c r="U173" s="443"/>
      <c r="V173" s="443"/>
      <c r="W173" s="443"/>
      <c r="X173" s="443"/>
      <c r="Y173" s="442"/>
    </row>
    <row r="174" spans="12:25" x14ac:dyDescent="0.2">
      <c r="L174" s="443"/>
      <c r="M174" s="443"/>
      <c r="N174" s="443"/>
      <c r="O174" s="443"/>
      <c r="P174" s="443"/>
      <c r="Q174" s="443"/>
      <c r="R174" s="443"/>
      <c r="S174" s="443">
        <v>172</v>
      </c>
      <c r="T174" s="443">
        <v>150</v>
      </c>
      <c r="U174" s="443"/>
      <c r="V174" s="443"/>
      <c r="W174" s="443"/>
      <c r="X174" s="443"/>
      <c r="Y174" s="442"/>
    </row>
    <row r="175" spans="12:25" x14ac:dyDescent="0.2">
      <c r="L175" s="443"/>
      <c r="M175" s="443"/>
      <c r="N175" s="443"/>
      <c r="O175" s="443"/>
      <c r="P175" s="443"/>
      <c r="Q175" s="443"/>
      <c r="R175" s="443"/>
      <c r="S175" s="443">
        <v>173</v>
      </c>
      <c r="T175" s="443">
        <v>150</v>
      </c>
      <c r="U175" s="443"/>
      <c r="V175" s="443"/>
      <c r="W175" s="443"/>
      <c r="X175" s="443"/>
      <c r="Y175" s="442"/>
    </row>
    <row r="176" spans="12:25" x14ac:dyDescent="0.2">
      <c r="L176" s="443"/>
      <c r="M176" s="443"/>
      <c r="N176" s="443"/>
      <c r="O176" s="443"/>
      <c r="P176" s="443"/>
      <c r="Q176" s="443"/>
      <c r="R176" s="443"/>
      <c r="S176" s="443">
        <v>174</v>
      </c>
      <c r="T176" s="443">
        <v>150</v>
      </c>
      <c r="U176" s="443"/>
      <c r="V176" s="443"/>
      <c r="W176" s="443"/>
      <c r="X176" s="443"/>
      <c r="Y176" s="442"/>
    </row>
    <row r="177" spans="12:25" x14ac:dyDescent="0.2">
      <c r="L177" s="443"/>
      <c r="M177" s="443"/>
      <c r="N177" s="443"/>
      <c r="O177" s="443"/>
      <c r="P177" s="443"/>
      <c r="Q177" s="443"/>
      <c r="R177" s="443"/>
      <c r="S177" s="443">
        <v>175</v>
      </c>
      <c r="T177" s="443">
        <v>150</v>
      </c>
      <c r="U177" s="443"/>
      <c r="V177" s="443"/>
      <c r="W177" s="443"/>
      <c r="X177" s="443"/>
      <c r="Y177" s="442"/>
    </row>
    <row r="178" spans="12:25" x14ac:dyDescent="0.2">
      <c r="L178" s="443"/>
      <c r="M178" s="443"/>
      <c r="N178" s="443"/>
      <c r="O178" s="443"/>
      <c r="P178" s="443"/>
      <c r="Q178" s="443"/>
      <c r="R178" s="443"/>
      <c r="S178" s="443">
        <v>176</v>
      </c>
      <c r="T178" s="443">
        <v>150</v>
      </c>
      <c r="U178" s="443"/>
      <c r="V178" s="443"/>
      <c r="W178" s="443"/>
      <c r="X178" s="443"/>
      <c r="Y178" s="442"/>
    </row>
    <row r="179" spans="12:25" x14ac:dyDescent="0.2">
      <c r="L179" s="443"/>
      <c r="M179" s="443"/>
      <c r="N179" s="443"/>
      <c r="O179" s="443"/>
      <c r="P179" s="443"/>
      <c r="Q179" s="443"/>
      <c r="R179" s="443"/>
      <c r="S179" s="443">
        <v>177</v>
      </c>
      <c r="T179" s="443">
        <v>150</v>
      </c>
      <c r="U179" s="443"/>
      <c r="V179" s="443"/>
      <c r="W179" s="443"/>
      <c r="X179" s="443"/>
      <c r="Y179" s="442"/>
    </row>
    <row r="180" spans="12:25" x14ac:dyDescent="0.2">
      <c r="L180" s="443"/>
      <c r="M180" s="443"/>
      <c r="N180" s="443"/>
      <c r="O180" s="443"/>
      <c r="P180" s="443"/>
      <c r="Q180" s="443"/>
      <c r="R180" s="443"/>
      <c r="S180" s="443">
        <v>178</v>
      </c>
      <c r="T180" s="443">
        <v>150</v>
      </c>
      <c r="U180" s="443"/>
      <c r="V180" s="443"/>
      <c r="W180" s="443"/>
      <c r="X180" s="443"/>
      <c r="Y180" s="442"/>
    </row>
    <row r="181" spans="12:25" x14ac:dyDescent="0.2">
      <c r="L181" s="443"/>
      <c r="M181" s="443"/>
      <c r="N181" s="443"/>
      <c r="O181" s="443"/>
      <c r="P181" s="443"/>
      <c r="Q181" s="443"/>
      <c r="R181" s="443"/>
      <c r="S181" s="443">
        <v>179</v>
      </c>
      <c r="T181" s="443">
        <v>150</v>
      </c>
      <c r="U181" s="443"/>
      <c r="V181" s="443"/>
      <c r="W181" s="443"/>
      <c r="X181" s="443"/>
      <c r="Y181" s="442"/>
    </row>
    <row r="182" spans="12:25" x14ac:dyDescent="0.2">
      <c r="L182" s="443"/>
      <c r="M182" s="443"/>
      <c r="N182" s="443"/>
      <c r="O182" s="443"/>
      <c r="P182" s="443"/>
      <c r="Q182" s="443"/>
      <c r="R182" s="443"/>
      <c r="S182" s="443">
        <v>180</v>
      </c>
      <c r="T182" s="443">
        <v>150</v>
      </c>
      <c r="U182" s="443"/>
      <c r="V182" s="443"/>
      <c r="W182" s="443"/>
      <c r="X182" s="443"/>
      <c r="Y182" s="442"/>
    </row>
    <row r="183" spans="12:25" x14ac:dyDescent="0.2">
      <c r="L183" s="443"/>
      <c r="M183" s="443"/>
      <c r="N183" s="443"/>
      <c r="O183" s="443"/>
      <c r="P183" s="443"/>
      <c r="Q183" s="443"/>
      <c r="R183" s="443"/>
      <c r="S183" s="443">
        <v>181</v>
      </c>
      <c r="T183" s="443">
        <v>150</v>
      </c>
      <c r="U183" s="443"/>
      <c r="V183" s="443"/>
      <c r="W183" s="443"/>
      <c r="X183" s="443"/>
      <c r="Y183" s="442"/>
    </row>
    <row r="184" spans="12:25" x14ac:dyDescent="0.2">
      <c r="L184" s="443"/>
      <c r="M184" s="443"/>
      <c r="N184" s="443"/>
      <c r="O184" s="443"/>
      <c r="P184" s="443"/>
      <c r="Q184" s="443"/>
      <c r="R184" s="443"/>
      <c r="S184" s="443">
        <v>182</v>
      </c>
      <c r="T184" s="443">
        <v>150</v>
      </c>
      <c r="U184" s="443"/>
      <c r="V184" s="443"/>
      <c r="W184" s="443"/>
      <c r="X184" s="443"/>
      <c r="Y184" s="442"/>
    </row>
    <row r="185" spans="12:25" x14ac:dyDescent="0.2">
      <c r="L185" s="443"/>
      <c r="M185" s="443"/>
      <c r="N185" s="443"/>
      <c r="O185" s="443"/>
      <c r="P185" s="443"/>
      <c r="Q185" s="443"/>
      <c r="R185" s="443"/>
      <c r="S185" s="443">
        <v>183</v>
      </c>
      <c r="T185" s="443">
        <v>150</v>
      </c>
      <c r="U185" s="443"/>
      <c r="V185" s="443"/>
      <c r="W185" s="443"/>
      <c r="X185" s="443"/>
      <c r="Y185" s="442"/>
    </row>
    <row r="186" spans="12:25" x14ac:dyDescent="0.2">
      <c r="L186" s="443"/>
      <c r="M186" s="443"/>
      <c r="N186" s="443"/>
      <c r="O186" s="443"/>
      <c r="P186" s="443"/>
      <c r="Q186" s="443"/>
      <c r="R186" s="443"/>
      <c r="S186" s="443">
        <v>184</v>
      </c>
      <c r="T186" s="443">
        <v>150</v>
      </c>
      <c r="U186" s="443"/>
      <c r="V186" s="443"/>
      <c r="W186" s="443"/>
      <c r="X186" s="443"/>
      <c r="Y186" s="442"/>
    </row>
    <row r="187" spans="12:25" x14ac:dyDescent="0.2">
      <c r="L187" s="443"/>
      <c r="M187" s="443"/>
      <c r="N187" s="443"/>
      <c r="O187" s="443"/>
      <c r="P187" s="443"/>
      <c r="Q187" s="443"/>
      <c r="R187" s="443"/>
      <c r="S187" s="443">
        <v>185</v>
      </c>
      <c r="T187" s="443">
        <v>150</v>
      </c>
      <c r="U187" s="443"/>
      <c r="V187" s="443"/>
      <c r="W187" s="443"/>
      <c r="X187" s="443"/>
      <c r="Y187" s="442"/>
    </row>
    <row r="188" spans="12:25" x14ac:dyDescent="0.2">
      <c r="L188" s="443"/>
      <c r="M188" s="443"/>
      <c r="N188" s="443"/>
      <c r="O188" s="443"/>
      <c r="P188" s="443"/>
      <c r="Q188" s="443"/>
      <c r="R188" s="443"/>
      <c r="S188" s="443">
        <v>186</v>
      </c>
      <c r="T188" s="443">
        <v>150</v>
      </c>
      <c r="U188" s="443"/>
      <c r="V188" s="443"/>
      <c r="W188" s="443"/>
      <c r="X188" s="443"/>
      <c r="Y188" s="442"/>
    </row>
    <row r="189" spans="12:25" x14ac:dyDescent="0.2">
      <c r="L189" s="443"/>
      <c r="M189" s="443"/>
      <c r="N189" s="443"/>
      <c r="O189" s="443"/>
      <c r="P189" s="443"/>
      <c r="Q189" s="443"/>
      <c r="R189" s="443"/>
      <c r="S189" s="443">
        <v>187</v>
      </c>
      <c r="T189" s="443">
        <v>150</v>
      </c>
      <c r="U189" s="443"/>
      <c r="V189" s="443"/>
      <c r="W189" s="443"/>
      <c r="X189" s="443"/>
      <c r="Y189" s="442"/>
    </row>
    <row r="190" spans="12:25" x14ac:dyDescent="0.2">
      <c r="L190" s="443"/>
      <c r="M190" s="443"/>
      <c r="N190" s="443"/>
      <c r="O190" s="443"/>
      <c r="P190" s="443"/>
      <c r="Q190" s="443"/>
      <c r="R190" s="443"/>
      <c r="S190" s="443">
        <v>188</v>
      </c>
      <c r="T190" s="443">
        <v>150</v>
      </c>
      <c r="U190" s="443"/>
      <c r="V190" s="443"/>
      <c r="W190" s="443"/>
      <c r="X190" s="443"/>
      <c r="Y190" s="442"/>
    </row>
    <row r="191" spans="12:25" x14ac:dyDescent="0.2">
      <c r="L191" s="443"/>
      <c r="M191" s="443"/>
      <c r="N191" s="443"/>
      <c r="O191" s="443"/>
      <c r="P191" s="443"/>
      <c r="Q191" s="443"/>
      <c r="R191" s="443"/>
      <c r="S191" s="443">
        <v>189</v>
      </c>
      <c r="T191" s="443">
        <v>150</v>
      </c>
      <c r="U191" s="443"/>
      <c r="V191" s="443"/>
      <c r="W191" s="443"/>
      <c r="X191" s="443"/>
      <c r="Y191" s="442"/>
    </row>
    <row r="192" spans="12:25" x14ac:dyDescent="0.2">
      <c r="L192" s="443"/>
      <c r="M192" s="443"/>
      <c r="N192" s="443"/>
      <c r="O192" s="443"/>
      <c r="P192" s="443"/>
      <c r="Q192" s="443"/>
      <c r="R192" s="443"/>
      <c r="S192" s="443">
        <v>190</v>
      </c>
      <c r="T192" s="443">
        <v>150</v>
      </c>
      <c r="U192" s="443"/>
      <c r="V192" s="443"/>
      <c r="W192" s="443"/>
      <c r="X192" s="443"/>
      <c r="Y192" s="442"/>
    </row>
    <row r="193" spans="12:25" x14ac:dyDescent="0.2">
      <c r="L193" s="443"/>
      <c r="M193" s="443"/>
      <c r="N193" s="443"/>
      <c r="O193" s="443"/>
      <c r="P193" s="443"/>
      <c r="Q193" s="443"/>
      <c r="R193" s="443"/>
      <c r="S193" s="443">
        <v>191</v>
      </c>
      <c r="T193" s="443">
        <v>150</v>
      </c>
      <c r="U193" s="443"/>
      <c r="V193" s="443"/>
      <c r="W193" s="443"/>
      <c r="X193" s="443"/>
      <c r="Y193" s="442"/>
    </row>
    <row r="194" spans="12:25" x14ac:dyDescent="0.2">
      <c r="L194" s="443"/>
      <c r="M194" s="443"/>
      <c r="N194" s="443"/>
      <c r="O194" s="443"/>
      <c r="P194" s="443"/>
      <c r="Q194" s="443"/>
      <c r="R194" s="443"/>
      <c r="S194" s="443">
        <v>192</v>
      </c>
      <c r="T194" s="443">
        <v>150</v>
      </c>
      <c r="U194" s="443"/>
      <c r="V194" s="443"/>
      <c r="W194" s="443"/>
      <c r="X194" s="443"/>
      <c r="Y194" s="442"/>
    </row>
    <row r="195" spans="12:25" x14ac:dyDescent="0.2">
      <c r="L195" s="443"/>
      <c r="M195" s="443"/>
      <c r="N195" s="443"/>
      <c r="O195" s="443"/>
      <c r="P195" s="443"/>
      <c r="Q195" s="443"/>
      <c r="R195" s="443"/>
      <c r="S195" s="443">
        <v>193</v>
      </c>
      <c r="T195" s="443">
        <v>150</v>
      </c>
      <c r="U195" s="443"/>
      <c r="V195" s="443"/>
      <c r="W195" s="443"/>
      <c r="X195" s="443"/>
      <c r="Y195" s="442"/>
    </row>
    <row r="196" spans="12:25" x14ac:dyDescent="0.2">
      <c r="L196" s="443"/>
      <c r="M196" s="443"/>
      <c r="N196" s="443"/>
      <c r="O196" s="443"/>
      <c r="P196" s="443"/>
      <c r="Q196" s="443"/>
      <c r="R196" s="443"/>
      <c r="S196" s="443">
        <v>194</v>
      </c>
      <c r="T196" s="443">
        <v>150</v>
      </c>
      <c r="U196" s="443"/>
      <c r="V196" s="443"/>
      <c r="W196" s="443"/>
      <c r="X196" s="443"/>
      <c r="Y196" s="442"/>
    </row>
    <row r="197" spans="12:25" x14ac:dyDescent="0.2">
      <c r="L197" s="443"/>
      <c r="M197" s="443"/>
      <c r="N197" s="443"/>
      <c r="O197" s="443"/>
      <c r="P197" s="443"/>
      <c r="Q197" s="443"/>
      <c r="R197" s="443"/>
      <c r="S197" s="443">
        <v>195</v>
      </c>
      <c r="T197" s="443">
        <v>150</v>
      </c>
      <c r="U197" s="443"/>
      <c r="V197" s="443"/>
      <c r="W197" s="443"/>
      <c r="X197" s="443"/>
      <c r="Y197" s="442"/>
    </row>
    <row r="198" spans="12:25" x14ac:dyDescent="0.2">
      <c r="L198" s="443"/>
      <c r="M198" s="443"/>
      <c r="N198" s="443"/>
      <c r="O198" s="443"/>
      <c r="P198" s="443"/>
      <c r="Q198" s="443"/>
      <c r="R198" s="443"/>
      <c r="S198" s="443">
        <v>196</v>
      </c>
      <c r="T198" s="443">
        <v>150</v>
      </c>
      <c r="U198" s="443"/>
      <c r="V198" s="443"/>
      <c r="W198" s="443"/>
      <c r="X198" s="443"/>
      <c r="Y198" s="442"/>
    </row>
    <row r="199" spans="12:25" x14ac:dyDescent="0.2">
      <c r="L199" s="443"/>
      <c r="M199" s="443"/>
      <c r="N199" s="443"/>
      <c r="O199" s="443"/>
      <c r="P199" s="443"/>
      <c r="Q199" s="443"/>
      <c r="R199" s="443"/>
      <c r="S199" s="443">
        <v>197</v>
      </c>
      <c r="T199" s="443">
        <v>150</v>
      </c>
      <c r="U199" s="443"/>
      <c r="V199" s="443"/>
      <c r="W199" s="443"/>
      <c r="X199" s="443"/>
      <c r="Y199" s="442"/>
    </row>
    <row r="200" spans="12:25" x14ac:dyDescent="0.2">
      <c r="L200" s="443"/>
      <c r="M200" s="443"/>
      <c r="N200" s="443"/>
      <c r="O200" s="443"/>
      <c r="P200" s="443"/>
      <c r="Q200" s="443"/>
      <c r="R200" s="443"/>
      <c r="S200" s="443">
        <v>198</v>
      </c>
      <c r="T200" s="443">
        <v>150</v>
      </c>
      <c r="U200" s="443"/>
      <c r="V200" s="443"/>
      <c r="W200" s="443"/>
      <c r="X200" s="443"/>
      <c r="Y200" s="442"/>
    </row>
    <row r="201" spans="12:25" x14ac:dyDescent="0.2">
      <c r="L201" s="443"/>
      <c r="M201" s="443"/>
      <c r="N201" s="443"/>
      <c r="O201" s="443"/>
      <c r="P201" s="443"/>
      <c r="Q201" s="443"/>
      <c r="R201" s="443"/>
      <c r="S201" s="443">
        <v>199</v>
      </c>
      <c r="T201" s="443">
        <v>150</v>
      </c>
      <c r="U201" s="443"/>
      <c r="V201" s="443"/>
      <c r="W201" s="443"/>
      <c r="X201" s="443"/>
      <c r="Y201" s="442"/>
    </row>
    <row r="202" spans="12:25" x14ac:dyDescent="0.2">
      <c r="L202" s="443"/>
      <c r="M202" s="443"/>
      <c r="N202" s="443"/>
      <c r="O202" s="443"/>
      <c r="P202" s="443"/>
      <c r="Q202" s="443"/>
      <c r="R202" s="443"/>
      <c r="S202" s="443">
        <v>200</v>
      </c>
      <c r="T202" s="443">
        <v>150</v>
      </c>
      <c r="U202" s="443">
        <v>200</v>
      </c>
      <c r="V202" s="443"/>
      <c r="W202" s="443"/>
      <c r="X202" s="443"/>
      <c r="Y202" s="442"/>
    </row>
    <row r="203" spans="12:25" x14ac:dyDescent="0.2">
      <c r="L203" s="443"/>
      <c r="M203" s="443"/>
      <c r="N203" s="443"/>
      <c r="O203" s="443"/>
      <c r="P203" s="443"/>
      <c r="Q203" s="443"/>
      <c r="R203" s="443"/>
      <c r="S203" s="443">
        <v>201</v>
      </c>
      <c r="T203" s="443">
        <v>150</v>
      </c>
      <c r="U203" s="443"/>
      <c r="V203" s="443"/>
      <c r="W203" s="443"/>
      <c r="X203" s="443"/>
      <c r="Y203" s="442"/>
    </row>
    <row r="204" spans="12:25" x14ac:dyDescent="0.2">
      <c r="L204" s="443"/>
      <c r="M204" s="443"/>
      <c r="N204" s="443"/>
      <c r="O204" s="443"/>
      <c r="P204" s="443"/>
      <c r="Q204" s="443"/>
      <c r="R204" s="443"/>
      <c r="S204" s="443">
        <v>202</v>
      </c>
      <c r="T204" s="443">
        <v>150</v>
      </c>
      <c r="U204" s="443"/>
      <c r="V204" s="443"/>
      <c r="W204" s="443"/>
      <c r="X204" s="443"/>
      <c r="Y204" s="442"/>
    </row>
    <row r="205" spans="12:25" x14ac:dyDescent="0.2">
      <c r="L205" s="443"/>
      <c r="M205" s="443"/>
      <c r="N205" s="443"/>
      <c r="O205" s="443"/>
      <c r="P205" s="443"/>
      <c r="Q205" s="443"/>
      <c r="R205" s="443"/>
      <c r="S205" s="443">
        <v>203</v>
      </c>
      <c r="T205" s="443">
        <v>150</v>
      </c>
      <c r="U205" s="443"/>
      <c r="V205" s="443"/>
      <c r="W205" s="443"/>
      <c r="X205" s="443"/>
      <c r="Y205" s="442"/>
    </row>
    <row r="206" spans="12:25" x14ac:dyDescent="0.2">
      <c r="L206" s="443"/>
      <c r="M206" s="443"/>
      <c r="N206" s="443"/>
      <c r="O206" s="443"/>
      <c r="P206" s="443"/>
      <c r="Q206" s="443"/>
      <c r="R206" s="443"/>
      <c r="S206" s="443">
        <v>204</v>
      </c>
      <c r="T206" s="443">
        <v>150</v>
      </c>
      <c r="U206" s="443"/>
      <c r="V206" s="443"/>
      <c r="W206" s="443"/>
      <c r="X206" s="443"/>
      <c r="Y206" s="442"/>
    </row>
    <row r="207" spans="12:25" x14ac:dyDescent="0.2">
      <c r="L207" s="443"/>
      <c r="M207" s="443"/>
      <c r="N207" s="443"/>
      <c r="O207" s="443"/>
      <c r="P207" s="443"/>
      <c r="Q207" s="443"/>
      <c r="R207" s="443"/>
      <c r="S207" s="443">
        <v>205</v>
      </c>
      <c r="T207" s="443">
        <v>150</v>
      </c>
      <c r="U207" s="443"/>
      <c r="V207" s="443"/>
      <c r="W207" s="443"/>
      <c r="X207" s="443"/>
      <c r="Y207" s="442"/>
    </row>
    <row r="208" spans="12:25" x14ac:dyDescent="0.2">
      <c r="L208" s="443"/>
      <c r="M208" s="443"/>
      <c r="N208" s="443"/>
      <c r="O208" s="443"/>
      <c r="P208" s="443"/>
      <c r="Q208" s="443"/>
      <c r="R208" s="443"/>
      <c r="S208" s="443">
        <v>206</v>
      </c>
      <c r="T208" s="443">
        <v>150</v>
      </c>
      <c r="U208" s="443"/>
      <c r="V208" s="443"/>
      <c r="W208" s="443"/>
      <c r="X208" s="443"/>
      <c r="Y208" s="442"/>
    </row>
    <row r="209" spans="12:25" x14ac:dyDescent="0.2">
      <c r="L209" s="443"/>
      <c r="M209" s="443"/>
      <c r="N209" s="443"/>
      <c r="O209" s="443"/>
      <c r="P209" s="443"/>
      <c r="Q209" s="443"/>
      <c r="R209" s="443"/>
      <c r="S209" s="443">
        <v>207</v>
      </c>
      <c r="T209" s="443">
        <v>150</v>
      </c>
      <c r="U209" s="443"/>
      <c r="V209" s="443"/>
      <c r="W209" s="443"/>
      <c r="X209" s="443"/>
      <c r="Y209" s="442"/>
    </row>
    <row r="210" spans="12:25" x14ac:dyDescent="0.2">
      <c r="L210" s="443"/>
      <c r="M210" s="443"/>
      <c r="N210" s="443"/>
      <c r="O210" s="443"/>
      <c r="P210" s="443"/>
      <c r="Q210" s="443"/>
      <c r="R210" s="443"/>
      <c r="S210" s="443">
        <v>208</v>
      </c>
      <c r="T210" s="443">
        <v>150</v>
      </c>
      <c r="U210" s="443"/>
      <c r="V210" s="443"/>
      <c r="W210" s="443"/>
      <c r="X210" s="443"/>
      <c r="Y210" s="442"/>
    </row>
    <row r="211" spans="12:25" x14ac:dyDescent="0.2">
      <c r="L211" s="443"/>
      <c r="M211" s="443"/>
      <c r="N211" s="443"/>
      <c r="O211" s="443"/>
      <c r="P211" s="443"/>
      <c r="Q211" s="443"/>
      <c r="R211" s="443"/>
      <c r="S211" s="443">
        <v>209</v>
      </c>
      <c r="T211" s="443">
        <v>150</v>
      </c>
      <c r="U211" s="443"/>
      <c r="V211" s="443"/>
      <c r="W211" s="443"/>
      <c r="X211" s="443"/>
      <c r="Y211" s="442"/>
    </row>
    <row r="212" spans="12:25" x14ac:dyDescent="0.2">
      <c r="L212" s="443"/>
      <c r="M212" s="443"/>
      <c r="N212" s="443"/>
      <c r="O212" s="443"/>
      <c r="P212" s="443"/>
      <c r="Q212" s="443"/>
      <c r="R212" s="443"/>
      <c r="S212" s="443">
        <v>210</v>
      </c>
      <c r="T212" s="443">
        <v>150</v>
      </c>
      <c r="U212" s="443"/>
      <c r="V212" s="443"/>
      <c r="W212" s="443"/>
      <c r="X212" s="443"/>
      <c r="Y212" s="442"/>
    </row>
    <row r="213" spans="12:25" x14ac:dyDescent="0.2">
      <c r="L213" s="443"/>
      <c r="M213" s="443"/>
      <c r="N213" s="443"/>
      <c r="O213" s="443"/>
      <c r="P213" s="443"/>
      <c r="Q213" s="443"/>
      <c r="R213" s="443"/>
      <c r="S213" s="443">
        <v>211</v>
      </c>
      <c r="T213" s="443">
        <v>150</v>
      </c>
      <c r="U213" s="443"/>
      <c r="V213" s="443"/>
      <c r="W213" s="443"/>
      <c r="X213" s="443"/>
      <c r="Y213" s="442"/>
    </row>
    <row r="214" spans="12:25" x14ac:dyDescent="0.2">
      <c r="L214" s="443"/>
      <c r="M214" s="443"/>
      <c r="N214" s="443"/>
      <c r="O214" s="443"/>
      <c r="P214" s="443"/>
      <c r="Q214" s="443"/>
      <c r="R214" s="443"/>
      <c r="S214" s="443">
        <v>212</v>
      </c>
      <c r="T214" s="443">
        <v>150</v>
      </c>
      <c r="U214" s="443"/>
      <c r="V214" s="443"/>
      <c r="W214" s="443"/>
      <c r="X214" s="443"/>
      <c r="Y214" s="442"/>
    </row>
    <row r="215" spans="12:25" x14ac:dyDescent="0.2">
      <c r="L215" s="443"/>
      <c r="M215" s="443"/>
      <c r="N215" s="443"/>
      <c r="O215" s="443"/>
      <c r="P215" s="443"/>
      <c r="Q215" s="443"/>
      <c r="R215" s="443"/>
      <c r="S215" s="443">
        <v>213</v>
      </c>
      <c r="T215" s="443">
        <v>150</v>
      </c>
      <c r="U215" s="443"/>
      <c r="V215" s="443"/>
      <c r="W215" s="443"/>
      <c r="X215" s="443"/>
      <c r="Y215" s="442"/>
    </row>
    <row r="216" spans="12:25" x14ac:dyDescent="0.2">
      <c r="L216" s="443"/>
      <c r="M216" s="443"/>
      <c r="N216" s="443"/>
      <c r="O216" s="443"/>
      <c r="P216" s="443"/>
      <c r="Q216" s="443"/>
      <c r="R216" s="443"/>
      <c r="S216" s="443">
        <v>214</v>
      </c>
      <c r="T216" s="443">
        <v>150</v>
      </c>
      <c r="U216" s="443"/>
      <c r="V216" s="443"/>
      <c r="W216" s="443"/>
      <c r="X216" s="443"/>
      <c r="Y216" s="442"/>
    </row>
    <row r="217" spans="12:25" x14ac:dyDescent="0.2">
      <c r="L217" s="443"/>
      <c r="M217" s="443"/>
      <c r="N217" s="443"/>
      <c r="O217" s="443"/>
      <c r="P217" s="443"/>
      <c r="Q217" s="443"/>
      <c r="R217" s="443"/>
      <c r="S217" s="443">
        <v>215</v>
      </c>
      <c r="T217" s="443">
        <v>150</v>
      </c>
      <c r="U217" s="443"/>
      <c r="V217" s="443"/>
      <c r="W217" s="443"/>
      <c r="X217" s="443"/>
      <c r="Y217" s="442"/>
    </row>
    <row r="218" spans="12:25" x14ac:dyDescent="0.2">
      <c r="L218" s="443"/>
      <c r="M218" s="443"/>
      <c r="N218" s="443"/>
      <c r="O218" s="443"/>
      <c r="P218" s="443"/>
      <c r="Q218" s="443"/>
      <c r="R218" s="443"/>
      <c r="S218" s="443">
        <v>216</v>
      </c>
      <c r="T218" s="443">
        <v>150</v>
      </c>
      <c r="U218" s="443"/>
      <c r="V218" s="443"/>
      <c r="W218" s="443"/>
      <c r="X218" s="443"/>
      <c r="Y218" s="442"/>
    </row>
    <row r="219" spans="12:25" x14ac:dyDescent="0.2">
      <c r="L219" s="443"/>
      <c r="M219" s="443"/>
      <c r="N219" s="443"/>
      <c r="O219" s="443"/>
      <c r="P219" s="443"/>
      <c r="Q219" s="443"/>
      <c r="R219" s="443"/>
      <c r="S219" s="443">
        <v>217</v>
      </c>
      <c r="T219" s="443">
        <v>150</v>
      </c>
      <c r="U219" s="443"/>
      <c r="V219" s="443"/>
      <c r="W219" s="443"/>
      <c r="X219" s="443"/>
      <c r="Y219" s="442"/>
    </row>
    <row r="220" spans="12:25" x14ac:dyDescent="0.2">
      <c r="L220" s="443"/>
      <c r="M220" s="443"/>
      <c r="N220" s="443"/>
      <c r="O220" s="443"/>
      <c r="P220" s="443"/>
      <c r="Q220" s="443"/>
      <c r="R220" s="443"/>
      <c r="S220" s="443">
        <v>218</v>
      </c>
      <c r="T220" s="443">
        <v>150</v>
      </c>
      <c r="U220" s="443"/>
      <c r="V220" s="443"/>
      <c r="W220" s="443"/>
      <c r="X220" s="443"/>
      <c r="Y220" s="442"/>
    </row>
    <row r="221" spans="12:25" x14ac:dyDescent="0.2">
      <c r="L221" s="443"/>
      <c r="M221" s="443"/>
      <c r="N221" s="443"/>
      <c r="O221" s="443"/>
      <c r="P221" s="443"/>
      <c r="Q221" s="443"/>
      <c r="R221" s="443"/>
      <c r="S221" s="443">
        <v>219</v>
      </c>
      <c r="T221" s="443">
        <v>150</v>
      </c>
      <c r="U221" s="443"/>
      <c r="V221" s="443"/>
      <c r="W221" s="443"/>
      <c r="X221" s="443"/>
      <c r="Y221" s="442"/>
    </row>
    <row r="222" spans="12:25" x14ac:dyDescent="0.2">
      <c r="L222" s="443"/>
      <c r="M222" s="443"/>
      <c r="N222" s="443"/>
      <c r="O222" s="443"/>
      <c r="P222" s="443"/>
      <c r="Q222" s="443"/>
      <c r="R222" s="443"/>
      <c r="S222" s="443">
        <v>220</v>
      </c>
      <c r="T222" s="443">
        <v>150</v>
      </c>
      <c r="U222" s="443"/>
      <c r="V222" s="443"/>
      <c r="W222" s="443"/>
      <c r="X222" s="443"/>
      <c r="Y222" s="442"/>
    </row>
    <row r="223" spans="12:25" x14ac:dyDescent="0.2">
      <c r="L223" s="443"/>
      <c r="M223" s="443"/>
      <c r="N223" s="443"/>
      <c r="O223" s="443"/>
      <c r="P223" s="443"/>
      <c r="Q223" s="443"/>
      <c r="R223" s="443"/>
      <c r="S223" s="443">
        <v>221</v>
      </c>
      <c r="T223" s="443">
        <v>150</v>
      </c>
      <c r="U223" s="443"/>
      <c r="V223" s="443"/>
      <c r="W223" s="443"/>
      <c r="X223" s="443"/>
      <c r="Y223" s="442"/>
    </row>
    <row r="224" spans="12:25" x14ac:dyDescent="0.2">
      <c r="L224" s="443"/>
      <c r="M224" s="443"/>
      <c r="N224" s="443"/>
      <c r="O224" s="443"/>
      <c r="P224" s="443"/>
      <c r="Q224" s="443"/>
      <c r="R224" s="443"/>
      <c r="S224" s="443">
        <v>222</v>
      </c>
      <c r="T224" s="443">
        <v>150</v>
      </c>
      <c r="U224" s="443"/>
      <c r="V224" s="443"/>
      <c r="W224" s="443"/>
      <c r="X224" s="443"/>
      <c r="Y224" s="442"/>
    </row>
    <row r="225" spans="12:25" x14ac:dyDescent="0.2">
      <c r="L225" s="443"/>
      <c r="M225" s="443"/>
      <c r="N225" s="443"/>
      <c r="O225" s="443"/>
      <c r="P225" s="443"/>
      <c r="Q225" s="443"/>
      <c r="R225" s="443"/>
      <c r="S225" s="443">
        <v>223</v>
      </c>
      <c r="T225" s="443">
        <v>150</v>
      </c>
      <c r="U225" s="443"/>
      <c r="V225" s="443"/>
      <c r="W225" s="443"/>
      <c r="X225" s="443"/>
      <c r="Y225" s="442"/>
    </row>
    <row r="226" spans="12:25" x14ac:dyDescent="0.2">
      <c r="L226" s="443"/>
      <c r="M226" s="443"/>
      <c r="N226" s="443"/>
      <c r="O226" s="443"/>
      <c r="P226" s="443"/>
      <c r="Q226" s="443"/>
      <c r="R226" s="443"/>
      <c r="S226" s="443">
        <v>224</v>
      </c>
      <c r="T226" s="443">
        <v>150</v>
      </c>
      <c r="U226" s="443"/>
      <c r="V226" s="443"/>
      <c r="W226" s="443"/>
      <c r="X226" s="443"/>
      <c r="Y226" s="442"/>
    </row>
    <row r="227" spans="12:25" x14ac:dyDescent="0.2">
      <c r="L227" s="443"/>
      <c r="M227" s="443"/>
      <c r="N227" s="443"/>
      <c r="O227" s="443"/>
      <c r="P227" s="443"/>
      <c r="Q227" s="443"/>
      <c r="R227" s="443"/>
      <c r="S227" s="443">
        <v>225</v>
      </c>
      <c r="T227" s="443">
        <v>150</v>
      </c>
      <c r="U227" s="443"/>
      <c r="V227" s="443"/>
      <c r="W227" s="443"/>
      <c r="X227" s="443"/>
      <c r="Y227" s="442"/>
    </row>
    <row r="228" spans="12:25" x14ac:dyDescent="0.2">
      <c r="L228" s="443"/>
      <c r="M228" s="443"/>
      <c r="N228" s="443"/>
      <c r="O228" s="443"/>
      <c r="P228" s="443"/>
      <c r="Q228" s="443"/>
      <c r="R228" s="443"/>
      <c r="S228" s="443">
        <v>226</v>
      </c>
      <c r="T228" s="443">
        <v>150</v>
      </c>
      <c r="U228" s="443"/>
      <c r="V228" s="443"/>
      <c r="W228" s="443"/>
      <c r="X228" s="443"/>
      <c r="Y228" s="442"/>
    </row>
    <row r="229" spans="12:25" x14ac:dyDescent="0.2">
      <c r="L229" s="443"/>
      <c r="M229" s="443"/>
      <c r="N229" s="443"/>
      <c r="O229" s="443"/>
      <c r="P229" s="443"/>
      <c r="Q229" s="443"/>
      <c r="R229" s="443"/>
      <c r="S229" s="443">
        <v>227</v>
      </c>
      <c r="T229" s="443">
        <v>150</v>
      </c>
      <c r="U229" s="443"/>
      <c r="V229" s="443"/>
      <c r="W229" s="443"/>
      <c r="X229" s="443"/>
      <c r="Y229" s="442"/>
    </row>
    <row r="230" spans="12:25" x14ac:dyDescent="0.2">
      <c r="L230" s="443"/>
      <c r="M230" s="443"/>
      <c r="N230" s="443"/>
      <c r="O230" s="443"/>
      <c r="P230" s="443"/>
      <c r="Q230" s="443"/>
      <c r="R230" s="443"/>
      <c r="S230" s="443">
        <v>228</v>
      </c>
      <c r="T230" s="443">
        <v>150</v>
      </c>
      <c r="U230" s="443"/>
      <c r="V230" s="443"/>
      <c r="W230" s="443"/>
      <c r="X230" s="443"/>
      <c r="Y230" s="442"/>
    </row>
    <row r="231" spans="12:25" x14ac:dyDescent="0.2">
      <c r="L231" s="443"/>
      <c r="M231" s="443"/>
      <c r="N231" s="443"/>
      <c r="O231" s="443"/>
      <c r="P231" s="443"/>
      <c r="Q231" s="443"/>
      <c r="R231" s="443"/>
      <c r="S231" s="443">
        <v>229</v>
      </c>
      <c r="T231" s="443">
        <v>150</v>
      </c>
      <c r="U231" s="443"/>
      <c r="V231" s="443"/>
      <c r="W231" s="443"/>
      <c r="X231" s="443"/>
      <c r="Y231" s="442"/>
    </row>
    <row r="232" spans="12:25" x14ac:dyDescent="0.2">
      <c r="L232" s="443"/>
      <c r="M232" s="443"/>
      <c r="N232" s="443"/>
      <c r="O232" s="443"/>
      <c r="P232" s="443"/>
      <c r="Q232" s="443"/>
      <c r="R232" s="443"/>
      <c r="S232" s="443">
        <v>230</v>
      </c>
      <c r="T232" s="443">
        <v>150</v>
      </c>
      <c r="U232" s="443"/>
      <c r="V232" s="443"/>
      <c r="W232" s="443"/>
      <c r="X232" s="443"/>
      <c r="Y232" s="442"/>
    </row>
    <row r="233" spans="12:25" x14ac:dyDescent="0.2">
      <c r="L233" s="443"/>
      <c r="M233" s="443"/>
      <c r="N233" s="443"/>
      <c r="O233" s="443"/>
      <c r="P233" s="443"/>
      <c r="Q233" s="443"/>
      <c r="R233" s="443"/>
      <c r="S233" s="443">
        <v>231</v>
      </c>
      <c r="T233" s="443">
        <v>150</v>
      </c>
      <c r="U233" s="443"/>
      <c r="V233" s="443"/>
      <c r="W233" s="443"/>
      <c r="X233" s="443"/>
      <c r="Y233" s="442"/>
    </row>
    <row r="234" spans="12:25" x14ac:dyDescent="0.2">
      <c r="L234" s="443"/>
      <c r="M234" s="443"/>
      <c r="N234" s="443"/>
      <c r="O234" s="443"/>
      <c r="P234" s="443"/>
      <c r="Q234" s="443"/>
      <c r="R234" s="443"/>
      <c r="S234" s="443">
        <v>232</v>
      </c>
      <c r="T234" s="443">
        <v>150</v>
      </c>
      <c r="U234" s="443"/>
      <c r="V234" s="443"/>
      <c r="W234" s="443"/>
      <c r="X234" s="443"/>
      <c r="Y234" s="442"/>
    </row>
    <row r="235" spans="12:25" x14ac:dyDescent="0.2">
      <c r="L235" s="443"/>
      <c r="M235" s="443"/>
      <c r="N235" s="443"/>
      <c r="O235" s="443"/>
      <c r="P235" s="443"/>
      <c r="Q235" s="443"/>
      <c r="R235" s="443"/>
      <c r="S235" s="443">
        <v>233</v>
      </c>
      <c r="T235" s="443">
        <v>150</v>
      </c>
      <c r="U235" s="443"/>
      <c r="V235" s="443"/>
      <c r="W235" s="443"/>
      <c r="X235" s="443"/>
      <c r="Y235" s="442"/>
    </row>
    <row r="236" spans="12:25" x14ac:dyDescent="0.2">
      <c r="L236" s="443"/>
      <c r="M236" s="443"/>
      <c r="N236" s="443"/>
      <c r="O236" s="443"/>
      <c r="P236" s="443"/>
      <c r="Q236" s="443"/>
      <c r="R236" s="443"/>
      <c r="S236" s="443">
        <v>234</v>
      </c>
      <c r="T236" s="443">
        <v>150</v>
      </c>
      <c r="U236" s="443"/>
      <c r="V236" s="443"/>
      <c r="W236" s="443"/>
      <c r="X236" s="443"/>
      <c r="Y236" s="442"/>
    </row>
    <row r="237" spans="12:25" x14ac:dyDescent="0.2">
      <c r="L237" s="443"/>
      <c r="M237" s="443"/>
      <c r="N237" s="443"/>
      <c r="O237" s="443"/>
      <c r="P237" s="443"/>
      <c r="Q237" s="443"/>
      <c r="R237" s="443"/>
      <c r="S237" s="443">
        <v>235</v>
      </c>
      <c r="T237" s="443">
        <v>150</v>
      </c>
      <c r="U237" s="443"/>
      <c r="V237" s="443"/>
      <c r="W237" s="443"/>
      <c r="X237" s="443"/>
      <c r="Y237" s="442"/>
    </row>
    <row r="238" spans="12:25" x14ac:dyDescent="0.2">
      <c r="L238" s="443"/>
      <c r="M238" s="443"/>
      <c r="N238" s="443"/>
      <c r="O238" s="443"/>
      <c r="P238" s="443"/>
      <c r="Q238" s="443"/>
      <c r="R238" s="443"/>
      <c r="S238" s="443">
        <v>236</v>
      </c>
      <c r="T238" s="443">
        <v>150</v>
      </c>
      <c r="U238" s="443"/>
      <c r="V238" s="443"/>
      <c r="W238" s="443"/>
      <c r="X238" s="443"/>
      <c r="Y238" s="442"/>
    </row>
    <row r="239" spans="12:25" x14ac:dyDescent="0.2">
      <c r="L239" s="443"/>
      <c r="M239" s="443"/>
      <c r="N239" s="443"/>
      <c r="O239" s="443"/>
      <c r="P239" s="443"/>
      <c r="Q239" s="443"/>
      <c r="R239" s="443"/>
      <c r="S239" s="443">
        <v>237</v>
      </c>
      <c r="T239" s="443">
        <v>150</v>
      </c>
      <c r="U239" s="443"/>
      <c r="V239" s="443"/>
      <c r="W239" s="443"/>
      <c r="X239" s="443"/>
      <c r="Y239" s="442"/>
    </row>
    <row r="240" spans="12:25" x14ac:dyDescent="0.2">
      <c r="L240" s="443"/>
      <c r="M240" s="443"/>
      <c r="N240" s="443"/>
      <c r="O240" s="443"/>
      <c r="P240" s="443"/>
      <c r="Q240" s="443"/>
      <c r="R240" s="443"/>
      <c r="S240" s="443">
        <v>238</v>
      </c>
      <c r="T240" s="443">
        <v>150</v>
      </c>
      <c r="U240" s="443"/>
      <c r="V240" s="443"/>
      <c r="W240" s="443"/>
      <c r="X240" s="443"/>
      <c r="Y240" s="442"/>
    </row>
    <row r="241" spans="12:25" x14ac:dyDescent="0.2">
      <c r="L241" s="443"/>
      <c r="M241" s="443"/>
      <c r="N241" s="443"/>
      <c r="O241" s="443"/>
      <c r="P241" s="443"/>
      <c r="Q241" s="443"/>
      <c r="R241" s="443"/>
      <c r="S241" s="443">
        <v>239</v>
      </c>
      <c r="T241" s="443">
        <v>150</v>
      </c>
      <c r="U241" s="443"/>
      <c r="V241" s="443"/>
      <c r="W241" s="443"/>
      <c r="X241" s="443"/>
      <c r="Y241" s="442"/>
    </row>
    <row r="242" spans="12:25" x14ac:dyDescent="0.2">
      <c r="L242" s="443"/>
      <c r="M242" s="443"/>
      <c r="N242" s="443"/>
      <c r="O242" s="443"/>
      <c r="P242" s="443"/>
      <c r="Q242" s="443"/>
      <c r="R242" s="443"/>
      <c r="S242" s="443">
        <v>240</v>
      </c>
      <c r="T242" s="443">
        <v>150</v>
      </c>
      <c r="U242" s="443"/>
      <c r="V242" s="443"/>
      <c r="W242" s="443"/>
      <c r="X242" s="443"/>
      <c r="Y242" s="442"/>
    </row>
    <row r="243" spans="12:25" x14ac:dyDescent="0.2">
      <c r="L243" s="443"/>
      <c r="M243" s="443"/>
      <c r="N243" s="443"/>
      <c r="O243" s="443"/>
      <c r="P243" s="443"/>
      <c r="Q243" s="443"/>
      <c r="R243" s="443"/>
      <c r="S243" s="443">
        <v>241</v>
      </c>
      <c r="T243" s="443">
        <v>150</v>
      </c>
      <c r="U243" s="443"/>
      <c r="V243" s="443"/>
      <c r="W243" s="443"/>
      <c r="X243" s="443"/>
      <c r="Y243" s="442"/>
    </row>
    <row r="244" spans="12:25" x14ac:dyDescent="0.2">
      <c r="L244" s="443"/>
      <c r="M244" s="443"/>
      <c r="N244" s="443"/>
      <c r="O244" s="443"/>
      <c r="P244" s="443"/>
      <c r="Q244" s="443"/>
      <c r="R244" s="443"/>
      <c r="S244" s="443">
        <v>242</v>
      </c>
      <c r="T244" s="443">
        <v>150</v>
      </c>
      <c r="U244" s="443"/>
      <c r="V244" s="443"/>
      <c r="W244" s="443"/>
      <c r="X244" s="443"/>
      <c r="Y244" s="442"/>
    </row>
    <row r="245" spans="12:25" x14ac:dyDescent="0.2">
      <c r="L245" s="443"/>
      <c r="M245" s="443"/>
      <c r="N245" s="443"/>
      <c r="O245" s="443"/>
      <c r="P245" s="443"/>
      <c r="Q245" s="443"/>
      <c r="R245" s="443"/>
      <c r="S245" s="443">
        <v>243</v>
      </c>
      <c r="T245" s="443">
        <v>150</v>
      </c>
      <c r="U245" s="443"/>
      <c r="V245" s="443"/>
      <c r="W245" s="443"/>
      <c r="X245" s="443"/>
      <c r="Y245" s="442"/>
    </row>
    <row r="246" spans="12:25" x14ac:dyDescent="0.2">
      <c r="L246" s="443"/>
      <c r="M246" s="443"/>
      <c r="N246" s="443"/>
      <c r="O246" s="443"/>
      <c r="P246" s="443"/>
      <c r="Q246" s="443"/>
      <c r="R246" s="443"/>
      <c r="S246" s="443">
        <v>244</v>
      </c>
      <c r="T246" s="443">
        <v>150</v>
      </c>
      <c r="U246" s="443"/>
      <c r="V246" s="443"/>
      <c r="W246" s="443"/>
      <c r="X246" s="443"/>
      <c r="Y246" s="442"/>
    </row>
    <row r="247" spans="12:25" x14ac:dyDescent="0.2">
      <c r="L247" s="443"/>
      <c r="M247" s="443"/>
      <c r="N247" s="443"/>
      <c r="O247" s="443"/>
      <c r="P247" s="443"/>
      <c r="Q247" s="443"/>
      <c r="R247" s="443"/>
      <c r="S247" s="443">
        <v>245</v>
      </c>
      <c r="T247" s="443">
        <v>150</v>
      </c>
      <c r="U247" s="443"/>
      <c r="V247" s="443"/>
      <c r="W247" s="443"/>
      <c r="X247" s="443"/>
      <c r="Y247" s="442"/>
    </row>
    <row r="248" spans="12:25" x14ac:dyDescent="0.2">
      <c r="L248" s="443"/>
      <c r="M248" s="443"/>
      <c r="N248" s="443"/>
      <c r="O248" s="443"/>
      <c r="P248" s="443"/>
      <c r="Q248" s="443"/>
      <c r="R248" s="443"/>
      <c r="S248" s="443">
        <v>246</v>
      </c>
      <c r="T248" s="443">
        <v>150</v>
      </c>
      <c r="U248" s="443"/>
      <c r="V248" s="443"/>
      <c r="W248" s="443"/>
      <c r="X248" s="443"/>
      <c r="Y248" s="442"/>
    </row>
    <row r="249" spans="12:25" x14ac:dyDescent="0.2">
      <c r="L249" s="443"/>
      <c r="M249" s="443"/>
      <c r="N249" s="443"/>
      <c r="O249" s="443"/>
      <c r="P249" s="443"/>
      <c r="Q249" s="443"/>
      <c r="R249" s="443"/>
      <c r="S249" s="443">
        <v>247</v>
      </c>
      <c r="T249" s="443">
        <v>150</v>
      </c>
      <c r="U249" s="443"/>
      <c r="V249" s="443"/>
      <c r="W249" s="443"/>
      <c r="X249" s="443"/>
      <c r="Y249" s="442"/>
    </row>
    <row r="250" spans="12:25" x14ac:dyDescent="0.2">
      <c r="L250" s="443"/>
      <c r="M250" s="443"/>
      <c r="N250" s="443"/>
      <c r="O250" s="443"/>
      <c r="P250" s="443"/>
      <c r="Q250" s="443"/>
      <c r="R250" s="443"/>
      <c r="S250" s="443">
        <v>248</v>
      </c>
      <c r="T250" s="443">
        <v>150</v>
      </c>
      <c r="U250" s="443"/>
      <c r="V250" s="443"/>
      <c r="W250" s="443"/>
      <c r="X250" s="443"/>
      <c r="Y250" s="442"/>
    </row>
    <row r="251" spans="12:25" x14ac:dyDescent="0.2">
      <c r="L251" s="443"/>
      <c r="M251" s="443"/>
      <c r="N251" s="443"/>
      <c r="O251" s="443"/>
      <c r="P251" s="443"/>
      <c r="Q251" s="443"/>
      <c r="R251" s="443"/>
      <c r="S251" s="443">
        <v>249</v>
      </c>
      <c r="T251" s="443">
        <v>150</v>
      </c>
      <c r="U251" s="443"/>
      <c r="V251" s="443"/>
      <c r="W251" s="443"/>
      <c r="X251" s="443"/>
      <c r="Y251" s="442"/>
    </row>
    <row r="252" spans="12:25" x14ac:dyDescent="0.2">
      <c r="L252" s="443"/>
      <c r="M252" s="443"/>
      <c r="N252" s="443"/>
      <c r="O252" s="443"/>
      <c r="P252" s="443"/>
      <c r="Q252" s="443"/>
      <c r="R252" s="443"/>
      <c r="S252" s="443">
        <v>250</v>
      </c>
      <c r="T252" s="443">
        <v>150</v>
      </c>
      <c r="U252" s="443"/>
      <c r="V252" s="443"/>
      <c r="W252" s="443"/>
      <c r="X252" s="443"/>
      <c r="Y252" s="442"/>
    </row>
    <row r="253" spans="12:25" x14ac:dyDescent="0.2">
      <c r="L253" s="443"/>
      <c r="M253" s="443"/>
      <c r="N253" s="443"/>
      <c r="O253" s="443"/>
      <c r="P253" s="443"/>
      <c r="Q253" s="443"/>
      <c r="R253" s="443"/>
      <c r="S253" s="443">
        <v>251</v>
      </c>
      <c r="T253" s="443">
        <v>150</v>
      </c>
      <c r="U253" s="443"/>
      <c r="V253" s="443"/>
      <c r="W253" s="443"/>
      <c r="X253" s="443"/>
      <c r="Y253" s="442"/>
    </row>
    <row r="254" spans="12:25" x14ac:dyDescent="0.2">
      <c r="L254" s="443"/>
      <c r="M254" s="443"/>
      <c r="N254" s="443"/>
      <c r="O254" s="443"/>
      <c r="P254" s="443"/>
      <c r="Q254" s="443"/>
      <c r="R254" s="443"/>
      <c r="S254" s="443">
        <v>252</v>
      </c>
      <c r="T254" s="443">
        <v>150</v>
      </c>
      <c r="U254" s="443"/>
      <c r="V254" s="443"/>
      <c r="W254" s="443"/>
      <c r="X254" s="443"/>
      <c r="Y254" s="442"/>
    </row>
    <row r="255" spans="12:25" x14ac:dyDescent="0.2">
      <c r="L255" s="443"/>
      <c r="M255" s="443"/>
      <c r="N255" s="443"/>
      <c r="O255" s="443"/>
      <c r="P255" s="443"/>
      <c r="Q255" s="443"/>
      <c r="R255" s="443"/>
      <c r="S255" s="443">
        <v>253</v>
      </c>
      <c r="T255" s="443">
        <v>150</v>
      </c>
      <c r="U255" s="443"/>
      <c r="V255" s="443"/>
      <c r="W255" s="443"/>
      <c r="X255" s="443"/>
      <c r="Y255" s="442"/>
    </row>
    <row r="256" spans="12:25" x14ac:dyDescent="0.2">
      <c r="L256" s="443"/>
      <c r="M256" s="443"/>
      <c r="N256" s="443"/>
      <c r="O256" s="443"/>
      <c r="P256" s="443"/>
      <c r="Q256" s="443"/>
      <c r="R256" s="443"/>
      <c r="S256" s="443">
        <v>254</v>
      </c>
      <c r="T256" s="443">
        <v>150</v>
      </c>
      <c r="U256" s="443"/>
      <c r="V256" s="443"/>
      <c r="W256" s="443"/>
      <c r="X256" s="443"/>
      <c r="Y256" s="442"/>
    </row>
    <row r="257" spans="12:25" x14ac:dyDescent="0.2">
      <c r="L257" s="443"/>
      <c r="M257" s="443"/>
      <c r="N257" s="443"/>
      <c r="O257" s="443"/>
      <c r="P257" s="443"/>
      <c r="Q257" s="443"/>
      <c r="R257" s="443"/>
      <c r="S257" s="443">
        <v>255</v>
      </c>
      <c r="T257" s="443">
        <v>150</v>
      </c>
      <c r="U257" s="443"/>
      <c r="V257" s="443"/>
      <c r="W257" s="443"/>
      <c r="X257" s="443"/>
      <c r="Y257" s="442"/>
    </row>
    <row r="258" spans="12:25" x14ac:dyDescent="0.2">
      <c r="L258" s="443"/>
      <c r="M258" s="443"/>
      <c r="N258" s="443"/>
      <c r="O258" s="443"/>
      <c r="P258" s="443"/>
      <c r="Q258" s="443"/>
      <c r="R258" s="443"/>
      <c r="S258" s="443">
        <v>256</v>
      </c>
      <c r="T258" s="443">
        <v>150</v>
      </c>
      <c r="U258" s="443"/>
      <c r="V258" s="443"/>
      <c r="W258" s="443"/>
      <c r="X258" s="443"/>
      <c r="Y258" s="442"/>
    </row>
    <row r="259" spans="12:25" x14ac:dyDescent="0.2">
      <c r="L259" s="443"/>
      <c r="M259" s="443"/>
      <c r="N259" s="443"/>
      <c r="O259" s="443"/>
      <c r="P259" s="443"/>
      <c r="Q259" s="443"/>
      <c r="R259" s="443"/>
      <c r="S259" s="443">
        <v>257</v>
      </c>
      <c r="T259" s="443">
        <v>150</v>
      </c>
      <c r="U259" s="443"/>
      <c r="V259" s="443"/>
      <c r="W259" s="443"/>
      <c r="X259" s="443"/>
      <c r="Y259" s="442"/>
    </row>
    <row r="260" spans="12:25" x14ac:dyDescent="0.2">
      <c r="L260" s="443"/>
      <c r="M260" s="443"/>
      <c r="N260" s="443"/>
      <c r="O260" s="443"/>
      <c r="P260" s="443"/>
      <c r="Q260" s="443"/>
      <c r="R260" s="443"/>
      <c r="S260" s="443">
        <v>258</v>
      </c>
      <c r="T260" s="443">
        <v>150</v>
      </c>
      <c r="U260" s="443"/>
      <c r="V260" s="443"/>
      <c r="W260" s="443"/>
      <c r="X260" s="443"/>
      <c r="Y260" s="442"/>
    </row>
    <row r="261" spans="12:25" x14ac:dyDescent="0.2">
      <c r="L261" s="443"/>
      <c r="M261" s="443"/>
      <c r="N261" s="443"/>
      <c r="O261" s="443"/>
      <c r="P261" s="443"/>
      <c r="Q261" s="443"/>
      <c r="R261" s="443"/>
      <c r="S261" s="443">
        <v>259</v>
      </c>
      <c r="T261" s="443">
        <v>150</v>
      </c>
      <c r="U261" s="443"/>
      <c r="V261" s="443"/>
      <c r="W261" s="443"/>
      <c r="X261" s="443"/>
      <c r="Y261" s="442"/>
    </row>
    <row r="262" spans="12:25" x14ac:dyDescent="0.2">
      <c r="L262" s="443"/>
      <c r="M262" s="443"/>
      <c r="N262" s="443"/>
      <c r="O262" s="443"/>
      <c r="P262" s="443"/>
      <c r="Q262" s="443"/>
      <c r="R262" s="443"/>
      <c r="S262" s="443">
        <v>260</v>
      </c>
      <c r="T262" s="443">
        <v>150</v>
      </c>
      <c r="U262" s="443"/>
      <c r="V262" s="443"/>
      <c r="W262" s="443"/>
      <c r="X262" s="443"/>
      <c r="Y262" s="442"/>
    </row>
    <row r="263" spans="12:25" x14ac:dyDescent="0.2">
      <c r="L263" s="443"/>
      <c r="M263" s="443"/>
      <c r="N263" s="443"/>
      <c r="O263" s="443"/>
      <c r="P263" s="443"/>
      <c r="Q263" s="443"/>
      <c r="R263" s="443"/>
      <c r="S263" s="443">
        <v>261</v>
      </c>
      <c r="T263" s="443">
        <v>150</v>
      </c>
      <c r="U263" s="443"/>
      <c r="V263" s="443"/>
      <c r="W263" s="443"/>
      <c r="X263" s="443"/>
      <c r="Y263" s="442"/>
    </row>
    <row r="264" spans="12:25" x14ac:dyDescent="0.2">
      <c r="L264" s="443"/>
      <c r="M264" s="443"/>
      <c r="N264" s="443"/>
      <c r="O264" s="443"/>
      <c r="P264" s="443"/>
      <c r="Q264" s="443"/>
      <c r="R264" s="443"/>
      <c r="S264" s="443">
        <v>262</v>
      </c>
      <c r="T264" s="443">
        <v>150</v>
      </c>
      <c r="U264" s="443"/>
      <c r="V264" s="443"/>
      <c r="W264" s="443"/>
      <c r="X264" s="443"/>
      <c r="Y264" s="442"/>
    </row>
    <row r="265" spans="12:25" x14ac:dyDescent="0.2">
      <c r="L265" s="443"/>
      <c r="M265" s="443"/>
      <c r="N265" s="443"/>
      <c r="O265" s="443"/>
      <c r="P265" s="443"/>
      <c r="Q265" s="443"/>
      <c r="R265" s="443"/>
      <c r="S265" s="443">
        <v>263</v>
      </c>
      <c r="T265" s="443">
        <v>150</v>
      </c>
      <c r="U265" s="443"/>
      <c r="V265" s="443"/>
      <c r="W265" s="443"/>
      <c r="X265" s="443"/>
      <c r="Y265" s="442"/>
    </row>
    <row r="266" spans="12:25" x14ac:dyDescent="0.2">
      <c r="L266" s="443"/>
      <c r="M266" s="443"/>
      <c r="N266" s="443"/>
      <c r="O266" s="443"/>
      <c r="P266" s="443"/>
      <c r="Q266" s="443"/>
      <c r="R266" s="443"/>
      <c r="S266" s="443">
        <v>264</v>
      </c>
      <c r="T266" s="443">
        <v>150</v>
      </c>
      <c r="U266" s="443"/>
      <c r="V266" s="443"/>
      <c r="W266" s="443"/>
      <c r="X266" s="443"/>
      <c r="Y266" s="442"/>
    </row>
    <row r="267" spans="12:25" x14ac:dyDescent="0.2">
      <c r="L267" s="443"/>
      <c r="M267" s="443"/>
      <c r="N267" s="443"/>
      <c r="O267" s="443"/>
      <c r="P267" s="443"/>
      <c r="Q267" s="443"/>
      <c r="R267" s="443"/>
      <c r="S267" s="443">
        <v>265</v>
      </c>
      <c r="T267" s="443">
        <v>150</v>
      </c>
      <c r="U267" s="443"/>
      <c r="V267" s="443"/>
      <c r="W267" s="443"/>
      <c r="X267" s="443"/>
      <c r="Y267" s="442"/>
    </row>
    <row r="268" spans="12:25" x14ac:dyDescent="0.2">
      <c r="L268" s="443"/>
      <c r="M268" s="443"/>
      <c r="N268" s="443"/>
      <c r="O268" s="443"/>
      <c r="P268" s="443"/>
      <c r="Q268" s="443"/>
      <c r="R268" s="443"/>
      <c r="S268" s="443">
        <v>266</v>
      </c>
      <c r="T268" s="443">
        <v>150</v>
      </c>
      <c r="U268" s="443"/>
      <c r="V268" s="443"/>
      <c r="W268" s="443"/>
      <c r="X268" s="443"/>
      <c r="Y268" s="442"/>
    </row>
    <row r="269" spans="12:25" x14ac:dyDescent="0.2">
      <c r="L269" s="443"/>
      <c r="M269" s="443"/>
      <c r="N269" s="443"/>
      <c r="O269" s="443"/>
      <c r="P269" s="443"/>
      <c r="Q269" s="443"/>
      <c r="R269" s="443"/>
      <c r="S269" s="443">
        <v>267</v>
      </c>
      <c r="T269" s="443">
        <v>150</v>
      </c>
      <c r="U269" s="443"/>
      <c r="V269" s="443"/>
      <c r="W269" s="443"/>
      <c r="X269" s="443"/>
      <c r="Y269" s="442"/>
    </row>
    <row r="270" spans="12:25" x14ac:dyDescent="0.2">
      <c r="L270" s="443"/>
      <c r="M270" s="443"/>
      <c r="N270" s="443"/>
      <c r="O270" s="443"/>
      <c r="P270" s="443"/>
      <c r="Q270" s="443"/>
      <c r="R270" s="443"/>
      <c r="S270" s="443">
        <v>268</v>
      </c>
      <c r="T270" s="443">
        <v>150</v>
      </c>
      <c r="U270" s="443"/>
      <c r="V270" s="443"/>
      <c r="W270" s="443"/>
      <c r="X270" s="443"/>
      <c r="Y270" s="442"/>
    </row>
    <row r="271" spans="12:25" x14ac:dyDescent="0.2">
      <c r="L271" s="443"/>
      <c r="M271" s="443"/>
      <c r="N271" s="443"/>
      <c r="O271" s="443"/>
      <c r="P271" s="443"/>
      <c r="Q271" s="443"/>
      <c r="R271" s="443"/>
      <c r="S271" s="443">
        <v>269</v>
      </c>
      <c r="T271" s="443">
        <v>150</v>
      </c>
      <c r="U271" s="443"/>
      <c r="V271" s="443"/>
      <c r="W271" s="443"/>
      <c r="X271" s="443"/>
      <c r="Y271" s="442"/>
    </row>
    <row r="272" spans="12:25" x14ac:dyDescent="0.2">
      <c r="L272" s="443"/>
      <c r="M272" s="443"/>
      <c r="N272" s="443"/>
      <c r="O272" s="443"/>
      <c r="P272" s="443"/>
      <c r="Q272" s="443"/>
      <c r="R272" s="443"/>
      <c r="S272" s="443">
        <v>270</v>
      </c>
      <c r="T272" s="443">
        <v>150</v>
      </c>
      <c r="U272" s="443"/>
      <c r="V272" s="443"/>
      <c r="W272" s="443"/>
      <c r="X272" s="443"/>
      <c r="Y272" s="442"/>
    </row>
    <row r="273" spans="12:25" x14ac:dyDescent="0.2">
      <c r="L273" s="443"/>
      <c r="M273" s="443"/>
      <c r="N273" s="443"/>
      <c r="O273" s="443"/>
      <c r="P273" s="443"/>
      <c r="Q273" s="443"/>
      <c r="R273" s="443"/>
      <c r="S273" s="443">
        <v>271</v>
      </c>
      <c r="T273" s="443">
        <v>150</v>
      </c>
      <c r="U273" s="443"/>
      <c r="V273" s="443"/>
      <c r="W273" s="443"/>
      <c r="X273" s="443"/>
      <c r="Y273" s="442"/>
    </row>
    <row r="274" spans="12:25" x14ac:dyDescent="0.2">
      <c r="L274" s="443"/>
      <c r="M274" s="443"/>
      <c r="N274" s="443"/>
      <c r="O274" s="443"/>
      <c r="P274" s="443"/>
      <c r="Q274" s="443"/>
      <c r="R274" s="443"/>
      <c r="S274" s="443">
        <v>272</v>
      </c>
      <c r="T274" s="443">
        <v>150</v>
      </c>
      <c r="U274" s="443"/>
      <c r="V274" s="443"/>
      <c r="W274" s="443"/>
      <c r="X274" s="443"/>
      <c r="Y274" s="442"/>
    </row>
    <row r="275" spans="12:25" x14ac:dyDescent="0.2">
      <c r="L275" s="443"/>
      <c r="M275" s="443"/>
      <c r="N275" s="443"/>
      <c r="O275" s="443"/>
      <c r="P275" s="443"/>
      <c r="Q275" s="443"/>
      <c r="R275" s="443"/>
      <c r="S275" s="443">
        <v>273</v>
      </c>
      <c r="T275" s="443">
        <v>150</v>
      </c>
      <c r="U275" s="443"/>
      <c r="V275" s="443"/>
      <c r="W275" s="443"/>
      <c r="X275" s="443"/>
      <c r="Y275" s="442"/>
    </row>
    <row r="276" spans="12:25" x14ac:dyDescent="0.2">
      <c r="L276" s="443"/>
      <c r="M276" s="443"/>
      <c r="N276" s="443"/>
      <c r="O276" s="443"/>
      <c r="P276" s="443"/>
      <c r="Q276" s="443"/>
      <c r="R276" s="443"/>
      <c r="S276" s="443">
        <v>274</v>
      </c>
      <c r="T276" s="443">
        <v>150</v>
      </c>
      <c r="U276" s="443"/>
      <c r="V276" s="443"/>
      <c r="W276" s="443"/>
      <c r="X276" s="443"/>
      <c r="Y276" s="442"/>
    </row>
    <row r="277" spans="12:25" x14ac:dyDescent="0.2">
      <c r="L277" s="443"/>
      <c r="M277" s="443"/>
      <c r="N277" s="443"/>
      <c r="O277" s="443"/>
      <c r="P277" s="443"/>
      <c r="Q277" s="443"/>
      <c r="R277" s="443"/>
      <c r="S277" s="443">
        <v>275</v>
      </c>
      <c r="T277" s="443">
        <v>150</v>
      </c>
      <c r="U277" s="443"/>
      <c r="V277" s="443"/>
      <c r="W277" s="443"/>
      <c r="X277" s="443"/>
      <c r="Y277" s="442"/>
    </row>
    <row r="278" spans="12:25" x14ac:dyDescent="0.2">
      <c r="L278" s="443"/>
      <c r="M278" s="443"/>
      <c r="N278" s="443"/>
      <c r="O278" s="443"/>
      <c r="P278" s="443"/>
      <c r="Q278" s="443"/>
      <c r="R278" s="443"/>
      <c r="S278" s="443">
        <v>276</v>
      </c>
      <c r="T278" s="443">
        <v>150</v>
      </c>
      <c r="U278" s="443"/>
      <c r="V278" s="443"/>
      <c r="W278" s="443"/>
      <c r="X278" s="443"/>
      <c r="Y278" s="442"/>
    </row>
    <row r="279" spans="12:25" x14ac:dyDescent="0.2">
      <c r="L279" s="443"/>
      <c r="M279" s="443"/>
      <c r="N279" s="443"/>
      <c r="O279" s="443"/>
      <c r="P279" s="443"/>
      <c r="Q279" s="443"/>
      <c r="R279" s="443"/>
      <c r="S279" s="443">
        <v>277</v>
      </c>
      <c r="T279" s="443">
        <v>150</v>
      </c>
      <c r="U279" s="443"/>
      <c r="V279" s="443"/>
      <c r="W279" s="443"/>
      <c r="X279" s="443"/>
      <c r="Y279" s="442"/>
    </row>
    <row r="280" spans="12:25" x14ac:dyDescent="0.2">
      <c r="L280" s="443"/>
      <c r="M280" s="443"/>
      <c r="N280" s="443"/>
      <c r="O280" s="443"/>
      <c r="P280" s="443"/>
      <c r="Q280" s="443"/>
      <c r="R280" s="443"/>
      <c r="S280" s="443">
        <v>278</v>
      </c>
      <c r="T280" s="443">
        <v>150</v>
      </c>
      <c r="U280" s="443"/>
      <c r="V280" s="443"/>
      <c r="W280" s="443"/>
      <c r="X280" s="443"/>
      <c r="Y280" s="442"/>
    </row>
    <row r="281" spans="12:25" x14ac:dyDescent="0.2">
      <c r="L281" s="443"/>
      <c r="M281" s="443"/>
      <c r="N281" s="443"/>
      <c r="O281" s="443"/>
      <c r="P281" s="443"/>
      <c r="Q281" s="443"/>
      <c r="R281" s="443"/>
      <c r="S281" s="443">
        <v>279</v>
      </c>
      <c r="T281" s="443">
        <v>150</v>
      </c>
      <c r="U281" s="443"/>
      <c r="V281" s="443"/>
      <c r="W281" s="443"/>
      <c r="X281" s="443"/>
      <c r="Y281" s="442"/>
    </row>
    <row r="282" spans="12:25" x14ac:dyDescent="0.2">
      <c r="L282" s="443"/>
      <c r="M282" s="443"/>
      <c r="N282" s="443"/>
      <c r="O282" s="443"/>
      <c r="P282" s="443"/>
      <c r="Q282" s="443"/>
      <c r="R282" s="443"/>
      <c r="S282" s="443">
        <v>280</v>
      </c>
      <c r="T282" s="443">
        <v>150</v>
      </c>
      <c r="U282" s="443"/>
      <c r="V282" s="443"/>
      <c r="W282" s="443"/>
      <c r="X282" s="443"/>
      <c r="Y282" s="442"/>
    </row>
    <row r="283" spans="12:25" x14ac:dyDescent="0.2">
      <c r="L283" s="443"/>
      <c r="M283" s="443"/>
      <c r="N283" s="443"/>
      <c r="O283" s="443"/>
      <c r="P283" s="443"/>
      <c r="Q283" s="443"/>
      <c r="R283" s="443"/>
      <c r="S283" s="443">
        <v>281</v>
      </c>
      <c r="T283" s="443">
        <v>150</v>
      </c>
      <c r="U283" s="443"/>
      <c r="V283" s="443"/>
      <c r="W283" s="443"/>
      <c r="X283" s="443"/>
      <c r="Y283" s="442"/>
    </row>
    <row r="284" spans="12:25" x14ac:dyDescent="0.2">
      <c r="L284" s="443"/>
      <c r="M284" s="443"/>
      <c r="N284" s="443"/>
      <c r="O284" s="443"/>
      <c r="P284" s="443"/>
      <c r="Q284" s="443"/>
      <c r="R284" s="443"/>
      <c r="S284" s="443">
        <v>282</v>
      </c>
      <c r="T284" s="443">
        <v>150</v>
      </c>
      <c r="U284" s="443"/>
      <c r="V284" s="443"/>
      <c r="W284" s="443"/>
      <c r="X284" s="443"/>
      <c r="Y284" s="442"/>
    </row>
    <row r="285" spans="12:25" x14ac:dyDescent="0.2">
      <c r="L285" s="443"/>
      <c r="M285" s="443"/>
      <c r="N285" s="443"/>
      <c r="O285" s="443"/>
      <c r="P285" s="443"/>
      <c r="Q285" s="443"/>
      <c r="R285" s="443"/>
      <c r="S285" s="443">
        <v>283</v>
      </c>
      <c r="T285" s="443">
        <v>150</v>
      </c>
      <c r="U285" s="443"/>
      <c r="V285" s="443"/>
      <c r="W285" s="443"/>
      <c r="X285" s="443"/>
      <c r="Y285" s="442"/>
    </row>
    <row r="286" spans="12:25" x14ac:dyDescent="0.2">
      <c r="L286" s="443"/>
      <c r="M286" s="443"/>
      <c r="N286" s="443"/>
      <c r="O286" s="443"/>
      <c r="P286" s="443"/>
      <c r="Q286" s="443"/>
      <c r="R286" s="443"/>
      <c r="S286" s="443">
        <v>284</v>
      </c>
      <c r="T286" s="443">
        <v>150</v>
      </c>
      <c r="U286" s="443"/>
      <c r="V286" s="443"/>
      <c r="W286" s="443"/>
      <c r="X286" s="443"/>
      <c r="Y286" s="442"/>
    </row>
    <row r="287" spans="12:25" x14ac:dyDescent="0.2">
      <c r="L287" s="443"/>
      <c r="M287" s="443"/>
      <c r="N287" s="443"/>
      <c r="O287" s="443"/>
      <c r="P287" s="443"/>
      <c r="Q287" s="443"/>
      <c r="R287" s="443"/>
      <c r="S287" s="443">
        <v>285</v>
      </c>
      <c r="T287" s="443">
        <v>150</v>
      </c>
      <c r="U287" s="443"/>
      <c r="V287" s="443"/>
      <c r="W287" s="443"/>
      <c r="X287" s="443"/>
      <c r="Y287" s="442"/>
    </row>
    <row r="288" spans="12:25" x14ac:dyDescent="0.2">
      <c r="L288" s="443"/>
      <c r="M288" s="443"/>
      <c r="N288" s="443"/>
      <c r="O288" s="443"/>
      <c r="P288" s="443"/>
      <c r="Q288" s="443"/>
      <c r="R288" s="443"/>
      <c r="S288" s="443">
        <v>286</v>
      </c>
      <c r="T288" s="443">
        <v>150</v>
      </c>
      <c r="U288" s="443"/>
      <c r="V288" s="443"/>
      <c r="W288" s="443"/>
      <c r="X288" s="443"/>
      <c r="Y288" s="442"/>
    </row>
    <row r="289" spans="12:25" x14ac:dyDescent="0.2">
      <c r="L289" s="443"/>
      <c r="M289" s="443"/>
      <c r="N289" s="443"/>
      <c r="O289" s="443"/>
      <c r="P289" s="443"/>
      <c r="Q289" s="443"/>
      <c r="R289" s="443"/>
      <c r="S289" s="443">
        <v>287</v>
      </c>
      <c r="T289" s="443">
        <v>150</v>
      </c>
      <c r="U289" s="443"/>
      <c r="V289" s="443"/>
      <c r="W289" s="443"/>
      <c r="X289" s="443"/>
      <c r="Y289" s="442"/>
    </row>
    <row r="290" spans="12:25" x14ac:dyDescent="0.2">
      <c r="L290" s="443"/>
      <c r="M290" s="443"/>
      <c r="N290" s="443"/>
      <c r="O290" s="443"/>
      <c r="P290" s="443"/>
      <c r="Q290" s="443"/>
      <c r="R290" s="443"/>
      <c r="S290" s="443">
        <v>288</v>
      </c>
      <c r="T290" s="443">
        <v>150</v>
      </c>
      <c r="U290" s="443"/>
      <c r="V290" s="443"/>
      <c r="W290" s="443"/>
      <c r="X290" s="443"/>
      <c r="Y290" s="442"/>
    </row>
    <row r="291" spans="12:25" x14ac:dyDescent="0.2">
      <c r="L291" s="443"/>
      <c r="M291" s="443"/>
      <c r="N291" s="443"/>
      <c r="O291" s="443"/>
      <c r="P291" s="443"/>
      <c r="Q291" s="443"/>
      <c r="R291" s="443"/>
      <c r="S291" s="443">
        <v>289</v>
      </c>
      <c r="T291" s="443">
        <v>150</v>
      </c>
      <c r="U291" s="443"/>
      <c r="V291" s="443"/>
      <c r="W291" s="443"/>
      <c r="X291" s="443"/>
      <c r="Y291" s="442"/>
    </row>
    <row r="292" spans="12:25" x14ac:dyDescent="0.2">
      <c r="L292" s="443"/>
      <c r="M292" s="443"/>
      <c r="N292" s="443"/>
      <c r="O292" s="443"/>
      <c r="P292" s="443"/>
      <c r="Q292" s="443"/>
      <c r="R292" s="443"/>
      <c r="S292" s="443">
        <v>290</v>
      </c>
      <c r="T292" s="443">
        <v>150</v>
      </c>
      <c r="U292" s="443"/>
      <c r="V292" s="443"/>
      <c r="W292" s="443"/>
      <c r="X292" s="443"/>
      <c r="Y292" s="442"/>
    </row>
    <row r="293" spans="12:25" x14ac:dyDescent="0.2">
      <c r="L293" s="443"/>
      <c r="M293" s="443"/>
      <c r="N293" s="443"/>
      <c r="O293" s="443"/>
      <c r="P293" s="443"/>
      <c r="Q293" s="443"/>
      <c r="R293" s="443"/>
      <c r="S293" s="443">
        <v>291</v>
      </c>
      <c r="T293" s="443">
        <v>150</v>
      </c>
      <c r="U293" s="443"/>
      <c r="V293" s="443"/>
      <c r="W293" s="443"/>
      <c r="X293" s="443"/>
      <c r="Y293" s="442"/>
    </row>
    <row r="294" spans="12:25" x14ac:dyDescent="0.2">
      <c r="L294" s="443"/>
      <c r="M294" s="443"/>
      <c r="N294" s="443"/>
      <c r="O294" s="443"/>
      <c r="P294" s="443"/>
      <c r="Q294" s="443"/>
      <c r="R294" s="443"/>
      <c r="S294" s="443">
        <v>292</v>
      </c>
      <c r="T294" s="443">
        <v>150</v>
      </c>
      <c r="U294" s="443"/>
      <c r="V294" s="443"/>
      <c r="W294" s="443"/>
      <c r="X294" s="443"/>
      <c r="Y294" s="442"/>
    </row>
    <row r="295" spans="12:25" x14ac:dyDescent="0.2">
      <c r="L295" s="443"/>
      <c r="M295" s="443"/>
      <c r="N295" s="443"/>
      <c r="O295" s="443"/>
      <c r="P295" s="443"/>
      <c r="Q295" s="443"/>
      <c r="R295" s="443"/>
      <c r="S295" s="443">
        <v>293</v>
      </c>
      <c r="T295" s="443">
        <v>150</v>
      </c>
      <c r="U295" s="443"/>
      <c r="V295" s="443"/>
      <c r="W295" s="443"/>
      <c r="X295" s="443"/>
      <c r="Y295" s="442"/>
    </row>
    <row r="296" spans="12:25" x14ac:dyDescent="0.2">
      <c r="L296" s="443"/>
      <c r="M296" s="443"/>
      <c r="N296" s="443"/>
      <c r="O296" s="443"/>
      <c r="P296" s="443"/>
      <c r="Q296" s="443"/>
      <c r="R296" s="443"/>
      <c r="S296" s="443">
        <v>294</v>
      </c>
      <c r="T296" s="443">
        <v>150</v>
      </c>
      <c r="U296" s="443"/>
      <c r="V296" s="443"/>
      <c r="W296" s="443"/>
      <c r="X296" s="443"/>
      <c r="Y296" s="442"/>
    </row>
    <row r="297" spans="12:25" x14ac:dyDescent="0.2">
      <c r="L297" s="443"/>
      <c r="M297" s="443"/>
      <c r="N297" s="443"/>
      <c r="O297" s="443"/>
      <c r="P297" s="443"/>
      <c r="Q297" s="443"/>
      <c r="R297" s="443"/>
      <c r="S297" s="443">
        <v>295</v>
      </c>
      <c r="T297" s="443">
        <v>150</v>
      </c>
      <c r="U297" s="443"/>
      <c r="V297" s="443"/>
      <c r="W297" s="443"/>
      <c r="X297" s="443"/>
      <c r="Y297" s="442"/>
    </row>
    <row r="298" spans="12:25" x14ac:dyDescent="0.2">
      <c r="L298" s="443"/>
      <c r="M298" s="443"/>
      <c r="N298" s="443"/>
      <c r="O298" s="443"/>
      <c r="P298" s="443"/>
      <c r="Q298" s="443"/>
      <c r="R298" s="443"/>
      <c r="S298" s="443">
        <v>296</v>
      </c>
      <c r="T298" s="443">
        <v>150</v>
      </c>
      <c r="U298" s="443"/>
      <c r="V298" s="443"/>
      <c r="W298" s="443"/>
      <c r="X298" s="443"/>
      <c r="Y298" s="442"/>
    </row>
    <row r="299" spans="12:25" x14ac:dyDescent="0.2">
      <c r="L299" s="443"/>
      <c r="M299" s="443"/>
      <c r="N299" s="443"/>
      <c r="O299" s="443"/>
      <c r="P299" s="443"/>
      <c r="Q299" s="443"/>
      <c r="R299" s="443"/>
      <c r="S299" s="443">
        <v>297</v>
      </c>
      <c r="T299" s="443">
        <v>150</v>
      </c>
      <c r="U299" s="443"/>
      <c r="V299" s="443"/>
      <c r="W299" s="443"/>
      <c r="X299" s="443"/>
      <c r="Y299" s="442"/>
    </row>
    <row r="300" spans="12:25" x14ac:dyDescent="0.2">
      <c r="L300" s="443"/>
      <c r="M300" s="443"/>
      <c r="N300" s="443"/>
      <c r="O300" s="443"/>
      <c r="P300" s="443"/>
      <c r="Q300" s="443"/>
      <c r="R300" s="443"/>
      <c r="S300" s="443">
        <v>298</v>
      </c>
      <c r="T300" s="443">
        <v>150</v>
      </c>
      <c r="U300" s="443"/>
      <c r="V300" s="443"/>
      <c r="W300" s="443"/>
      <c r="X300" s="443"/>
      <c r="Y300" s="442"/>
    </row>
    <row r="301" spans="12:25" x14ac:dyDescent="0.2">
      <c r="L301" s="443"/>
      <c r="M301" s="443"/>
      <c r="N301" s="443"/>
      <c r="O301" s="443"/>
      <c r="P301" s="443"/>
      <c r="Q301" s="443"/>
      <c r="R301" s="443"/>
      <c r="S301" s="443">
        <v>299</v>
      </c>
      <c r="T301" s="443">
        <v>150</v>
      </c>
      <c r="U301" s="443"/>
      <c r="V301" s="443"/>
      <c r="W301" s="443"/>
      <c r="X301" s="443"/>
      <c r="Y301" s="442"/>
    </row>
    <row r="302" spans="12:25" x14ac:dyDescent="0.2">
      <c r="L302" s="443"/>
      <c r="M302" s="443"/>
      <c r="N302" s="443"/>
      <c r="O302" s="443"/>
      <c r="P302" s="443"/>
      <c r="Q302" s="443"/>
      <c r="R302" s="443"/>
      <c r="S302" s="443">
        <v>300</v>
      </c>
      <c r="T302" s="443">
        <v>150</v>
      </c>
      <c r="U302" s="443">
        <v>300</v>
      </c>
      <c r="V302" s="443"/>
      <c r="W302" s="443"/>
      <c r="X302" s="443"/>
      <c r="Y302" s="442"/>
    </row>
    <row r="303" spans="12:25" x14ac:dyDescent="0.2">
      <c r="L303" s="443"/>
      <c r="M303" s="443"/>
      <c r="N303" s="443"/>
      <c r="O303" s="443"/>
      <c r="P303" s="443"/>
      <c r="Q303" s="443"/>
      <c r="R303" s="443"/>
      <c r="S303" s="443">
        <v>301</v>
      </c>
      <c r="T303" s="443">
        <v>150</v>
      </c>
      <c r="U303" s="443"/>
      <c r="V303" s="443"/>
      <c r="W303" s="443"/>
      <c r="X303" s="443"/>
      <c r="Y303" s="442"/>
    </row>
    <row r="304" spans="12:25" x14ac:dyDescent="0.2">
      <c r="L304" s="443"/>
      <c r="M304" s="443"/>
      <c r="N304" s="443"/>
      <c r="O304" s="443"/>
      <c r="P304" s="443"/>
      <c r="Q304" s="443"/>
      <c r="R304" s="443"/>
      <c r="S304" s="443">
        <v>302</v>
      </c>
      <c r="T304" s="443">
        <v>150</v>
      </c>
      <c r="U304" s="443"/>
      <c r="V304" s="443"/>
      <c r="W304" s="443"/>
      <c r="X304" s="443"/>
      <c r="Y304" s="442"/>
    </row>
    <row r="305" spans="12:25" x14ac:dyDescent="0.2">
      <c r="L305" s="443"/>
      <c r="M305" s="443"/>
      <c r="N305" s="443"/>
      <c r="O305" s="443"/>
      <c r="P305" s="443"/>
      <c r="Q305" s="443"/>
      <c r="R305" s="443"/>
      <c r="S305" s="443">
        <v>303</v>
      </c>
      <c r="T305" s="443">
        <v>150</v>
      </c>
      <c r="U305" s="443"/>
      <c r="V305" s="443"/>
      <c r="W305" s="443"/>
      <c r="X305" s="443"/>
      <c r="Y305" s="442"/>
    </row>
    <row r="306" spans="12:25" x14ac:dyDescent="0.2">
      <c r="L306" s="443"/>
      <c r="M306" s="443"/>
      <c r="N306" s="443"/>
      <c r="O306" s="443"/>
      <c r="P306" s="443"/>
      <c r="Q306" s="443"/>
      <c r="R306" s="443"/>
      <c r="S306" s="443">
        <v>304</v>
      </c>
      <c r="T306" s="443">
        <v>150</v>
      </c>
      <c r="U306" s="443"/>
      <c r="V306" s="443"/>
      <c r="W306" s="443"/>
      <c r="X306" s="443"/>
      <c r="Y306" s="442"/>
    </row>
    <row r="307" spans="12:25" x14ac:dyDescent="0.2">
      <c r="L307" s="443"/>
      <c r="M307" s="443"/>
      <c r="N307" s="443"/>
      <c r="O307" s="443"/>
      <c r="P307" s="443"/>
      <c r="Q307" s="443"/>
      <c r="R307" s="443"/>
      <c r="S307" s="443">
        <v>305</v>
      </c>
      <c r="T307" s="443">
        <v>150</v>
      </c>
      <c r="U307" s="443"/>
      <c r="V307" s="443"/>
      <c r="W307" s="443"/>
      <c r="X307" s="443"/>
      <c r="Y307" s="442"/>
    </row>
    <row r="308" spans="12:25" x14ac:dyDescent="0.2">
      <c r="L308" s="443"/>
      <c r="M308" s="443"/>
      <c r="N308" s="443"/>
      <c r="O308" s="443"/>
      <c r="P308" s="443"/>
      <c r="Q308" s="443"/>
      <c r="R308" s="443"/>
      <c r="S308" s="443">
        <v>306</v>
      </c>
      <c r="T308" s="443">
        <v>150</v>
      </c>
      <c r="U308" s="443"/>
      <c r="V308" s="443"/>
      <c r="W308" s="443"/>
      <c r="X308" s="443"/>
      <c r="Y308" s="442"/>
    </row>
    <row r="309" spans="12:25" x14ac:dyDescent="0.2">
      <c r="L309" s="443"/>
      <c r="M309" s="443"/>
      <c r="N309" s="443"/>
      <c r="O309" s="443"/>
      <c r="P309" s="443"/>
      <c r="Q309" s="443"/>
      <c r="R309" s="443"/>
      <c r="S309" s="443">
        <v>307</v>
      </c>
      <c r="T309" s="443">
        <v>150</v>
      </c>
      <c r="U309" s="443"/>
      <c r="V309" s="443"/>
      <c r="W309" s="443"/>
      <c r="X309" s="443"/>
      <c r="Y309" s="442"/>
    </row>
    <row r="310" spans="12:25" x14ac:dyDescent="0.2">
      <c r="L310" s="443"/>
      <c r="M310" s="443"/>
      <c r="N310" s="443"/>
      <c r="O310" s="443"/>
      <c r="P310" s="443"/>
      <c r="Q310" s="443"/>
      <c r="R310" s="443"/>
      <c r="S310" s="443">
        <v>308</v>
      </c>
      <c r="T310" s="443">
        <v>150</v>
      </c>
      <c r="U310" s="443"/>
      <c r="V310" s="443"/>
      <c r="W310" s="443"/>
      <c r="X310" s="443"/>
      <c r="Y310" s="442"/>
    </row>
    <row r="311" spans="12:25" x14ac:dyDescent="0.2">
      <c r="L311" s="443"/>
      <c r="M311" s="443"/>
      <c r="N311" s="443"/>
      <c r="O311" s="443"/>
      <c r="P311" s="443"/>
      <c r="Q311" s="443"/>
      <c r="R311" s="443"/>
      <c r="S311" s="443">
        <v>309</v>
      </c>
      <c r="T311" s="443">
        <v>150</v>
      </c>
      <c r="U311" s="443"/>
      <c r="V311" s="443"/>
      <c r="W311" s="443"/>
      <c r="X311" s="443"/>
      <c r="Y311" s="442"/>
    </row>
    <row r="312" spans="12:25" x14ac:dyDescent="0.2">
      <c r="L312" s="443"/>
      <c r="M312" s="443"/>
      <c r="N312" s="443"/>
      <c r="O312" s="443"/>
      <c r="P312" s="443"/>
      <c r="Q312" s="443"/>
      <c r="R312" s="443"/>
      <c r="S312" s="443">
        <v>310</v>
      </c>
      <c r="T312" s="443">
        <v>150</v>
      </c>
      <c r="U312" s="443"/>
      <c r="V312" s="443"/>
      <c r="W312" s="443"/>
      <c r="X312" s="443"/>
      <c r="Y312" s="442"/>
    </row>
    <row r="313" spans="12:25" x14ac:dyDescent="0.2">
      <c r="L313" s="443"/>
      <c r="M313" s="443"/>
      <c r="N313" s="443"/>
      <c r="O313" s="443"/>
      <c r="P313" s="443"/>
      <c r="Q313" s="443"/>
      <c r="R313" s="443"/>
      <c r="S313" s="443">
        <v>311</v>
      </c>
      <c r="T313" s="443">
        <v>150</v>
      </c>
      <c r="U313" s="443"/>
      <c r="V313" s="443"/>
      <c r="W313" s="443"/>
      <c r="X313" s="443"/>
      <c r="Y313" s="442"/>
    </row>
    <row r="314" spans="12:25" x14ac:dyDescent="0.2">
      <c r="L314" s="443"/>
      <c r="M314" s="443"/>
      <c r="N314" s="443"/>
      <c r="O314" s="443"/>
      <c r="P314" s="443"/>
      <c r="Q314" s="443"/>
      <c r="R314" s="443"/>
      <c r="S314" s="443">
        <v>312</v>
      </c>
      <c r="T314" s="443">
        <v>150</v>
      </c>
      <c r="U314" s="443"/>
      <c r="V314" s="443"/>
      <c r="W314" s="443"/>
      <c r="X314" s="443"/>
      <c r="Y314" s="442"/>
    </row>
    <row r="315" spans="12:25" x14ac:dyDescent="0.2">
      <c r="L315" s="443"/>
      <c r="M315" s="443"/>
      <c r="N315" s="443"/>
      <c r="O315" s="443"/>
      <c r="P315" s="443"/>
      <c r="Q315" s="443"/>
      <c r="R315" s="443"/>
      <c r="S315" s="443">
        <v>313</v>
      </c>
      <c r="T315" s="443">
        <v>150</v>
      </c>
      <c r="U315" s="443"/>
      <c r="V315" s="443"/>
      <c r="W315" s="443"/>
      <c r="X315" s="443"/>
      <c r="Y315" s="442"/>
    </row>
    <row r="316" spans="12:25" x14ac:dyDescent="0.2">
      <c r="L316" s="443"/>
      <c r="M316" s="443"/>
      <c r="N316" s="443"/>
      <c r="O316" s="443"/>
      <c r="P316" s="443"/>
      <c r="Q316" s="443"/>
      <c r="R316" s="443"/>
      <c r="S316" s="443">
        <v>314</v>
      </c>
      <c r="T316" s="443">
        <v>150</v>
      </c>
      <c r="U316" s="443"/>
      <c r="V316" s="443"/>
      <c r="W316" s="443"/>
      <c r="X316" s="443"/>
      <c r="Y316" s="442"/>
    </row>
    <row r="317" spans="12:25" x14ac:dyDescent="0.2">
      <c r="L317" s="443"/>
      <c r="M317" s="443"/>
      <c r="N317" s="443"/>
      <c r="O317" s="443"/>
      <c r="P317" s="443"/>
      <c r="Q317" s="443"/>
      <c r="R317" s="443"/>
      <c r="S317" s="443">
        <v>315</v>
      </c>
      <c r="T317" s="443">
        <v>150</v>
      </c>
      <c r="U317" s="443"/>
      <c r="V317" s="443"/>
      <c r="W317" s="443"/>
      <c r="X317" s="443"/>
      <c r="Y317" s="442"/>
    </row>
    <row r="318" spans="12:25" x14ac:dyDescent="0.2">
      <c r="L318" s="443"/>
      <c r="M318" s="443"/>
      <c r="N318" s="443"/>
      <c r="O318" s="443"/>
      <c r="P318" s="443"/>
      <c r="Q318" s="443"/>
      <c r="R318" s="443"/>
      <c r="S318" s="443">
        <v>316</v>
      </c>
      <c r="T318" s="443">
        <v>150</v>
      </c>
      <c r="U318" s="443"/>
      <c r="V318" s="443"/>
      <c r="W318" s="443"/>
      <c r="X318" s="443"/>
      <c r="Y318" s="442"/>
    </row>
    <row r="319" spans="12:25" x14ac:dyDescent="0.2">
      <c r="L319" s="443"/>
      <c r="M319" s="443"/>
      <c r="N319" s="443"/>
      <c r="O319" s="443"/>
      <c r="P319" s="443"/>
      <c r="Q319" s="443"/>
      <c r="R319" s="443"/>
      <c r="S319" s="443">
        <v>317</v>
      </c>
      <c r="T319" s="443">
        <v>150</v>
      </c>
      <c r="U319" s="443"/>
      <c r="V319" s="443"/>
      <c r="W319" s="443"/>
      <c r="X319" s="443"/>
      <c r="Y319" s="442"/>
    </row>
    <row r="320" spans="12:25" x14ac:dyDescent="0.2">
      <c r="L320" s="443"/>
      <c r="M320" s="443"/>
      <c r="N320" s="443"/>
      <c r="O320" s="443"/>
      <c r="P320" s="443"/>
      <c r="Q320" s="443"/>
      <c r="R320" s="443"/>
      <c r="S320" s="443">
        <v>318</v>
      </c>
      <c r="T320" s="443">
        <v>150</v>
      </c>
      <c r="U320" s="443"/>
      <c r="V320" s="443"/>
      <c r="W320" s="443"/>
      <c r="X320" s="443"/>
      <c r="Y320" s="442"/>
    </row>
    <row r="321" spans="12:25" x14ac:dyDescent="0.2">
      <c r="L321" s="443"/>
      <c r="M321" s="443"/>
      <c r="N321" s="443"/>
      <c r="O321" s="443"/>
      <c r="P321" s="443"/>
      <c r="Q321" s="443"/>
      <c r="R321" s="443"/>
      <c r="S321" s="443">
        <v>319</v>
      </c>
      <c r="T321" s="443">
        <v>150</v>
      </c>
      <c r="U321" s="443"/>
      <c r="V321" s="443"/>
      <c r="W321" s="443"/>
      <c r="X321" s="443"/>
      <c r="Y321" s="442"/>
    </row>
    <row r="322" spans="12:25" x14ac:dyDescent="0.2">
      <c r="L322" s="443"/>
      <c r="M322" s="443"/>
      <c r="N322" s="443"/>
      <c r="O322" s="443"/>
      <c r="P322" s="443"/>
      <c r="Q322" s="443"/>
      <c r="R322" s="443"/>
      <c r="S322" s="443">
        <v>320</v>
      </c>
      <c r="T322" s="443">
        <v>150</v>
      </c>
      <c r="U322" s="443"/>
      <c r="V322" s="443"/>
      <c r="W322" s="443"/>
      <c r="X322" s="443"/>
      <c r="Y322" s="442"/>
    </row>
    <row r="323" spans="12:25" x14ac:dyDescent="0.2">
      <c r="L323" s="443"/>
      <c r="M323" s="443"/>
      <c r="N323" s="443"/>
      <c r="O323" s="443"/>
      <c r="P323" s="443"/>
      <c r="Q323" s="443"/>
      <c r="R323" s="443"/>
      <c r="S323" s="443">
        <v>321</v>
      </c>
      <c r="T323" s="443">
        <v>150</v>
      </c>
      <c r="U323" s="443"/>
      <c r="V323" s="443"/>
      <c r="W323" s="443"/>
      <c r="X323" s="443"/>
      <c r="Y323" s="442"/>
    </row>
    <row r="324" spans="12:25" x14ac:dyDescent="0.2">
      <c r="L324" s="443"/>
      <c r="M324" s="443"/>
      <c r="N324" s="443"/>
      <c r="O324" s="443"/>
      <c r="P324" s="443"/>
      <c r="Q324" s="443"/>
      <c r="R324" s="443"/>
      <c r="S324" s="443">
        <v>322</v>
      </c>
      <c r="T324" s="443">
        <v>150</v>
      </c>
      <c r="U324" s="443"/>
      <c r="V324" s="443"/>
      <c r="W324" s="443"/>
      <c r="X324" s="443"/>
      <c r="Y324" s="442"/>
    </row>
    <row r="325" spans="12:25" x14ac:dyDescent="0.2">
      <c r="L325" s="443"/>
      <c r="M325" s="443"/>
      <c r="N325" s="443"/>
      <c r="O325" s="443"/>
      <c r="P325" s="443"/>
      <c r="Q325" s="443"/>
      <c r="R325" s="443"/>
      <c r="S325" s="443">
        <v>323</v>
      </c>
      <c r="T325" s="443">
        <v>150</v>
      </c>
      <c r="U325" s="443"/>
      <c r="V325" s="443"/>
      <c r="W325" s="443"/>
      <c r="X325" s="443"/>
      <c r="Y325" s="442"/>
    </row>
    <row r="326" spans="12:25" x14ac:dyDescent="0.2">
      <c r="L326" s="443"/>
      <c r="M326" s="443"/>
      <c r="N326" s="443"/>
      <c r="O326" s="443"/>
      <c r="P326" s="443"/>
      <c r="Q326" s="443"/>
      <c r="R326" s="443"/>
      <c r="S326" s="443">
        <v>324</v>
      </c>
      <c r="T326" s="443">
        <v>150</v>
      </c>
      <c r="U326" s="443"/>
      <c r="V326" s="443"/>
      <c r="W326" s="443"/>
      <c r="X326" s="443"/>
      <c r="Y326" s="442"/>
    </row>
    <row r="327" spans="12:25" x14ac:dyDescent="0.2">
      <c r="L327" s="443"/>
      <c r="M327" s="443"/>
      <c r="N327" s="443"/>
      <c r="O327" s="443"/>
      <c r="P327" s="443"/>
      <c r="Q327" s="443"/>
      <c r="R327" s="443"/>
      <c r="S327" s="443">
        <v>325</v>
      </c>
      <c r="T327" s="443">
        <v>150</v>
      </c>
      <c r="U327" s="443"/>
      <c r="V327" s="443"/>
      <c r="W327" s="443"/>
      <c r="X327" s="443"/>
      <c r="Y327" s="442"/>
    </row>
    <row r="328" spans="12:25" x14ac:dyDescent="0.2">
      <c r="L328" s="443"/>
      <c r="M328" s="443"/>
      <c r="N328" s="443"/>
      <c r="O328" s="443"/>
      <c r="P328" s="443"/>
      <c r="Q328" s="443"/>
      <c r="R328" s="443"/>
      <c r="S328" s="443">
        <v>326</v>
      </c>
      <c r="T328" s="443">
        <v>150</v>
      </c>
      <c r="U328" s="443"/>
      <c r="V328" s="443"/>
      <c r="W328" s="443"/>
      <c r="X328" s="443"/>
      <c r="Y328" s="442"/>
    </row>
    <row r="329" spans="12:25" x14ac:dyDescent="0.2">
      <c r="L329" s="443"/>
      <c r="M329" s="443"/>
      <c r="N329" s="443"/>
      <c r="O329" s="443"/>
      <c r="P329" s="443"/>
      <c r="Q329" s="443"/>
      <c r="R329" s="443"/>
      <c r="S329" s="443">
        <v>327</v>
      </c>
      <c r="T329" s="443">
        <v>150</v>
      </c>
      <c r="U329" s="443"/>
      <c r="V329" s="443"/>
      <c r="W329" s="443"/>
      <c r="X329" s="443"/>
      <c r="Y329" s="442"/>
    </row>
    <row r="330" spans="12:25" x14ac:dyDescent="0.2">
      <c r="L330" s="443"/>
      <c r="M330" s="443"/>
      <c r="N330" s="443"/>
      <c r="O330" s="443"/>
      <c r="P330" s="443"/>
      <c r="Q330" s="443"/>
      <c r="R330" s="443"/>
      <c r="S330" s="443">
        <v>328</v>
      </c>
      <c r="T330" s="443">
        <v>150</v>
      </c>
      <c r="U330" s="443"/>
      <c r="V330" s="443"/>
      <c r="W330" s="443"/>
      <c r="X330" s="443"/>
      <c r="Y330" s="442"/>
    </row>
    <row r="331" spans="12:25" x14ac:dyDescent="0.2">
      <c r="L331" s="443"/>
      <c r="M331" s="443"/>
      <c r="N331" s="443"/>
      <c r="O331" s="443"/>
      <c r="P331" s="443"/>
      <c r="Q331" s="443"/>
      <c r="R331" s="443"/>
      <c r="S331" s="443">
        <v>329</v>
      </c>
      <c r="T331" s="443">
        <v>150</v>
      </c>
      <c r="U331" s="443"/>
      <c r="V331" s="443"/>
      <c r="W331" s="443"/>
      <c r="X331" s="443"/>
      <c r="Y331" s="442"/>
    </row>
    <row r="332" spans="12:25" x14ac:dyDescent="0.2">
      <c r="L332" s="443"/>
      <c r="M332" s="443"/>
      <c r="N332" s="443"/>
      <c r="O332" s="443"/>
      <c r="P332" s="443"/>
      <c r="Q332" s="443"/>
      <c r="R332" s="443"/>
      <c r="S332" s="443">
        <v>330</v>
      </c>
      <c r="T332" s="443">
        <v>150</v>
      </c>
      <c r="U332" s="443"/>
      <c r="V332" s="443"/>
      <c r="W332" s="443"/>
      <c r="X332" s="443"/>
      <c r="Y332" s="442"/>
    </row>
    <row r="333" spans="12:25" x14ac:dyDescent="0.2">
      <c r="L333" s="443"/>
      <c r="M333" s="443"/>
      <c r="N333" s="443"/>
      <c r="O333" s="443"/>
      <c r="P333" s="443"/>
      <c r="Q333" s="443"/>
      <c r="R333" s="443"/>
      <c r="S333" s="443">
        <v>331</v>
      </c>
      <c r="T333" s="443">
        <v>150</v>
      </c>
      <c r="U333" s="443"/>
      <c r="V333" s="443"/>
      <c r="W333" s="443"/>
      <c r="X333" s="443"/>
      <c r="Y333" s="442"/>
    </row>
    <row r="334" spans="12:25" x14ac:dyDescent="0.2">
      <c r="L334" s="443"/>
      <c r="M334" s="443"/>
      <c r="N334" s="443"/>
      <c r="O334" s="443"/>
      <c r="P334" s="443"/>
      <c r="Q334" s="443"/>
      <c r="R334" s="443"/>
      <c r="S334" s="443">
        <v>332</v>
      </c>
      <c r="T334" s="443">
        <v>150</v>
      </c>
      <c r="U334" s="443"/>
      <c r="V334" s="443"/>
      <c r="W334" s="443"/>
      <c r="X334" s="443"/>
      <c r="Y334" s="442"/>
    </row>
    <row r="335" spans="12:25" x14ac:dyDescent="0.2">
      <c r="L335" s="443"/>
      <c r="M335" s="443"/>
      <c r="N335" s="443"/>
      <c r="O335" s="443"/>
      <c r="P335" s="443"/>
      <c r="Q335" s="443"/>
      <c r="R335" s="443"/>
      <c r="S335" s="443">
        <v>333</v>
      </c>
      <c r="T335" s="443">
        <v>150</v>
      </c>
      <c r="U335" s="443"/>
      <c r="V335" s="443"/>
      <c r="W335" s="443"/>
      <c r="X335" s="443"/>
      <c r="Y335" s="442"/>
    </row>
    <row r="336" spans="12:25" x14ac:dyDescent="0.2">
      <c r="L336" s="443"/>
      <c r="M336" s="443"/>
      <c r="N336" s="443"/>
      <c r="O336" s="443"/>
      <c r="P336" s="443"/>
      <c r="Q336" s="443"/>
      <c r="R336" s="443"/>
      <c r="S336" s="443">
        <v>334</v>
      </c>
      <c r="T336" s="443">
        <v>150</v>
      </c>
      <c r="U336" s="443"/>
      <c r="V336" s="443"/>
      <c r="W336" s="443"/>
      <c r="X336" s="443"/>
      <c r="Y336" s="442"/>
    </row>
    <row r="337" spans="12:25" x14ac:dyDescent="0.2">
      <c r="L337" s="443"/>
      <c r="M337" s="443"/>
      <c r="N337" s="443"/>
      <c r="O337" s="443"/>
      <c r="P337" s="443"/>
      <c r="Q337" s="443"/>
      <c r="R337" s="443"/>
      <c r="S337" s="443">
        <v>335</v>
      </c>
      <c r="T337" s="443">
        <v>150</v>
      </c>
      <c r="U337" s="443"/>
      <c r="V337" s="443"/>
      <c r="W337" s="443"/>
      <c r="X337" s="443"/>
      <c r="Y337" s="442"/>
    </row>
    <row r="338" spans="12:25" x14ac:dyDescent="0.2">
      <c r="L338" s="443"/>
      <c r="M338" s="443"/>
      <c r="N338" s="443"/>
      <c r="O338" s="443"/>
      <c r="P338" s="443"/>
      <c r="Q338" s="443"/>
      <c r="R338" s="443"/>
      <c r="S338" s="443">
        <v>336</v>
      </c>
      <c r="T338" s="443">
        <v>150</v>
      </c>
      <c r="U338" s="443"/>
      <c r="V338" s="443"/>
      <c r="W338" s="443"/>
      <c r="X338" s="443"/>
      <c r="Y338" s="442"/>
    </row>
    <row r="339" spans="12:25" x14ac:dyDescent="0.2">
      <c r="L339" s="443"/>
      <c r="M339" s="443"/>
      <c r="N339" s="443"/>
      <c r="O339" s="443"/>
      <c r="P339" s="443"/>
      <c r="Q339" s="443"/>
      <c r="R339" s="443"/>
      <c r="S339" s="443">
        <v>337</v>
      </c>
      <c r="T339" s="443">
        <v>150</v>
      </c>
      <c r="U339" s="443"/>
      <c r="V339" s="443"/>
      <c r="W339" s="443"/>
      <c r="X339" s="443"/>
      <c r="Y339" s="442"/>
    </row>
    <row r="340" spans="12:25" x14ac:dyDescent="0.2">
      <c r="L340" s="443"/>
      <c r="M340" s="443"/>
      <c r="N340" s="443"/>
      <c r="O340" s="443"/>
      <c r="P340" s="443"/>
      <c r="Q340" s="443"/>
      <c r="R340" s="443"/>
      <c r="S340" s="443">
        <v>338</v>
      </c>
      <c r="T340" s="443">
        <v>150</v>
      </c>
      <c r="U340" s="443"/>
      <c r="V340" s="443"/>
      <c r="W340" s="443"/>
      <c r="X340" s="443"/>
      <c r="Y340" s="442"/>
    </row>
    <row r="341" spans="12:25" x14ac:dyDescent="0.2">
      <c r="L341" s="443"/>
      <c r="M341" s="443"/>
      <c r="N341" s="443"/>
      <c r="O341" s="443"/>
      <c r="P341" s="443"/>
      <c r="Q341" s="443"/>
      <c r="R341" s="443"/>
      <c r="S341" s="443">
        <v>339</v>
      </c>
      <c r="T341" s="443">
        <v>150</v>
      </c>
      <c r="U341" s="443"/>
      <c r="V341" s="443"/>
      <c r="W341" s="443"/>
      <c r="X341" s="443"/>
      <c r="Y341" s="442"/>
    </row>
    <row r="342" spans="12:25" x14ac:dyDescent="0.2">
      <c r="L342" s="443"/>
      <c r="M342" s="443"/>
      <c r="N342" s="443"/>
      <c r="O342" s="443"/>
      <c r="P342" s="443"/>
      <c r="Q342" s="443"/>
      <c r="R342" s="443"/>
      <c r="S342" s="443">
        <v>340</v>
      </c>
      <c r="T342" s="443">
        <v>150</v>
      </c>
      <c r="U342" s="443"/>
      <c r="V342" s="443"/>
      <c r="W342" s="443"/>
      <c r="X342" s="443"/>
      <c r="Y342" s="442"/>
    </row>
    <row r="343" spans="12:25" x14ac:dyDescent="0.2">
      <c r="L343" s="443"/>
      <c r="M343" s="443"/>
      <c r="N343" s="443"/>
      <c r="O343" s="443"/>
      <c r="P343" s="443"/>
      <c r="Q343" s="443"/>
      <c r="R343" s="443"/>
      <c r="S343" s="443">
        <v>341</v>
      </c>
      <c r="T343" s="443">
        <v>150</v>
      </c>
      <c r="U343" s="443"/>
      <c r="V343" s="443"/>
      <c r="W343" s="443"/>
      <c r="X343" s="443"/>
      <c r="Y343" s="442"/>
    </row>
    <row r="344" spans="12:25" x14ac:dyDescent="0.2">
      <c r="L344" s="443"/>
      <c r="M344" s="443"/>
      <c r="N344" s="443"/>
      <c r="O344" s="443"/>
      <c r="P344" s="443"/>
      <c r="Q344" s="443"/>
      <c r="R344" s="443"/>
      <c r="S344" s="443">
        <v>342</v>
      </c>
      <c r="T344" s="443">
        <v>150</v>
      </c>
      <c r="U344" s="443"/>
      <c r="V344" s="443"/>
      <c r="W344" s="443"/>
      <c r="X344" s="443"/>
      <c r="Y344" s="442"/>
    </row>
    <row r="345" spans="12:25" x14ac:dyDescent="0.2">
      <c r="L345" s="443"/>
      <c r="M345" s="443"/>
      <c r="N345" s="443"/>
      <c r="O345" s="443"/>
      <c r="P345" s="443"/>
      <c r="Q345" s="443"/>
      <c r="R345" s="443"/>
      <c r="S345" s="443">
        <v>343</v>
      </c>
      <c r="T345" s="443">
        <v>150</v>
      </c>
      <c r="U345" s="443"/>
      <c r="V345" s="443"/>
      <c r="W345" s="443"/>
      <c r="X345" s="443"/>
      <c r="Y345" s="442"/>
    </row>
    <row r="346" spans="12:25" x14ac:dyDescent="0.2">
      <c r="L346" s="443"/>
      <c r="M346" s="443"/>
      <c r="N346" s="443"/>
      <c r="O346" s="443"/>
      <c r="P346" s="443"/>
      <c r="Q346" s="443"/>
      <c r="R346" s="443"/>
      <c r="S346" s="443">
        <v>344</v>
      </c>
      <c r="T346" s="443">
        <v>150</v>
      </c>
      <c r="U346" s="443"/>
      <c r="V346" s="443"/>
      <c r="W346" s="443"/>
      <c r="X346" s="443"/>
      <c r="Y346" s="442"/>
    </row>
    <row r="347" spans="12:25" x14ac:dyDescent="0.2">
      <c r="L347" s="443"/>
      <c r="M347" s="443"/>
      <c r="N347" s="443"/>
      <c r="O347" s="443"/>
      <c r="P347" s="443"/>
      <c r="Q347" s="443"/>
      <c r="R347" s="443"/>
      <c r="S347" s="443">
        <v>345</v>
      </c>
      <c r="T347" s="443">
        <v>150</v>
      </c>
      <c r="U347" s="443"/>
      <c r="V347" s="443"/>
      <c r="W347" s="443"/>
      <c r="X347" s="443"/>
      <c r="Y347" s="442"/>
    </row>
    <row r="348" spans="12:25" x14ac:dyDescent="0.2">
      <c r="L348" s="443"/>
      <c r="M348" s="443"/>
      <c r="N348" s="443"/>
      <c r="O348" s="443"/>
      <c r="P348" s="443"/>
      <c r="Q348" s="443"/>
      <c r="R348" s="443"/>
      <c r="S348" s="443">
        <v>346</v>
      </c>
      <c r="T348" s="443">
        <v>150</v>
      </c>
      <c r="U348" s="443"/>
      <c r="V348" s="443"/>
      <c r="W348" s="443"/>
      <c r="X348" s="443"/>
      <c r="Y348" s="442"/>
    </row>
    <row r="349" spans="12:25" x14ac:dyDescent="0.2">
      <c r="L349" s="443"/>
      <c r="M349" s="443"/>
      <c r="N349" s="443"/>
      <c r="O349" s="443"/>
      <c r="P349" s="443"/>
      <c r="Q349" s="443"/>
      <c r="R349" s="443"/>
      <c r="S349" s="443">
        <v>347</v>
      </c>
      <c r="T349" s="443">
        <v>150</v>
      </c>
      <c r="U349" s="443"/>
      <c r="V349" s="443"/>
      <c r="W349" s="443"/>
      <c r="X349" s="443"/>
      <c r="Y349" s="442"/>
    </row>
    <row r="350" spans="12:25" x14ac:dyDescent="0.2">
      <c r="L350" s="443"/>
      <c r="M350" s="443"/>
      <c r="N350" s="443"/>
      <c r="O350" s="443"/>
      <c r="P350" s="443"/>
      <c r="Q350" s="443"/>
      <c r="R350" s="443"/>
      <c r="S350" s="443">
        <v>348</v>
      </c>
      <c r="T350" s="443">
        <v>150</v>
      </c>
      <c r="U350" s="443"/>
      <c r="V350" s="443"/>
      <c r="W350" s="443"/>
      <c r="X350" s="443"/>
      <c r="Y350" s="442"/>
    </row>
    <row r="351" spans="12:25" x14ac:dyDescent="0.2">
      <c r="L351" s="443"/>
      <c r="M351" s="443"/>
      <c r="N351" s="443"/>
      <c r="O351" s="443"/>
      <c r="P351" s="443"/>
      <c r="Q351" s="443"/>
      <c r="R351" s="443"/>
      <c r="S351" s="443">
        <v>349</v>
      </c>
      <c r="T351" s="443">
        <v>150</v>
      </c>
      <c r="U351" s="443"/>
      <c r="V351" s="443"/>
      <c r="W351" s="443"/>
      <c r="X351" s="443"/>
      <c r="Y351" s="442"/>
    </row>
    <row r="352" spans="12:25" x14ac:dyDescent="0.2">
      <c r="L352" s="443"/>
      <c r="M352" s="443"/>
      <c r="N352" s="443"/>
      <c r="O352" s="443"/>
      <c r="P352" s="443"/>
      <c r="Q352" s="443"/>
      <c r="R352" s="443"/>
      <c r="S352" s="443">
        <v>350</v>
      </c>
      <c r="T352" s="443">
        <v>150</v>
      </c>
      <c r="U352" s="443"/>
      <c r="V352" s="443"/>
      <c r="W352" s="443"/>
      <c r="X352" s="443"/>
      <c r="Y352" s="442"/>
    </row>
    <row r="353" spans="12:25" x14ac:dyDescent="0.2">
      <c r="L353" s="443"/>
      <c r="M353" s="443"/>
      <c r="N353" s="443"/>
      <c r="O353" s="443"/>
      <c r="P353" s="443"/>
      <c r="Q353" s="443"/>
      <c r="R353" s="443"/>
      <c r="S353" s="443">
        <v>351</v>
      </c>
      <c r="T353" s="443">
        <v>150</v>
      </c>
      <c r="U353" s="443"/>
      <c r="V353" s="443"/>
      <c r="W353" s="443"/>
      <c r="X353" s="443"/>
      <c r="Y353" s="442"/>
    </row>
    <row r="354" spans="12:25" x14ac:dyDescent="0.2">
      <c r="L354" s="443"/>
      <c r="M354" s="443"/>
      <c r="N354" s="443"/>
      <c r="O354" s="443"/>
      <c r="P354" s="443"/>
      <c r="Q354" s="443"/>
      <c r="R354" s="443"/>
      <c r="S354" s="443">
        <v>352</v>
      </c>
      <c r="T354" s="443">
        <v>150</v>
      </c>
      <c r="U354" s="443"/>
      <c r="V354" s="443"/>
      <c r="W354" s="443"/>
      <c r="X354" s="443"/>
      <c r="Y354" s="442"/>
    </row>
    <row r="355" spans="12:25" x14ac:dyDescent="0.2">
      <c r="L355" s="443"/>
      <c r="M355" s="443"/>
      <c r="N355" s="443"/>
      <c r="O355" s="443"/>
      <c r="P355" s="443"/>
      <c r="Q355" s="443"/>
      <c r="R355" s="443"/>
      <c r="S355" s="443">
        <v>353</v>
      </c>
      <c r="T355" s="443">
        <v>150</v>
      </c>
      <c r="U355" s="443"/>
      <c r="V355" s="443"/>
      <c r="W355" s="443"/>
      <c r="X355" s="443"/>
      <c r="Y355" s="442"/>
    </row>
    <row r="356" spans="12:25" x14ac:dyDescent="0.2">
      <c r="L356" s="443"/>
      <c r="M356" s="443"/>
      <c r="N356" s="443"/>
      <c r="O356" s="443"/>
      <c r="P356" s="443"/>
      <c r="Q356" s="443"/>
      <c r="R356" s="443"/>
      <c r="S356" s="443">
        <v>354</v>
      </c>
      <c r="T356" s="443">
        <v>150</v>
      </c>
      <c r="U356" s="443"/>
      <c r="V356" s="443"/>
      <c r="W356" s="443"/>
      <c r="X356" s="443"/>
      <c r="Y356" s="442"/>
    </row>
    <row r="357" spans="12:25" x14ac:dyDescent="0.2">
      <c r="L357" s="443"/>
      <c r="M357" s="443"/>
      <c r="N357" s="443"/>
      <c r="O357" s="443"/>
      <c r="P357" s="443"/>
      <c r="Q357" s="443"/>
      <c r="R357" s="443"/>
      <c r="S357" s="443">
        <v>355</v>
      </c>
      <c r="T357" s="443">
        <v>150</v>
      </c>
      <c r="U357" s="443"/>
      <c r="V357" s="443"/>
      <c r="W357" s="443"/>
      <c r="X357" s="443"/>
      <c r="Y357" s="442"/>
    </row>
    <row r="358" spans="12:25" x14ac:dyDescent="0.2">
      <c r="L358" s="443"/>
      <c r="M358" s="443"/>
      <c r="N358" s="443"/>
      <c r="O358" s="443"/>
      <c r="P358" s="443"/>
      <c r="Q358" s="443"/>
      <c r="R358" s="443"/>
      <c r="S358" s="443">
        <v>356</v>
      </c>
      <c r="T358" s="443">
        <v>150</v>
      </c>
      <c r="U358" s="443"/>
      <c r="V358" s="443"/>
      <c r="W358" s="443"/>
      <c r="X358" s="443"/>
      <c r="Y358" s="442"/>
    </row>
    <row r="359" spans="12:25" x14ac:dyDescent="0.2">
      <c r="L359" s="443"/>
      <c r="M359" s="443"/>
      <c r="N359" s="443"/>
      <c r="O359" s="443"/>
      <c r="P359" s="443"/>
      <c r="Q359" s="443"/>
      <c r="R359" s="443"/>
      <c r="S359" s="443">
        <v>357</v>
      </c>
      <c r="T359" s="443">
        <v>150</v>
      </c>
      <c r="U359" s="443"/>
      <c r="V359" s="443"/>
      <c r="W359" s="443"/>
      <c r="X359" s="443"/>
      <c r="Y359" s="442"/>
    </row>
    <row r="360" spans="12:25" x14ac:dyDescent="0.2">
      <c r="L360" s="443"/>
      <c r="M360" s="443"/>
      <c r="N360" s="443"/>
      <c r="O360" s="443"/>
      <c r="P360" s="443"/>
      <c r="Q360" s="443"/>
      <c r="R360" s="443"/>
      <c r="S360" s="443">
        <v>358</v>
      </c>
      <c r="T360" s="443">
        <v>150</v>
      </c>
      <c r="U360" s="443"/>
      <c r="V360" s="443"/>
      <c r="W360" s="443"/>
      <c r="X360" s="443"/>
      <c r="Y360" s="442"/>
    </row>
    <row r="361" spans="12:25" x14ac:dyDescent="0.2">
      <c r="L361" s="443"/>
      <c r="M361" s="443"/>
      <c r="N361" s="443"/>
      <c r="O361" s="443"/>
      <c r="P361" s="443"/>
      <c r="Q361" s="443"/>
      <c r="R361" s="443"/>
      <c r="S361" s="443">
        <v>359</v>
      </c>
      <c r="T361" s="443">
        <v>150</v>
      </c>
      <c r="U361" s="443"/>
      <c r="V361" s="443"/>
      <c r="W361" s="443"/>
      <c r="X361" s="443"/>
      <c r="Y361" s="442"/>
    </row>
    <row r="362" spans="12:25" x14ac:dyDescent="0.2">
      <c r="L362" s="443"/>
      <c r="M362" s="443"/>
      <c r="N362" s="443"/>
      <c r="O362" s="443"/>
      <c r="P362" s="443"/>
      <c r="Q362" s="443"/>
      <c r="R362" s="443"/>
      <c r="S362" s="443">
        <v>360</v>
      </c>
      <c r="T362" s="443">
        <v>150</v>
      </c>
      <c r="U362" s="443">
        <v>360</v>
      </c>
      <c r="V362" s="443"/>
      <c r="W362" s="443"/>
      <c r="X362" s="443"/>
      <c r="Y362" s="442"/>
    </row>
    <row r="363" spans="12:25" x14ac:dyDescent="0.2">
      <c r="L363" s="443"/>
      <c r="M363" s="443"/>
      <c r="N363" s="443"/>
      <c r="O363" s="443"/>
      <c r="P363" s="443"/>
      <c r="Q363" s="443"/>
      <c r="R363" s="443"/>
      <c r="S363" s="443"/>
      <c r="T363" s="443"/>
      <c r="U363" s="443"/>
      <c r="V363" s="443"/>
      <c r="W363" s="443"/>
      <c r="X363" s="443"/>
      <c r="Y363" s="442"/>
    </row>
    <row r="364" spans="12:25" x14ac:dyDescent="0.2">
      <c r="L364" s="443"/>
      <c r="M364" s="443"/>
      <c r="N364" s="443"/>
      <c r="O364" s="443"/>
      <c r="P364" s="443"/>
      <c r="Q364" s="443"/>
      <c r="R364" s="443"/>
      <c r="S364" s="443"/>
      <c r="T364" s="443"/>
      <c r="U364" s="443"/>
      <c r="V364" s="443"/>
      <c r="W364" s="443"/>
      <c r="X364" s="443"/>
      <c r="Y364" s="442"/>
    </row>
    <row r="365" spans="12:25" x14ac:dyDescent="0.2">
      <c r="L365" s="443"/>
      <c r="M365" s="443"/>
      <c r="N365" s="443"/>
      <c r="O365" s="443"/>
      <c r="P365" s="443"/>
      <c r="Q365" s="443"/>
      <c r="R365" s="443"/>
      <c r="S365" s="443"/>
      <c r="T365" s="443"/>
      <c r="U365" s="443"/>
      <c r="V365" s="443"/>
      <c r="W365" s="443"/>
      <c r="X365" s="443"/>
      <c r="Y365" s="442"/>
    </row>
    <row r="366" spans="12:25" x14ac:dyDescent="0.2">
      <c r="L366" s="443"/>
      <c r="M366" s="443"/>
      <c r="N366" s="443"/>
      <c r="O366" s="443"/>
      <c r="P366" s="443"/>
      <c r="Q366" s="443"/>
      <c r="R366" s="443"/>
      <c r="S366" s="443"/>
      <c r="T366" s="443"/>
      <c r="U366" s="443"/>
      <c r="V366" s="443"/>
      <c r="W366" s="443"/>
      <c r="X366" s="443"/>
      <c r="Y366" s="442"/>
    </row>
    <row r="367" spans="12:25" x14ac:dyDescent="0.2">
      <c r="L367" s="443"/>
      <c r="M367" s="443"/>
      <c r="N367" s="443"/>
      <c r="O367" s="443"/>
      <c r="P367" s="443"/>
      <c r="Q367" s="443"/>
      <c r="R367" s="443"/>
      <c r="S367" s="443"/>
      <c r="T367" s="443"/>
      <c r="U367" s="443"/>
      <c r="V367" s="443"/>
      <c r="W367" s="443"/>
      <c r="X367" s="443"/>
      <c r="Y367" s="442"/>
    </row>
    <row r="368" spans="12:25" x14ac:dyDescent="0.2">
      <c r="L368" s="443"/>
      <c r="M368" s="443"/>
      <c r="N368" s="443"/>
      <c r="O368" s="443"/>
      <c r="P368" s="443"/>
      <c r="Q368" s="443"/>
      <c r="R368" s="443"/>
      <c r="S368" s="443"/>
      <c r="T368" s="443"/>
      <c r="U368" s="443"/>
      <c r="V368" s="443"/>
      <c r="W368" s="443"/>
      <c r="X368" s="443"/>
      <c r="Y368" s="442"/>
    </row>
    <row r="369" spans="12:25" x14ac:dyDescent="0.2">
      <c r="L369" s="443"/>
      <c r="M369" s="443"/>
      <c r="N369" s="443"/>
      <c r="O369" s="443"/>
      <c r="P369" s="443"/>
      <c r="Q369" s="443"/>
      <c r="R369" s="443"/>
      <c r="S369" s="443"/>
      <c r="T369" s="443"/>
      <c r="U369" s="443"/>
      <c r="V369" s="443"/>
      <c r="W369" s="443"/>
      <c r="X369" s="443"/>
      <c r="Y369" s="442"/>
    </row>
    <row r="370" spans="12:25" x14ac:dyDescent="0.2">
      <c r="L370" s="443"/>
      <c r="M370" s="443"/>
      <c r="N370" s="443"/>
      <c r="O370" s="443"/>
      <c r="P370" s="443"/>
      <c r="Q370" s="443"/>
      <c r="R370" s="443"/>
      <c r="S370" s="443"/>
      <c r="T370" s="443"/>
      <c r="U370" s="443"/>
      <c r="V370" s="443"/>
      <c r="W370" s="443"/>
      <c r="X370" s="443"/>
      <c r="Y370" s="442"/>
    </row>
    <row r="371" spans="12:25" x14ac:dyDescent="0.2">
      <c r="L371" s="443"/>
      <c r="M371" s="443"/>
      <c r="N371" s="443"/>
      <c r="O371" s="443"/>
      <c r="P371" s="443"/>
      <c r="Q371" s="443"/>
      <c r="R371" s="443"/>
      <c r="S371" s="443"/>
      <c r="T371" s="443"/>
      <c r="U371" s="443"/>
      <c r="V371" s="443"/>
      <c r="W371" s="443"/>
      <c r="X371" s="443"/>
      <c r="Y371" s="442"/>
    </row>
    <row r="372" spans="12:25" x14ac:dyDescent="0.2">
      <c r="L372" s="443"/>
      <c r="M372" s="443"/>
      <c r="N372" s="443"/>
      <c r="O372" s="443"/>
      <c r="P372" s="443"/>
      <c r="Q372" s="443"/>
      <c r="R372" s="443"/>
      <c r="S372" s="443"/>
      <c r="T372" s="443"/>
      <c r="U372" s="443"/>
      <c r="V372" s="443"/>
      <c r="W372" s="443"/>
      <c r="X372" s="443"/>
      <c r="Y372" s="442"/>
    </row>
    <row r="373" spans="12:25" x14ac:dyDescent="0.2">
      <c r="L373" s="443"/>
      <c r="M373" s="443"/>
      <c r="N373" s="443"/>
      <c r="O373" s="443"/>
      <c r="P373" s="443"/>
      <c r="Q373" s="443"/>
      <c r="R373" s="443"/>
      <c r="S373" s="443"/>
      <c r="T373" s="443"/>
      <c r="U373" s="443"/>
      <c r="V373" s="443"/>
      <c r="W373" s="443"/>
      <c r="X373" s="443"/>
      <c r="Y373" s="442"/>
    </row>
    <row r="374" spans="12:25" x14ac:dyDescent="0.2">
      <c r="L374" s="443"/>
      <c r="M374" s="443"/>
      <c r="N374" s="443"/>
      <c r="O374" s="443"/>
      <c r="P374" s="443"/>
      <c r="Q374" s="443"/>
      <c r="R374" s="443"/>
      <c r="S374" s="443"/>
      <c r="T374" s="443"/>
      <c r="U374" s="443"/>
      <c r="V374" s="443"/>
      <c r="W374" s="443"/>
      <c r="X374" s="443"/>
      <c r="Y374" s="442"/>
    </row>
    <row r="375" spans="12:25" x14ac:dyDescent="0.2">
      <c r="L375" s="443"/>
      <c r="M375" s="443"/>
      <c r="N375" s="443"/>
      <c r="O375" s="443"/>
      <c r="P375" s="443"/>
      <c r="Q375" s="443"/>
      <c r="R375" s="443"/>
      <c r="S375" s="443"/>
      <c r="T375" s="443"/>
      <c r="U375" s="443"/>
      <c r="V375" s="443"/>
      <c r="W375" s="443"/>
      <c r="X375" s="443"/>
      <c r="Y375" s="442"/>
    </row>
    <row r="376" spans="12:25" x14ac:dyDescent="0.2">
      <c r="L376" s="443"/>
      <c r="M376" s="443"/>
      <c r="N376" s="443"/>
      <c r="O376" s="443"/>
      <c r="P376" s="443"/>
      <c r="Q376" s="443"/>
      <c r="R376" s="443"/>
      <c r="S376" s="443"/>
      <c r="T376" s="443"/>
      <c r="U376" s="443"/>
      <c r="V376" s="443"/>
      <c r="W376" s="443"/>
      <c r="X376" s="443"/>
      <c r="Y376" s="442"/>
    </row>
    <row r="377" spans="12:25" x14ac:dyDescent="0.2">
      <c r="L377" s="443"/>
      <c r="M377" s="443"/>
      <c r="N377" s="443"/>
      <c r="O377" s="443"/>
      <c r="P377" s="443"/>
      <c r="Q377" s="443"/>
      <c r="R377" s="443"/>
      <c r="S377" s="443"/>
      <c r="T377" s="443"/>
      <c r="U377" s="443"/>
      <c r="V377" s="443"/>
      <c r="W377" s="443"/>
      <c r="X377" s="443"/>
      <c r="Y377" s="442"/>
    </row>
    <row r="378" spans="12:25" x14ac:dyDescent="0.2">
      <c r="L378" s="443"/>
      <c r="M378" s="443"/>
      <c r="N378" s="443"/>
      <c r="O378" s="443"/>
      <c r="P378" s="443"/>
      <c r="Q378" s="443"/>
      <c r="R378" s="443"/>
      <c r="S378" s="443"/>
      <c r="T378" s="443"/>
      <c r="U378" s="443"/>
      <c r="V378" s="443"/>
      <c r="W378" s="443"/>
      <c r="X378" s="443"/>
      <c r="Y378" s="442"/>
    </row>
    <row r="379" spans="12:25" x14ac:dyDescent="0.2">
      <c r="L379" s="443"/>
      <c r="M379" s="443"/>
      <c r="N379" s="443"/>
      <c r="O379" s="443"/>
      <c r="P379" s="443"/>
      <c r="Q379" s="443"/>
      <c r="R379" s="443"/>
      <c r="S379" s="443"/>
      <c r="T379" s="443"/>
      <c r="U379" s="443"/>
      <c r="V379" s="443"/>
      <c r="W379" s="443"/>
      <c r="X379" s="443"/>
      <c r="Y379" s="442"/>
    </row>
    <row r="380" spans="12:25" x14ac:dyDescent="0.2">
      <c r="L380" s="443"/>
      <c r="M380" s="443"/>
      <c r="N380" s="443"/>
      <c r="O380" s="443"/>
      <c r="P380" s="443"/>
      <c r="Q380" s="443"/>
      <c r="R380" s="443"/>
      <c r="S380" s="443"/>
      <c r="T380" s="443"/>
      <c r="U380" s="443"/>
      <c r="V380" s="443"/>
      <c r="W380" s="443"/>
      <c r="X380" s="443"/>
      <c r="Y380" s="442"/>
    </row>
    <row r="381" spans="12:25" x14ac:dyDescent="0.2">
      <c r="L381" s="443"/>
      <c r="M381" s="443"/>
      <c r="N381" s="443"/>
      <c r="O381" s="443"/>
      <c r="P381" s="443"/>
      <c r="Q381" s="443"/>
      <c r="R381" s="443"/>
      <c r="S381" s="443"/>
      <c r="T381" s="443"/>
      <c r="U381" s="443"/>
      <c r="V381" s="443"/>
      <c r="W381" s="443"/>
      <c r="X381" s="443"/>
      <c r="Y381" s="442"/>
    </row>
    <row r="382" spans="12:25" x14ac:dyDescent="0.2">
      <c r="L382" s="443"/>
      <c r="M382" s="443"/>
      <c r="N382" s="443"/>
      <c r="O382" s="443"/>
      <c r="P382" s="443"/>
      <c r="Q382" s="443"/>
      <c r="R382" s="443"/>
      <c r="S382" s="443"/>
      <c r="T382" s="443"/>
      <c r="U382" s="443"/>
      <c r="V382" s="443"/>
      <c r="W382" s="443"/>
      <c r="X382" s="443"/>
      <c r="Y382" s="442"/>
    </row>
    <row r="383" spans="12:25" x14ac:dyDescent="0.2">
      <c r="L383" s="443"/>
      <c r="M383" s="443"/>
      <c r="N383" s="443"/>
      <c r="O383" s="443"/>
      <c r="P383" s="443"/>
      <c r="Q383" s="443"/>
      <c r="R383" s="443"/>
      <c r="S383" s="443"/>
      <c r="T383" s="443"/>
      <c r="U383" s="443"/>
      <c r="V383" s="443"/>
      <c r="W383" s="443"/>
      <c r="X383" s="443"/>
      <c r="Y383" s="442"/>
    </row>
    <row r="384" spans="12:25" x14ac:dyDescent="0.2">
      <c r="L384" s="443"/>
      <c r="M384" s="443"/>
      <c r="N384" s="443"/>
      <c r="O384" s="443"/>
      <c r="P384" s="443"/>
      <c r="Q384" s="443"/>
      <c r="R384" s="443"/>
      <c r="S384" s="443"/>
      <c r="T384" s="443"/>
      <c r="U384" s="443"/>
      <c r="V384" s="443"/>
      <c r="W384" s="443"/>
      <c r="X384" s="443"/>
      <c r="Y384" s="442"/>
    </row>
    <row r="385" spans="12:25" x14ac:dyDescent="0.2">
      <c r="L385" s="443"/>
      <c r="M385" s="443"/>
      <c r="N385" s="443"/>
      <c r="O385" s="443"/>
      <c r="P385" s="443"/>
      <c r="Q385" s="443"/>
      <c r="R385" s="443"/>
      <c r="S385" s="443"/>
      <c r="T385" s="443"/>
      <c r="U385" s="443"/>
      <c r="V385" s="443"/>
      <c r="W385" s="443"/>
      <c r="X385" s="443"/>
      <c r="Y385" s="442"/>
    </row>
    <row r="386" spans="12:25" x14ac:dyDescent="0.2">
      <c r="L386" s="443"/>
      <c r="M386" s="443"/>
      <c r="N386" s="443"/>
      <c r="O386" s="443"/>
      <c r="P386" s="443"/>
      <c r="Q386" s="443"/>
      <c r="R386" s="443"/>
      <c r="S386" s="443"/>
      <c r="T386" s="443"/>
      <c r="U386" s="443"/>
      <c r="V386" s="443"/>
      <c r="W386" s="443"/>
      <c r="X386" s="443"/>
      <c r="Y386" s="442"/>
    </row>
    <row r="387" spans="12:25" x14ac:dyDescent="0.2">
      <c r="L387" s="443"/>
      <c r="M387" s="443"/>
      <c r="N387" s="443"/>
      <c r="O387" s="443"/>
      <c r="P387" s="443"/>
      <c r="Q387" s="443"/>
      <c r="R387" s="443"/>
      <c r="S387" s="443"/>
      <c r="T387" s="443"/>
      <c r="U387" s="443"/>
      <c r="V387" s="443"/>
      <c r="W387" s="443"/>
      <c r="X387" s="443"/>
      <c r="Y387" s="442"/>
    </row>
    <row r="388" spans="12:25" x14ac:dyDescent="0.2">
      <c r="L388" s="443"/>
      <c r="M388" s="443"/>
      <c r="N388" s="443"/>
      <c r="O388" s="443"/>
      <c r="P388" s="443"/>
      <c r="Q388" s="443"/>
      <c r="R388" s="443"/>
      <c r="S388" s="443"/>
      <c r="T388" s="443"/>
      <c r="U388" s="443"/>
      <c r="V388" s="443"/>
      <c r="W388" s="443"/>
      <c r="X388" s="443"/>
      <c r="Y388" s="442"/>
    </row>
    <row r="389" spans="12:25" x14ac:dyDescent="0.2">
      <c r="L389" s="443"/>
      <c r="M389" s="443"/>
      <c r="N389" s="443"/>
      <c r="O389" s="443"/>
      <c r="P389" s="443"/>
      <c r="Q389" s="443"/>
      <c r="R389" s="443"/>
      <c r="S389" s="443"/>
      <c r="T389" s="443"/>
      <c r="U389" s="443"/>
      <c r="V389" s="443"/>
      <c r="W389" s="443"/>
      <c r="X389" s="443"/>
      <c r="Y389" s="442"/>
    </row>
    <row r="390" spans="12:25" x14ac:dyDescent="0.2">
      <c r="L390" s="443"/>
      <c r="M390" s="443"/>
      <c r="N390" s="443"/>
      <c r="O390" s="443"/>
      <c r="P390" s="443"/>
      <c r="Q390" s="443"/>
      <c r="R390" s="443"/>
      <c r="S390" s="443"/>
      <c r="T390" s="443"/>
      <c r="U390" s="443"/>
      <c r="V390" s="443"/>
      <c r="W390" s="443"/>
      <c r="X390" s="443"/>
      <c r="Y390" s="442"/>
    </row>
    <row r="391" spans="12:25" x14ac:dyDescent="0.2">
      <c r="L391" s="443"/>
      <c r="M391" s="443"/>
      <c r="N391" s="443"/>
      <c r="O391" s="443"/>
      <c r="P391" s="443"/>
      <c r="Q391" s="443"/>
      <c r="R391" s="443"/>
      <c r="S391" s="443"/>
      <c r="T391" s="443"/>
      <c r="U391" s="443"/>
      <c r="V391" s="443"/>
      <c r="W391" s="443"/>
      <c r="X391" s="443"/>
      <c r="Y391" s="442"/>
    </row>
    <row r="392" spans="12:25" x14ac:dyDescent="0.2">
      <c r="L392" s="443"/>
      <c r="M392" s="443"/>
      <c r="N392" s="443"/>
      <c r="O392" s="443"/>
      <c r="P392" s="443"/>
      <c r="Q392" s="443"/>
      <c r="R392" s="443"/>
      <c r="S392" s="443"/>
      <c r="T392" s="443"/>
      <c r="U392" s="443"/>
      <c r="V392" s="443"/>
      <c r="W392" s="443"/>
      <c r="X392" s="443"/>
      <c r="Y392" s="442"/>
    </row>
    <row r="393" spans="12:25" x14ac:dyDescent="0.2">
      <c r="L393" s="443"/>
      <c r="M393" s="443"/>
      <c r="N393" s="443"/>
      <c r="O393" s="443"/>
      <c r="P393" s="443"/>
      <c r="Q393" s="443"/>
      <c r="R393" s="443"/>
      <c r="S393" s="443"/>
      <c r="T393" s="443"/>
      <c r="U393" s="443"/>
      <c r="V393" s="443"/>
      <c r="W393" s="443"/>
      <c r="X393" s="443"/>
      <c r="Y393" s="442"/>
    </row>
    <row r="394" spans="12:25" x14ac:dyDescent="0.2">
      <c r="L394" s="443"/>
      <c r="M394" s="443"/>
      <c r="N394" s="443"/>
      <c r="O394" s="443"/>
      <c r="P394" s="443"/>
      <c r="Q394" s="443"/>
      <c r="R394" s="443"/>
      <c r="S394" s="443"/>
      <c r="T394" s="443"/>
      <c r="U394" s="443"/>
      <c r="V394" s="443"/>
      <c r="W394" s="443"/>
      <c r="X394" s="443"/>
      <c r="Y394" s="442"/>
    </row>
    <row r="395" spans="12:25" x14ac:dyDescent="0.2">
      <c r="L395" s="443"/>
      <c r="M395" s="443"/>
      <c r="N395" s="443"/>
      <c r="O395" s="443"/>
      <c r="P395" s="443"/>
      <c r="Q395" s="443"/>
      <c r="R395" s="443"/>
      <c r="S395" s="443"/>
      <c r="T395" s="443"/>
      <c r="U395" s="443"/>
      <c r="V395" s="443"/>
      <c r="W395" s="443"/>
      <c r="X395" s="443"/>
      <c r="Y395" s="442"/>
    </row>
    <row r="396" spans="12:25" x14ac:dyDescent="0.2">
      <c r="L396" s="443"/>
      <c r="M396" s="443"/>
      <c r="N396" s="443"/>
      <c r="O396" s="443"/>
      <c r="P396" s="443"/>
      <c r="Q396" s="443"/>
      <c r="R396" s="443"/>
      <c r="S396" s="443"/>
      <c r="T396" s="443"/>
      <c r="U396" s="443"/>
      <c r="V396" s="443"/>
      <c r="W396" s="443"/>
      <c r="X396" s="443"/>
      <c r="Y396" s="442"/>
    </row>
    <row r="397" spans="12:25" x14ac:dyDescent="0.2">
      <c r="L397" s="443"/>
      <c r="M397" s="443"/>
      <c r="N397" s="443"/>
      <c r="O397" s="443"/>
      <c r="P397" s="443"/>
      <c r="Q397" s="443"/>
      <c r="R397" s="443"/>
      <c r="S397" s="443"/>
      <c r="T397" s="443"/>
      <c r="U397" s="443"/>
      <c r="V397" s="443"/>
      <c r="W397" s="443"/>
      <c r="X397" s="443"/>
      <c r="Y397" s="442"/>
    </row>
    <row r="398" spans="12:25" x14ac:dyDescent="0.2">
      <c r="L398" s="443"/>
      <c r="M398" s="443"/>
      <c r="N398" s="443"/>
      <c r="O398" s="443"/>
      <c r="P398" s="443"/>
      <c r="Q398" s="443"/>
      <c r="R398" s="443"/>
      <c r="S398" s="443"/>
      <c r="T398" s="443"/>
      <c r="U398" s="443"/>
      <c r="V398" s="443"/>
      <c r="W398" s="443"/>
      <c r="X398" s="443"/>
      <c r="Y398" s="442"/>
    </row>
    <row r="399" spans="12:25" x14ac:dyDescent="0.2">
      <c r="L399" s="443"/>
      <c r="M399" s="443"/>
      <c r="N399" s="443"/>
      <c r="O399" s="443"/>
      <c r="P399" s="443"/>
      <c r="Q399" s="443"/>
      <c r="R399" s="443"/>
      <c r="S399" s="443"/>
      <c r="T399" s="443"/>
      <c r="U399" s="443"/>
      <c r="V399" s="443"/>
      <c r="W399" s="443"/>
      <c r="X399" s="443"/>
      <c r="Y399" s="442"/>
    </row>
    <row r="400" spans="12:25" x14ac:dyDescent="0.2">
      <c r="L400" s="443"/>
      <c r="M400" s="443"/>
      <c r="N400" s="443"/>
      <c r="O400" s="443"/>
      <c r="P400" s="443"/>
      <c r="Q400" s="443"/>
      <c r="R400" s="443"/>
      <c r="S400" s="443"/>
      <c r="T400" s="443"/>
      <c r="U400" s="443"/>
      <c r="V400" s="443"/>
      <c r="W400" s="443"/>
      <c r="X400" s="443"/>
      <c r="Y400" s="442"/>
    </row>
    <row r="401" spans="12:25" x14ac:dyDescent="0.2">
      <c r="L401" s="443"/>
      <c r="M401" s="443"/>
      <c r="N401" s="443"/>
      <c r="O401" s="443"/>
      <c r="P401" s="443"/>
      <c r="Q401" s="443"/>
      <c r="R401" s="443"/>
      <c r="S401" s="443"/>
      <c r="T401" s="443"/>
      <c r="U401" s="443"/>
      <c r="V401" s="443"/>
      <c r="W401" s="443"/>
      <c r="X401" s="443"/>
      <c r="Y401" s="442"/>
    </row>
    <row r="402" spans="12:25" x14ac:dyDescent="0.2">
      <c r="L402" s="442"/>
      <c r="M402" s="442"/>
      <c r="N402" s="442"/>
      <c r="O402" s="442"/>
      <c r="P402" s="442"/>
      <c r="Q402" s="442"/>
      <c r="R402" s="442"/>
      <c r="S402" s="442"/>
      <c r="T402" s="442"/>
      <c r="U402" s="442"/>
      <c r="V402" s="442"/>
      <c r="W402" s="442"/>
      <c r="X402" s="442"/>
      <c r="Y402" s="442"/>
    </row>
    <row r="403" spans="12:25" x14ac:dyDescent="0.2">
      <c r="L403" s="442"/>
      <c r="M403" s="442"/>
      <c r="N403" s="442"/>
      <c r="O403" s="442"/>
      <c r="P403" s="442"/>
      <c r="Q403" s="442"/>
      <c r="R403" s="442"/>
      <c r="S403" s="442"/>
      <c r="T403" s="442"/>
      <c r="U403" s="442"/>
      <c r="V403" s="442"/>
      <c r="W403" s="442"/>
      <c r="X403" s="442"/>
      <c r="Y403" s="442"/>
    </row>
    <row r="404" spans="12:25" x14ac:dyDescent="0.2">
      <c r="L404" s="442"/>
      <c r="M404" s="442"/>
      <c r="N404" s="442"/>
      <c r="O404" s="442"/>
      <c r="P404" s="442"/>
      <c r="Q404" s="442"/>
      <c r="R404" s="442"/>
      <c r="S404" s="442"/>
      <c r="T404" s="442"/>
      <c r="U404" s="442"/>
      <c r="V404" s="442"/>
      <c r="W404" s="442"/>
      <c r="X404" s="442"/>
      <c r="Y404" s="442"/>
    </row>
    <row r="405" spans="12:25" x14ac:dyDescent="0.2">
      <c r="L405" s="442"/>
      <c r="M405" s="442"/>
      <c r="N405" s="442"/>
      <c r="O405" s="442"/>
      <c r="P405" s="442"/>
      <c r="Q405" s="442"/>
      <c r="R405" s="442"/>
      <c r="S405" s="442"/>
      <c r="T405" s="442"/>
      <c r="U405" s="442"/>
      <c r="V405" s="442"/>
      <c r="W405" s="442"/>
      <c r="X405" s="442"/>
      <c r="Y405" s="442"/>
    </row>
    <row r="406" spans="12:25" x14ac:dyDescent="0.2">
      <c r="L406" s="442"/>
      <c r="M406" s="442"/>
      <c r="N406" s="442"/>
      <c r="O406" s="442"/>
      <c r="P406" s="442"/>
      <c r="Q406" s="442"/>
      <c r="R406" s="442"/>
      <c r="S406" s="442"/>
      <c r="T406" s="442"/>
      <c r="U406" s="442"/>
      <c r="V406" s="442"/>
      <c r="W406" s="442"/>
      <c r="X406" s="442"/>
      <c r="Y406" s="442"/>
    </row>
    <row r="407" spans="12:25" x14ac:dyDescent="0.2">
      <c r="L407" s="442"/>
      <c r="M407" s="442"/>
      <c r="N407" s="442"/>
      <c r="O407" s="442"/>
      <c r="P407" s="442"/>
      <c r="Q407" s="442"/>
      <c r="R407" s="442"/>
      <c r="S407" s="442"/>
      <c r="T407" s="442"/>
      <c r="U407" s="442"/>
      <c r="V407" s="442"/>
      <c r="W407" s="442"/>
      <c r="X407" s="442"/>
      <c r="Y407" s="442"/>
    </row>
    <row r="408" spans="12:25" x14ac:dyDescent="0.2">
      <c r="L408" s="442"/>
      <c r="M408" s="442"/>
      <c r="N408" s="442"/>
      <c r="O408" s="442"/>
      <c r="P408" s="442"/>
      <c r="Q408" s="442"/>
      <c r="R408" s="442"/>
      <c r="S408" s="442"/>
      <c r="T408" s="442"/>
      <c r="U408" s="442"/>
      <c r="V408" s="442"/>
      <c r="W408" s="442"/>
      <c r="X408" s="442"/>
      <c r="Y408" s="442"/>
    </row>
    <row r="409" spans="12:25" x14ac:dyDescent="0.2">
      <c r="L409" s="442"/>
      <c r="M409" s="442"/>
      <c r="N409" s="442"/>
      <c r="O409" s="442"/>
      <c r="P409" s="442"/>
      <c r="Q409" s="442"/>
      <c r="R409" s="442"/>
      <c r="S409" s="442"/>
      <c r="T409" s="442"/>
      <c r="U409" s="442"/>
      <c r="V409" s="442"/>
      <c r="W409" s="442"/>
      <c r="X409" s="442"/>
      <c r="Y409" s="442"/>
    </row>
    <row r="410" spans="12:25" x14ac:dyDescent="0.2">
      <c r="L410" s="442"/>
      <c r="M410" s="442"/>
      <c r="N410" s="442"/>
      <c r="O410" s="442"/>
      <c r="P410" s="442"/>
      <c r="Q410" s="442"/>
      <c r="R410" s="442"/>
      <c r="S410" s="442"/>
      <c r="T410" s="442"/>
      <c r="U410" s="442"/>
      <c r="V410" s="442"/>
      <c r="W410" s="442"/>
      <c r="X410" s="442"/>
      <c r="Y410" s="442"/>
    </row>
    <row r="411" spans="12:25" x14ac:dyDescent="0.2">
      <c r="L411" s="442"/>
      <c r="M411" s="442"/>
      <c r="N411" s="442"/>
      <c r="O411" s="442"/>
      <c r="P411" s="442"/>
      <c r="Q411" s="442"/>
      <c r="R411" s="442"/>
      <c r="S411" s="442"/>
      <c r="T411" s="442"/>
      <c r="U411" s="442"/>
      <c r="V411" s="442"/>
      <c r="W411" s="442"/>
      <c r="X411" s="442"/>
      <c r="Y411" s="442"/>
    </row>
    <row r="412" spans="12:25" x14ac:dyDescent="0.2">
      <c r="L412" s="442"/>
      <c r="M412" s="442"/>
      <c r="N412" s="442"/>
      <c r="O412" s="442"/>
      <c r="P412" s="442"/>
      <c r="Q412" s="442"/>
      <c r="R412" s="442"/>
      <c r="S412" s="442"/>
      <c r="T412" s="442"/>
      <c r="U412" s="442"/>
      <c r="V412" s="442"/>
      <c r="W412" s="442"/>
      <c r="X412" s="442"/>
      <c r="Y412" s="442"/>
    </row>
    <row r="413" spans="12:25" x14ac:dyDescent="0.2">
      <c r="L413" s="442"/>
      <c r="M413" s="442"/>
      <c r="N413" s="442"/>
      <c r="O413" s="442"/>
      <c r="P413" s="442"/>
      <c r="Q413" s="442"/>
      <c r="R413" s="442"/>
      <c r="S413" s="442"/>
      <c r="T413" s="442"/>
      <c r="U413" s="442"/>
      <c r="V413" s="442"/>
      <c r="W413" s="442"/>
      <c r="X413" s="442"/>
      <c r="Y413" s="442"/>
    </row>
    <row r="414" spans="12:25" x14ac:dyDescent="0.2">
      <c r="L414" s="442"/>
      <c r="M414" s="442"/>
      <c r="N414" s="442"/>
      <c r="O414" s="442"/>
      <c r="P414" s="442"/>
      <c r="Q414" s="442"/>
      <c r="R414" s="442"/>
      <c r="S414" s="442"/>
      <c r="T414" s="442"/>
      <c r="U414" s="442"/>
      <c r="V414" s="442"/>
      <c r="W414" s="442"/>
      <c r="X414" s="442"/>
      <c r="Y414" s="442"/>
    </row>
    <row r="415" spans="12:25" x14ac:dyDescent="0.2">
      <c r="L415" s="442"/>
      <c r="M415" s="442"/>
      <c r="N415" s="442"/>
      <c r="O415" s="442"/>
      <c r="P415" s="442"/>
      <c r="Q415" s="442"/>
      <c r="R415" s="442"/>
      <c r="S415" s="442"/>
      <c r="T415" s="442"/>
      <c r="U415" s="442"/>
      <c r="V415" s="442"/>
      <c r="W415" s="442"/>
      <c r="X415" s="442"/>
      <c r="Y415" s="442"/>
    </row>
    <row r="416" spans="12:25" x14ac:dyDescent="0.2">
      <c r="L416" s="442"/>
      <c r="M416" s="442"/>
      <c r="N416" s="442"/>
      <c r="O416" s="442"/>
      <c r="P416" s="442"/>
      <c r="Q416" s="442"/>
      <c r="R416" s="442"/>
      <c r="S416" s="442"/>
      <c r="T416" s="442"/>
      <c r="U416" s="442"/>
      <c r="V416" s="442"/>
      <c r="W416" s="442"/>
      <c r="X416" s="442"/>
      <c r="Y416" s="442"/>
    </row>
    <row r="417" spans="12:25" x14ac:dyDescent="0.2">
      <c r="L417" s="442"/>
      <c r="M417" s="442"/>
      <c r="N417" s="442"/>
      <c r="O417" s="442"/>
      <c r="P417" s="442"/>
      <c r="Q417" s="442"/>
      <c r="R417" s="442"/>
      <c r="S417" s="442"/>
      <c r="T417" s="442"/>
      <c r="U417" s="442"/>
      <c r="V417" s="442"/>
      <c r="W417" s="442"/>
      <c r="X417" s="442"/>
      <c r="Y417" s="442"/>
    </row>
    <row r="418" spans="12:25" x14ac:dyDescent="0.2">
      <c r="L418" s="442"/>
      <c r="M418" s="442"/>
      <c r="N418" s="442"/>
      <c r="O418" s="442"/>
      <c r="P418" s="442"/>
      <c r="Q418" s="442"/>
      <c r="R418" s="442"/>
      <c r="S418" s="442"/>
      <c r="T418" s="442"/>
      <c r="U418" s="442"/>
      <c r="V418" s="442"/>
      <c r="W418" s="442"/>
      <c r="X418" s="442"/>
      <c r="Y418" s="442"/>
    </row>
    <row r="419" spans="12:25" x14ac:dyDescent="0.2">
      <c r="L419" s="442"/>
      <c r="M419" s="442"/>
      <c r="N419" s="442"/>
      <c r="O419" s="442"/>
      <c r="P419" s="442"/>
      <c r="Q419" s="442"/>
      <c r="R419" s="442"/>
      <c r="S419" s="442"/>
      <c r="T419" s="442"/>
      <c r="U419" s="442"/>
      <c r="V419" s="442"/>
      <c r="W419" s="442"/>
      <c r="X419" s="442"/>
      <c r="Y419" s="442"/>
    </row>
    <row r="420" spans="12:25" x14ac:dyDescent="0.2">
      <c r="L420" s="442"/>
      <c r="M420" s="442"/>
      <c r="N420" s="442"/>
      <c r="O420" s="442"/>
      <c r="P420" s="442"/>
      <c r="Q420" s="442"/>
      <c r="R420" s="442"/>
      <c r="S420" s="442"/>
      <c r="T420" s="442"/>
      <c r="U420" s="442"/>
      <c r="V420" s="442"/>
      <c r="W420" s="442"/>
      <c r="X420" s="442"/>
      <c r="Y420" s="442"/>
    </row>
    <row r="421" spans="12:25" x14ac:dyDescent="0.2">
      <c r="L421" s="442"/>
      <c r="M421" s="442"/>
      <c r="N421" s="442"/>
      <c r="O421" s="442"/>
      <c r="P421" s="442"/>
      <c r="Q421" s="442"/>
      <c r="R421" s="442"/>
      <c r="S421" s="442"/>
      <c r="T421" s="442"/>
      <c r="U421" s="442"/>
      <c r="V421" s="442"/>
      <c r="W421" s="442"/>
      <c r="X421" s="442"/>
      <c r="Y421" s="442"/>
    </row>
    <row r="422" spans="12:25" x14ac:dyDescent="0.2">
      <c r="L422" s="442"/>
      <c r="M422" s="442"/>
      <c r="N422" s="442"/>
      <c r="O422" s="442"/>
      <c r="P422" s="442"/>
      <c r="Q422" s="442"/>
      <c r="R422" s="442"/>
      <c r="S422" s="442"/>
      <c r="T422" s="442"/>
      <c r="U422" s="442"/>
      <c r="V422" s="442"/>
      <c r="W422" s="442"/>
      <c r="X422" s="442"/>
      <c r="Y422" s="442"/>
    </row>
    <row r="423" spans="12:25" x14ac:dyDescent="0.2">
      <c r="L423" s="442"/>
      <c r="M423" s="442"/>
      <c r="N423" s="442"/>
      <c r="O423" s="442"/>
      <c r="P423" s="442"/>
      <c r="Q423" s="442"/>
      <c r="R423" s="442"/>
      <c r="S423" s="442"/>
      <c r="T423" s="442"/>
      <c r="U423" s="442"/>
      <c r="V423" s="442"/>
      <c r="W423" s="442"/>
      <c r="X423" s="442"/>
      <c r="Y423" s="442"/>
    </row>
    <row r="424" spans="12:25" x14ac:dyDescent="0.2">
      <c r="L424" s="442"/>
      <c r="M424" s="442"/>
      <c r="N424" s="442"/>
      <c r="O424" s="442"/>
      <c r="P424" s="442"/>
      <c r="Q424" s="442"/>
      <c r="R424" s="442"/>
      <c r="S424" s="442"/>
      <c r="T424" s="442"/>
      <c r="U424" s="442"/>
      <c r="V424" s="442"/>
      <c r="W424" s="442"/>
      <c r="X424" s="442"/>
      <c r="Y424" s="442"/>
    </row>
    <row r="425" spans="12:25" x14ac:dyDescent="0.2">
      <c r="L425" s="442"/>
      <c r="M425" s="442"/>
      <c r="N425" s="442"/>
      <c r="O425" s="442"/>
      <c r="P425" s="442"/>
      <c r="Q425" s="442"/>
      <c r="R425" s="442"/>
      <c r="S425" s="442"/>
      <c r="T425" s="442"/>
      <c r="U425" s="442"/>
      <c r="V425" s="442"/>
      <c r="W425" s="442"/>
      <c r="X425" s="442"/>
      <c r="Y425" s="442"/>
    </row>
    <row r="426" spans="12:25" x14ac:dyDescent="0.2">
      <c r="L426" s="442"/>
      <c r="M426" s="442"/>
      <c r="N426" s="442"/>
      <c r="O426" s="442"/>
      <c r="P426" s="442"/>
      <c r="Q426" s="442"/>
      <c r="R426" s="442"/>
      <c r="S426" s="442"/>
      <c r="T426" s="442"/>
      <c r="U426" s="442"/>
      <c r="V426" s="442"/>
      <c r="W426" s="442"/>
      <c r="X426" s="442"/>
      <c r="Y426" s="442"/>
    </row>
    <row r="427" spans="12:25" x14ac:dyDescent="0.2">
      <c r="L427" s="442"/>
      <c r="M427" s="442"/>
      <c r="N427" s="442"/>
      <c r="O427" s="442"/>
      <c r="P427" s="442"/>
      <c r="Q427" s="442"/>
      <c r="R427" s="442"/>
      <c r="S427" s="442"/>
      <c r="T427" s="442"/>
      <c r="U427" s="442"/>
      <c r="V427" s="442"/>
      <c r="W427" s="442"/>
      <c r="X427" s="442"/>
      <c r="Y427" s="442"/>
    </row>
    <row r="428" spans="12:25" x14ac:dyDescent="0.2">
      <c r="L428" s="442"/>
      <c r="M428" s="442"/>
      <c r="N428" s="442"/>
      <c r="O428" s="442"/>
      <c r="P428" s="442"/>
      <c r="Q428" s="442"/>
      <c r="R428" s="442"/>
      <c r="S428" s="442"/>
      <c r="T428" s="442"/>
      <c r="U428" s="442"/>
      <c r="V428" s="442"/>
      <c r="W428" s="442"/>
      <c r="X428" s="442"/>
      <c r="Y428" s="442"/>
    </row>
    <row r="429" spans="12:25" x14ac:dyDescent="0.2">
      <c r="L429" s="442"/>
      <c r="M429" s="442"/>
      <c r="N429" s="442"/>
      <c r="O429" s="442"/>
      <c r="P429" s="442"/>
      <c r="Q429" s="442"/>
      <c r="R429" s="442"/>
      <c r="S429" s="442"/>
      <c r="T429" s="442"/>
      <c r="U429" s="442"/>
      <c r="V429" s="442"/>
      <c r="W429" s="442"/>
      <c r="X429" s="442"/>
      <c r="Y429" s="442"/>
    </row>
    <row r="430" spans="12:25" x14ac:dyDescent="0.2">
      <c r="L430" s="442"/>
      <c r="M430" s="442"/>
      <c r="N430" s="442"/>
      <c r="O430" s="442"/>
      <c r="P430" s="442"/>
      <c r="Q430" s="442"/>
      <c r="R430" s="442"/>
      <c r="S430" s="442"/>
      <c r="T430" s="442"/>
      <c r="U430" s="442"/>
      <c r="V430" s="442"/>
      <c r="W430" s="442"/>
      <c r="X430" s="442"/>
      <c r="Y430" s="442"/>
    </row>
    <row r="431" spans="12:25" x14ac:dyDescent="0.2">
      <c r="L431" s="442"/>
      <c r="M431" s="442"/>
      <c r="N431" s="442"/>
      <c r="O431" s="442"/>
      <c r="P431" s="442"/>
      <c r="Q431" s="442"/>
      <c r="R431" s="442"/>
      <c r="S431" s="442"/>
      <c r="T431" s="442"/>
      <c r="U431" s="442"/>
      <c r="V431" s="442"/>
      <c r="W431" s="442"/>
      <c r="X431" s="442"/>
      <c r="Y431" s="442"/>
    </row>
    <row r="432" spans="12:25" x14ac:dyDescent="0.2">
      <c r="L432" s="442"/>
      <c r="M432" s="442"/>
      <c r="N432" s="442"/>
      <c r="O432" s="442"/>
      <c r="P432" s="442"/>
      <c r="Q432" s="442"/>
      <c r="R432" s="442"/>
      <c r="S432" s="442"/>
      <c r="T432" s="442"/>
      <c r="U432" s="442"/>
      <c r="V432" s="442"/>
      <c r="W432" s="442"/>
      <c r="X432" s="442"/>
      <c r="Y432" s="442"/>
    </row>
    <row r="433" spans="12:25" x14ac:dyDescent="0.2">
      <c r="L433" s="442"/>
      <c r="M433" s="442"/>
      <c r="N433" s="442"/>
      <c r="O433" s="442"/>
      <c r="P433" s="442"/>
      <c r="Q433" s="442"/>
      <c r="R433" s="442"/>
      <c r="S433" s="442"/>
      <c r="T433" s="442"/>
      <c r="U433" s="442"/>
      <c r="V433" s="442"/>
      <c r="W433" s="442"/>
      <c r="X433" s="442"/>
      <c r="Y433" s="442"/>
    </row>
    <row r="434" spans="12:25" x14ac:dyDescent="0.2">
      <c r="L434" s="442"/>
      <c r="M434" s="442"/>
      <c r="N434" s="442"/>
      <c r="O434" s="442"/>
      <c r="P434" s="442"/>
      <c r="Q434" s="442"/>
      <c r="R434" s="442"/>
      <c r="S434" s="442"/>
      <c r="T434" s="442"/>
      <c r="U434" s="442"/>
      <c r="V434" s="442"/>
      <c r="W434" s="442"/>
      <c r="X434" s="442"/>
      <c r="Y434" s="442"/>
    </row>
    <row r="435" spans="12:25" x14ac:dyDescent="0.2">
      <c r="L435" s="442"/>
      <c r="M435" s="442"/>
      <c r="N435" s="442"/>
      <c r="O435" s="442"/>
      <c r="P435" s="442"/>
      <c r="Q435" s="442"/>
      <c r="R435" s="442"/>
      <c r="S435" s="442"/>
      <c r="T435" s="442"/>
      <c r="U435" s="442"/>
      <c r="V435" s="442"/>
      <c r="W435" s="442"/>
      <c r="X435" s="442"/>
      <c r="Y435" s="442"/>
    </row>
    <row r="436" spans="12:25" x14ac:dyDescent="0.2">
      <c r="L436" s="442"/>
      <c r="M436" s="442"/>
      <c r="N436" s="442"/>
      <c r="O436" s="442"/>
      <c r="P436" s="442"/>
      <c r="Q436" s="442"/>
      <c r="R436" s="442"/>
      <c r="S436" s="442"/>
      <c r="T436" s="442"/>
      <c r="U436" s="442"/>
      <c r="V436" s="442"/>
      <c r="W436" s="442"/>
      <c r="X436" s="442"/>
      <c r="Y436" s="442"/>
    </row>
    <row r="437" spans="12:25" x14ac:dyDescent="0.2">
      <c r="L437" s="442"/>
      <c r="M437" s="442"/>
      <c r="N437" s="442"/>
      <c r="O437" s="442"/>
      <c r="P437" s="442"/>
      <c r="Q437" s="442"/>
      <c r="R437" s="442"/>
      <c r="S437" s="442"/>
      <c r="T437" s="442"/>
      <c r="U437" s="442"/>
      <c r="V437" s="442"/>
      <c r="W437" s="442"/>
      <c r="X437" s="442"/>
      <c r="Y437" s="442"/>
    </row>
    <row r="438" spans="12:25" x14ac:dyDescent="0.2">
      <c r="L438" s="442"/>
      <c r="M438" s="442"/>
      <c r="N438" s="442"/>
      <c r="O438" s="442"/>
      <c r="P438" s="442"/>
      <c r="Q438" s="442"/>
      <c r="R438" s="442"/>
      <c r="S438" s="442"/>
      <c r="T438" s="442"/>
      <c r="U438" s="442"/>
      <c r="V438" s="442"/>
      <c r="W438" s="442"/>
      <c r="X438" s="442"/>
      <c r="Y438" s="442"/>
    </row>
    <row r="439" spans="12:25" x14ac:dyDescent="0.2">
      <c r="L439" s="442"/>
      <c r="M439" s="442"/>
      <c r="N439" s="442"/>
      <c r="O439" s="442"/>
      <c r="P439" s="442"/>
      <c r="Q439" s="442"/>
      <c r="R439" s="442"/>
      <c r="S439" s="442"/>
      <c r="T439" s="442"/>
      <c r="U439" s="442"/>
      <c r="V439" s="442"/>
      <c r="W439" s="442"/>
      <c r="X439" s="442"/>
      <c r="Y439" s="442"/>
    </row>
    <row r="440" spans="12:25" x14ac:dyDescent="0.2">
      <c r="L440" s="442"/>
      <c r="M440" s="442"/>
      <c r="N440" s="442"/>
      <c r="O440" s="442"/>
      <c r="P440" s="442"/>
      <c r="Q440" s="442"/>
      <c r="R440" s="442"/>
      <c r="S440" s="442"/>
      <c r="T440" s="442"/>
      <c r="U440" s="442"/>
      <c r="V440" s="442"/>
      <c r="W440" s="442"/>
      <c r="X440" s="442"/>
      <c r="Y440" s="442"/>
    </row>
    <row r="441" spans="12:25" x14ac:dyDescent="0.2">
      <c r="L441" s="442"/>
      <c r="M441" s="442"/>
      <c r="N441" s="442"/>
      <c r="O441" s="442"/>
      <c r="P441" s="442"/>
      <c r="Q441" s="442"/>
      <c r="R441" s="442"/>
      <c r="S441" s="442"/>
      <c r="T441" s="442"/>
      <c r="U441" s="442"/>
      <c r="V441" s="442"/>
      <c r="W441" s="442"/>
      <c r="X441" s="442"/>
      <c r="Y441" s="442"/>
    </row>
    <row r="442" spans="12:25" x14ac:dyDescent="0.2">
      <c r="L442" s="442"/>
      <c r="M442" s="442"/>
      <c r="N442" s="442"/>
      <c r="O442" s="442"/>
      <c r="P442" s="442"/>
      <c r="Q442" s="442"/>
      <c r="R442" s="442"/>
      <c r="S442" s="442"/>
      <c r="T442" s="442"/>
      <c r="U442" s="442"/>
      <c r="V442" s="442"/>
      <c r="W442" s="442"/>
      <c r="X442" s="442"/>
      <c r="Y442" s="442"/>
    </row>
    <row r="443" spans="12:25" x14ac:dyDescent="0.2">
      <c r="L443" s="442"/>
      <c r="M443" s="442"/>
      <c r="N443" s="442"/>
      <c r="O443" s="442"/>
      <c r="P443" s="442"/>
      <c r="Q443" s="442"/>
      <c r="R443" s="442"/>
      <c r="S443" s="442"/>
      <c r="T443" s="442"/>
      <c r="U443" s="442"/>
      <c r="V443" s="442"/>
      <c r="W443" s="442"/>
      <c r="X443" s="442"/>
      <c r="Y443" s="442"/>
    </row>
    <row r="444" spans="12:25" x14ac:dyDescent="0.2">
      <c r="L444" s="442"/>
      <c r="M444" s="442"/>
      <c r="N444" s="442"/>
      <c r="O444" s="442"/>
      <c r="P444" s="442"/>
      <c r="Q444" s="442"/>
      <c r="R444" s="442"/>
      <c r="S444" s="442"/>
      <c r="T444" s="442"/>
      <c r="U444" s="442"/>
      <c r="V444" s="442"/>
      <c r="W444" s="442"/>
      <c r="X444" s="442"/>
      <c r="Y444" s="442"/>
    </row>
    <row r="445" spans="12:25" x14ac:dyDescent="0.2">
      <c r="L445" s="442"/>
      <c r="M445" s="442"/>
      <c r="N445" s="442"/>
      <c r="O445" s="442"/>
      <c r="P445" s="442"/>
      <c r="Q445" s="442"/>
      <c r="R445" s="442"/>
      <c r="S445" s="442"/>
      <c r="T445" s="442"/>
      <c r="U445" s="442"/>
      <c r="V445" s="442"/>
      <c r="W445" s="442"/>
      <c r="X445" s="442"/>
      <c r="Y445" s="442"/>
    </row>
    <row r="446" spans="12:25" x14ac:dyDescent="0.2">
      <c r="L446" s="442"/>
      <c r="M446" s="442"/>
      <c r="N446" s="442"/>
      <c r="O446" s="442"/>
      <c r="P446" s="442"/>
      <c r="Q446" s="442"/>
      <c r="R446" s="442"/>
      <c r="S446" s="442"/>
      <c r="T446" s="442"/>
      <c r="U446" s="442"/>
      <c r="V446" s="442"/>
      <c r="W446" s="442"/>
      <c r="X446" s="442"/>
      <c r="Y446" s="442"/>
    </row>
    <row r="447" spans="12:25" x14ac:dyDescent="0.2">
      <c r="L447" s="442"/>
      <c r="M447" s="442"/>
      <c r="N447" s="442"/>
      <c r="O447" s="442"/>
      <c r="P447" s="442"/>
      <c r="Q447" s="442"/>
      <c r="R447" s="442"/>
      <c r="S447" s="442"/>
      <c r="T447" s="442"/>
      <c r="U447" s="442"/>
      <c r="V447" s="442"/>
      <c r="W447" s="442"/>
      <c r="X447" s="442"/>
      <c r="Y447" s="442"/>
    </row>
    <row r="448" spans="12:25" x14ac:dyDescent="0.2">
      <c r="L448" s="442"/>
      <c r="M448" s="442"/>
      <c r="N448" s="442"/>
      <c r="O448" s="442"/>
      <c r="P448" s="442"/>
      <c r="Q448" s="442"/>
      <c r="R448" s="442"/>
      <c r="S448" s="442"/>
      <c r="T448" s="442"/>
      <c r="U448" s="442"/>
      <c r="V448" s="442"/>
      <c r="W448" s="442"/>
      <c r="X448" s="442"/>
      <c r="Y448" s="442"/>
    </row>
    <row r="449" spans="12:25" x14ac:dyDescent="0.2">
      <c r="L449" s="442"/>
      <c r="M449" s="442"/>
      <c r="N449" s="442"/>
      <c r="O449" s="442"/>
      <c r="P449" s="442"/>
      <c r="Q449" s="442"/>
      <c r="R449" s="442"/>
      <c r="S449" s="442"/>
      <c r="T449" s="442"/>
      <c r="U449" s="442"/>
      <c r="V449" s="442"/>
      <c r="W449" s="442"/>
      <c r="X449" s="442"/>
      <c r="Y449" s="442"/>
    </row>
    <row r="450" spans="12:25" x14ac:dyDescent="0.2">
      <c r="L450" s="442"/>
      <c r="M450" s="442"/>
      <c r="N450" s="442"/>
      <c r="O450" s="442"/>
      <c r="P450" s="442"/>
      <c r="Q450" s="442"/>
      <c r="R450" s="442"/>
      <c r="S450" s="442"/>
      <c r="T450" s="442"/>
      <c r="U450" s="442"/>
      <c r="V450" s="442"/>
      <c r="W450" s="442"/>
      <c r="X450" s="442"/>
      <c r="Y450" s="442"/>
    </row>
    <row r="451" spans="12:25" x14ac:dyDescent="0.2">
      <c r="Y451" s="442"/>
    </row>
    <row r="452" spans="12:25" x14ac:dyDescent="0.2">
      <c r="Y452" s="442"/>
    </row>
  </sheetData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7" type="noConversion"/>
  <pageMargins left="0.7" right="0.7" top="0.75" bottom="0.75" header="0.3" footer="0.3"/>
  <pageSetup paperSize="9" scale="80" orientation="portrait" r:id="rId2"/>
  <headerFooter alignWithMargins="0">
    <oddHeader>&amp;R&amp;8Datum en tijd; &amp;D  &amp;T&amp;CBed 0&amp;LAfsprakenProgramma 0.23.08-beta</oddHeader>
  </headerFooter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184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179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orientation="portrait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184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38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38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38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39">
        <f t="shared" si="0"/>
        <v>4.99</v>
      </c>
    </row>
    <row r="6" spans="1:20" x14ac:dyDescent="0.2">
      <c r="A6" s="179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39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39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39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39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39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39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39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39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39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39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39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39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39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39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39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39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39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39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39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39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39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39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39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39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39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39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39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39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39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39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39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39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39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39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39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39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39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39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39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39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39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39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39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39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4"/>
  <sheetViews>
    <sheetView view="pageBreakPreview" zoomScale="60" zoomScaleNormal="100" workbookViewId="0">
      <selection activeCell="F4" sqref="F4"/>
    </sheetView>
  </sheetViews>
  <sheetFormatPr defaultColWidth="10.7109375" defaultRowHeight="12.6" customHeight="1" x14ac:dyDescent="0.2"/>
  <cols>
    <col min="1" max="1" width="2.7109375" style="212" customWidth="1"/>
    <col min="2" max="2" width="2.5703125" style="211" customWidth="1"/>
    <col min="3" max="3" width="14" style="212" customWidth="1"/>
    <col min="4" max="5" width="11.28515625" style="212" customWidth="1"/>
    <col min="6" max="6" width="10.7109375" style="212" customWidth="1"/>
    <col min="7" max="10" width="11.28515625" style="212" customWidth="1"/>
    <col min="11" max="11" width="10.7109375" style="212" customWidth="1"/>
    <col min="12" max="12" width="10.7109375" style="213" customWidth="1"/>
    <col min="13" max="16384" width="10.7109375" style="212"/>
  </cols>
  <sheetData>
    <row r="1" spans="1:12" ht="12.6" customHeight="1" x14ac:dyDescent="0.2">
      <c r="A1" s="210"/>
    </row>
    <row r="2" spans="1:12" ht="12.6" customHeight="1" x14ac:dyDescent="0.2">
      <c r="B2" s="214"/>
      <c r="C2" s="215" t="s">
        <v>350</v>
      </c>
      <c r="D2" s="216" t="str">
        <f ca="1">Txt_Pat_AfspraakDat</f>
        <v>14-nov-2018</v>
      </c>
      <c r="E2" s="215" t="s">
        <v>351</v>
      </c>
      <c r="F2" s="835" t="str">
        <f>Txt_Pat_FullName</f>
        <v/>
      </c>
      <c r="G2" s="835"/>
      <c r="H2" s="217" t="str">
        <f>Txt_Pat_Gewicht</f>
        <v>Gewicht:</v>
      </c>
      <c r="J2" s="208"/>
      <c r="L2" s="218"/>
    </row>
    <row r="3" spans="1:12" ht="12.6" customHeight="1" x14ac:dyDescent="0.2">
      <c r="B3" s="214"/>
      <c r="C3" s="215" t="s">
        <v>152</v>
      </c>
      <c r="D3" s="219" t="str">
        <f ca="1">Txt_Pat_OpnameDag</f>
        <v>(dag 41957)</v>
      </c>
      <c r="E3" s="215" t="s">
        <v>349</v>
      </c>
      <c r="F3" s="220" t="str">
        <f ca="1">Txt_Pat_GeboorteDat</f>
        <v/>
      </c>
      <c r="G3" s="208"/>
      <c r="H3" s="217" t="str">
        <f>Txt_Pat_Lengte</f>
        <v>Lengte:</v>
      </c>
      <c r="J3" s="208"/>
      <c r="L3" s="218"/>
    </row>
    <row r="4" spans="1:12" ht="12" customHeight="1" x14ac:dyDescent="0.2">
      <c r="B4" s="214"/>
      <c r="C4" s="215" t="s">
        <v>385</v>
      </c>
      <c r="D4" s="219" t="str">
        <f>Txt_Pat_Bed</f>
        <v/>
      </c>
      <c r="E4" s="770" t="s">
        <v>244</v>
      </c>
      <c r="F4" s="208" t="str">
        <f>IF(OR(_User_Type="Artsen",_User_Type="Supervisor"), _User_LastName&amp;", "&amp;_User_FirstName,"")</f>
        <v/>
      </c>
      <c r="H4" s="217" t="str">
        <f>Txt_Pat_Oppervlak</f>
        <v>Lichamelijk oppervlak:</v>
      </c>
    </row>
    <row r="5" spans="1:12" ht="14.1" customHeight="1" x14ac:dyDescent="0.2">
      <c r="A5" s="221"/>
      <c r="B5" s="222" t="str">
        <f>PedGuiEntTPN!E11</f>
        <v>Voeding</v>
      </c>
      <c r="C5" s="221"/>
      <c r="D5" s="221"/>
      <c r="E5" s="221"/>
      <c r="F5" s="221"/>
      <c r="G5" s="221"/>
      <c r="H5" s="221"/>
      <c r="I5" s="221"/>
      <c r="J5" s="221"/>
      <c r="K5" s="211"/>
    </row>
    <row r="6" spans="1:12" ht="14.1" customHeight="1" x14ac:dyDescent="0.2">
      <c r="A6" s="210"/>
      <c r="B6" s="214"/>
      <c r="C6" s="217" t="s">
        <v>179</v>
      </c>
      <c r="D6" s="212" t="str">
        <f>Txt_Ped_Ent_Sonde</f>
        <v/>
      </c>
      <c r="F6" s="217" t="s">
        <v>212</v>
      </c>
      <c r="G6" s="212" t="str">
        <f>Txt_Ped_Ent_Voeding</f>
        <v>0</v>
      </c>
      <c r="K6" s="211"/>
    </row>
    <row r="7" spans="1:12" ht="14.1" customHeight="1" x14ac:dyDescent="0.2">
      <c r="K7" s="211"/>
      <c r="L7" s="218"/>
    </row>
    <row r="8" spans="1:12" ht="12.6" customHeight="1" x14ac:dyDescent="0.2">
      <c r="B8" s="214"/>
      <c r="C8" s="217" t="s">
        <v>4780</v>
      </c>
      <c r="D8" s="223" t="str">
        <f>Txt_Ped_Ent_Poeder_1</f>
        <v>0</v>
      </c>
      <c r="K8" s="211"/>
      <c r="L8" s="218"/>
    </row>
    <row r="9" spans="1:12" ht="12.6" customHeight="1" x14ac:dyDescent="0.2">
      <c r="B9" s="214"/>
      <c r="C9" s="217"/>
      <c r="D9" s="223" t="str">
        <f>Txt_Ped_Ent_Poeder_2</f>
        <v>0</v>
      </c>
      <c r="K9" s="211"/>
      <c r="L9" s="218"/>
    </row>
    <row r="10" spans="1:12" ht="12.6" customHeight="1" x14ac:dyDescent="0.2">
      <c r="B10" s="214"/>
      <c r="C10" s="217"/>
      <c r="D10" s="223" t="str">
        <f>Txt_Ped_Ent_Poeder_3</f>
        <v>0</v>
      </c>
      <c r="K10" s="224"/>
      <c r="L10" s="218"/>
    </row>
    <row r="11" spans="1:12" ht="12.6" customHeight="1" x14ac:dyDescent="0.2">
      <c r="K11" s="224"/>
      <c r="L11" s="218"/>
    </row>
    <row r="12" spans="1:12" ht="12.6" customHeight="1" x14ac:dyDescent="0.2">
      <c r="A12" s="221"/>
      <c r="B12" s="225"/>
      <c r="C12" s="226" t="s">
        <v>219</v>
      </c>
      <c r="D12" s="836">
        <f>_Ped_Ent_Opm</f>
        <v>0</v>
      </c>
      <c r="E12" s="837"/>
      <c r="F12" s="837"/>
      <c r="G12" s="837"/>
      <c r="H12" s="837"/>
      <c r="I12" s="837"/>
      <c r="J12" s="837"/>
      <c r="K12" s="224"/>
      <c r="L12" s="218"/>
    </row>
    <row r="13" spans="1:12" ht="12.6" customHeight="1" x14ac:dyDescent="0.2">
      <c r="L13" s="218"/>
    </row>
    <row r="14" spans="1:12" ht="12.6" customHeight="1" x14ac:dyDescent="0.2">
      <c r="A14" s="221"/>
      <c r="B14" s="222" t="s">
        <v>88</v>
      </c>
      <c r="C14" s="221"/>
      <c r="D14" s="221"/>
      <c r="E14" s="221"/>
      <c r="F14" s="221"/>
      <c r="G14" s="221"/>
      <c r="H14" s="221"/>
      <c r="I14" s="221"/>
      <c r="J14" s="221"/>
      <c r="L14" s="218"/>
    </row>
    <row r="15" spans="1:12" ht="12.6" customHeight="1" x14ac:dyDescent="0.2">
      <c r="B15" s="217"/>
      <c r="C15" s="217" t="s">
        <v>293</v>
      </c>
      <c r="D15" s="844" t="str">
        <f>TRIM(Txt_Ped_Lab_1)</f>
        <v/>
      </c>
      <c r="E15" s="845"/>
      <c r="F15" s="845"/>
      <c r="G15" s="845"/>
      <c r="H15" s="845"/>
      <c r="I15" s="845"/>
      <c r="J15" s="845"/>
      <c r="L15" s="218"/>
    </row>
    <row r="16" spans="1:12" ht="12.6" customHeight="1" x14ac:dyDescent="0.2">
      <c r="B16" s="217"/>
      <c r="C16" s="217" t="s">
        <v>346</v>
      </c>
      <c r="D16" s="842" t="str">
        <f>TRIM(Txt_Ped_Lab_2)</f>
        <v/>
      </c>
      <c r="E16" s="843"/>
      <c r="F16" s="843"/>
      <c r="G16" s="843"/>
      <c r="H16" s="843"/>
      <c r="I16" s="843"/>
      <c r="J16" s="843"/>
      <c r="L16" s="218"/>
    </row>
    <row r="17" spans="1:12" ht="12.6" customHeight="1" x14ac:dyDescent="0.2">
      <c r="B17" s="217"/>
      <c r="C17" s="217" t="s">
        <v>347</v>
      </c>
      <c r="D17" s="842" t="str">
        <f>TRIM(Txt_Ped_Lab_3)</f>
        <v/>
      </c>
      <c r="E17" s="846"/>
      <c r="F17" s="846"/>
      <c r="G17" s="846"/>
      <c r="H17" s="846"/>
      <c r="I17" s="846"/>
      <c r="J17" s="846"/>
      <c r="L17" s="218"/>
    </row>
    <row r="18" spans="1:12" ht="12.6" customHeight="1" x14ac:dyDescent="0.2">
      <c r="B18" s="217"/>
      <c r="C18" s="217" t="s">
        <v>108</v>
      </c>
      <c r="D18" s="842" t="str">
        <f>TRIM(Txt_Ped_Lab_4)</f>
        <v/>
      </c>
      <c r="E18" s="846"/>
      <c r="F18" s="846"/>
      <c r="G18" s="846"/>
      <c r="H18" s="846"/>
      <c r="I18" s="846"/>
      <c r="J18" s="846"/>
      <c r="L18" s="218"/>
    </row>
    <row r="19" spans="1:12" ht="12.6" customHeight="1" x14ac:dyDescent="0.2">
      <c r="B19" s="217"/>
      <c r="C19" s="227" t="s">
        <v>18</v>
      </c>
      <c r="D19" s="842" t="str">
        <f>TRIM(Txt_Ped_Lab_5)</f>
        <v/>
      </c>
      <c r="E19" s="847"/>
      <c r="F19" s="847"/>
      <c r="G19" s="847"/>
      <c r="H19" s="847"/>
      <c r="I19" s="847"/>
      <c r="J19" s="847"/>
      <c r="L19" s="218"/>
    </row>
    <row r="20" spans="1:12" ht="12.6" customHeight="1" x14ac:dyDescent="0.2">
      <c r="B20" s="217"/>
      <c r="C20" s="227" t="s">
        <v>219</v>
      </c>
      <c r="D20" s="838">
        <f>_Ped_Lab_Opm</f>
        <v>0</v>
      </c>
      <c r="E20" s="839"/>
      <c r="F20" s="839"/>
      <c r="G20" s="839"/>
      <c r="H20" s="839"/>
      <c r="I20" s="839"/>
      <c r="J20" s="839"/>
      <c r="L20" s="218"/>
    </row>
    <row r="21" spans="1:12" ht="12.6" customHeight="1" x14ac:dyDescent="0.2">
      <c r="A21" s="221"/>
      <c r="B21" s="226"/>
      <c r="C21" s="228"/>
      <c r="D21" s="840"/>
      <c r="E21" s="840"/>
      <c r="F21" s="840"/>
      <c r="G21" s="840"/>
      <c r="H21" s="840"/>
      <c r="I21" s="840"/>
      <c r="J21" s="840"/>
      <c r="L21" s="218"/>
    </row>
    <row r="22" spans="1:12" ht="12.6" customHeight="1" x14ac:dyDescent="0.2">
      <c r="L22" s="218"/>
    </row>
    <row r="23" spans="1:12" ht="12.6" customHeight="1" x14ac:dyDescent="0.2">
      <c r="A23" s="221"/>
      <c r="B23" s="222" t="s">
        <v>56</v>
      </c>
      <c r="C23" s="229"/>
      <c r="D23" s="221"/>
      <c r="E23" s="221"/>
      <c r="F23" s="221"/>
      <c r="G23" s="221"/>
      <c r="H23" s="221"/>
      <c r="I23" s="221"/>
      <c r="J23" s="221"/>
      <c r="L23" s="218"/>
    </row>
    <row r="24" spans="1:12" ht="12.6" customHeight="1" x14ac:dyDescent="0.2">
      <c r="B24" s="211" t="s">
        <v>214</v>
      </c>
      <c r="C24" s="230" t="s">
        <v>565</v>
      </c>
      <c r="D24" s="230" t="str">
        <f>IFERROR(LEFT(Txt_Ped_Afspr_Controles,LEN(Txt_Ped_Afspr_Controles)-3),"")</f>
        <v/>
      </c>
      <c r="L24" s="218"/>
    </row>
    <row r="25" spans="1:12" ht="12.6" customHeight="1" x14ac:dyDescent="0.2">
      <c r="B25" s="211" t="s">
        <v>215</v>
      </c>
      <c r="C25" s="230" t="s">
        <v>571</v>
      </c>
      <c r="D25" s="230" t="str">
        <f>IFERROR(LEFT(Txt_Ped_Afspr_Onderzoeken,LEN(Txt_Ped_Afspr_Onderzoeken)-3),"")</f>
        <v/>
      </c>
      <c r="L25" s="218"/>
    </row>
    <row r="26" spans="1:12" ht="12.6" customHeight="1" x14ac:dyDescent="0.2">
      <c r="B26" s="211" t="s">
        <v>216</v>
      </c>
      <c r="C26" s="230" t="s">
        <v>764</v>
      </c>
      <c r="D26" s="230" t="str">
        <f>IFERROR(LEFT(Txt_Ped_Afspr_Instellingen,LEN(Txt_Ped_Afspr_Instellingen)-3),"")</f>
        <v/>
      </c>
      <c r="L26" s="218"/>
    </row>
    <row r="27" spans="1:12" ht="12.6" customHeight="1" x14ac:dyDescent="0.2">
      <c r="B27" s="211" t="s">
        <v>217</v>
      </c>
      <c r="C27" s="230" t="s">
        <v>551</v>
      </c>
      <c r="D27" s="230" t="str">
        <f>IFERROR(LEFT(Txt_Ped_Afspr_Overig,LEN(Txt_Ped_Afspr_Overig)-3),"")</f>
        <v/>
      </c>
      <c r="L27" s="218"/>
    </row>
    <row r="28" spans="1:12" ht="12.6" customHeight="1" x14ac:dyDescent="0.2">
      <c r="C28" s="231"/>
      <c r="D28" s="232"/>
      <c r="E28" s="232"/>
      <c r="F28" s="232"/>
      <c r="G28" s="232"/>
      <c r="H28" s="232"/>
      <c r="I28" s="232"/>
      <c r="J28" s="232"/>
      <c r="L28" s="218"/>
    </row>
    <row r="29" spans="1:12" ht="12.6" customHeight="1" x14ac:dyDescent="0.2">
      <c r="C29" s="233"/>
      <c r="D29" s="232"/>
      <c r="E29" s="232"/>
      <c r="F29" s="232"/>
      <c r="G29" s="232"/>
      <c r="H29" s="232"/>
      <c r="I29" s="232"/>
      <c r="J29" s="232"/>
      <c r="L29" s="218"/>
    </row>
    <row r="30" spans="1:12" ht="12.6" customHeight="1" x14ac:dyDescent="0.2">
      <c r="C30" s="231"/>
      <c r="D30" s="232"/>
      <c r="E30" s="232"/>
      <c r="F30" s="232"/>
      <c r="G30" s="232"/>
      <c r="H30" s="232"/>
      <c r="I30" s="232"/>
      <c r="J30" s="232"/>
      <c r="L30" s="218"/>
    </row>
    <row r="31" spans="1:12" ht="12.6" customHeight="1" x14ac:dyDescent="0.2">
      <c r="C31" s="231"/>
      <c r="D31" s="232"/>
      <c r="E31" s="232"/>
      <c r="F31" s="232"/>
      <c r="G31" s="232"/>
      <c r="H31" s="232"/>
      <c r="I31" s="232"/>
      <c r="J31" s="232"/>
      <c r="L31" s="218"/>
    </row>
    <row r="32" spans="1:12" ht="12.6" customHeight="1" x14ac:dyDescent="0.2">
      <c r="B32" s="234" t="s">
        <v>67</v>
      </c>
      <c r="C32" s="221"/>
      <c r="D32" s="221"/>
      <c r="F32" s="221" t="s">
        <v>345</v>
      </c>
      <c r="G32" s="221"/>
      <c r="H32" s="221"/>
      <c r="I32" s="221"/>
      <c r="L32" s="218"/>
    </row>
    <row r="33" spans="1:12" ht="12.6" customHeight="1" x14ac:dyDescent="0.2">
      <c r="L33" s="218"/>
    </row>
    <row r="34" spans="1:12" ht="12.6" customHeight="1" x14ac:dyDescent="0.2">
      <c r="B34" s="214"/>
      <c r="C34" s="215" t="s">
        <v>350</v>
      </c>
      <c r="D34" s="216" t="str">
        <f ca="1">Txt_Pat_AfspraakDat</f>
        <v>14-nov-2018</v>
      </c>
      <c r="E34" s="215" t="s">
        <v>351</v>
      </c>
      <c r="F34" s="835" t="str">
        <f>Txt_Pat_FullName</f>
        <v/>
      </c>
      <c r="G34" s="835"/>
      <c r="H34" s="217" t="str">
        <f>Txt_Pat_Gewicht</f>
        <v>Gewicht:</v>
      </c>
      <c r="J34" s="208"/>
      <c r="L34" s="218"/>
    </row>
    <row r="35" spans="1:12" ht="12.6" customHeight="1" x14ac:dyDescent="0.2">
      <c r="B35" s="214"/>
      <c r="C35" s="215" t="s">
        <v>152</v>
      </c>
      <c r="D35" s="219" t="str">
        <f ca="1">Txt_Pat_OpnameDag</f>
        <v>(dag 41957)</v>
      </c>
      <c r="E35" s="215" t="s">
        <v>349</v>
      </c>
      <c r="F35" s="220" t="str">
        <f ca="1">Txt_Pat_GeboorteDat</f>
        <v/>
      </c>
      <c r="G35" s="494"/>
      <c r="H35" s="217" t="str">
        <f>Txt_Pat_Lengte</f>
        <v>Lengte:</v>
      </c>
      <c r="J35" s="208"/>
      <c r="L35" s="218"/>
    </row>
    <row r="36" spans="1:12" ht="12.6" customHeight="1" x14ac:dyDescent="0.2">
      <c r="B36" s="214"/>
      <c r="C36" s="215" t="s">
        <v>385</v>
      </c>
      <c r="D36" s="219" t="str">
        <f>Txt_Pat_Bed</f>
        <v/>
      </c>
      <c r="F36" s="494"/>
      <c r="H36" s="217" t="str">
        <f>Txt_Pat_Oppervlak</f>
        <v>Lichamelijk oppervlak:</v>
      </c>
      <c r="L36" s="218"/>
    </row>
    <row r="37" spans="1:12" ht="12.6" customHeight="1" x14ac:dyDescent="0.2">
      <c r="D37" s="208"/>
      <c r="F37" s="208"/>
      <c r="L37" s="218"/>
    </row>
    <row r="38" spans="1:12" ht="12.6" customHeight="1" x14ac:dyDescent="0.2">
      <c r="A38" s="221"/>
      <c r="B38" s="222" t="s">
        <v>25</v>
      </c>
      <c r="C38" s="229"/>
      <c r="D38" s="221"/>
      <c r="E38" s="221"/>
      <c r="F38" s="221"/>
      <c r="G38" s="221"/>
      <c r="H38" s="221"/>
      <c r="I38" s="221"/>
      <c r="J38" s="221"/>
      <c r="L38" s="218"/>
    </row>
    <row r="39" spans="1:12" ht="12.6" customHeight="1" x14ac:dyDescent="0.2">
      <c r="B39" s="211">
        <v>1</v>
      </c>
      <c r="C39" s="212" t="str">
        <f>Txt_Ped_Lijn_1</f>
        <v/>
      </c>
      <c r="L39" s="218" t="str">
        <f t="shared" ref="L39:L44" si="0">IF(C39=0,"D","")</f>
        <v/>
      </c>
    </row>
    <row r="40" spans="1:12" ht="12.6" customHeight="1" x14ac:dyDescent="0.2">
      <c r="B40" s="211">
        <v>2</v>
      </c>
      <c r="C40" s="212" t="str">
        <f>Txt_Ped_Lijn_2</f>
        <v/>
      </c>
      <c r="L40" s="218" t="str">
        <f t="shared" si="0"/>
        <v/>
      </c>
    </row>
    <row r="41" spans="1:12" ht="12.6" customHeight="1" x14ac:dyDescent="0.2">
      <c r="B41" s="211">
        <v>3</v>
      </c>
      <c r="C41" s="212" t="str">
        <f>Txt_Ped_Lijn_3</f>
        <v/>
      </c>
      <c r="L41" s="218" t="str">
        <f t="shared" si="0"/>
        <v/>
      </c>
    </row>
    <row r="42" spans="1:12" ht="12.6" customHeight="1" x14ac:dyDescent="0.2">
      <c r="B42" s="211">
        <v>4</v>
      </c>
      <c r="C42" s="212" t="str">
        <f>Txt_Ped_Lijn_4</f>
        <v/>
      </c>
      <c r="L42" s="218" t="str">
        <f t="shared" si="0"/>
        <v/>
      </c>
    </row>
    <row r="43" spans="1:12" ht="12.6" customHeight="1" x14ac:dyDescent="0.2">
      <c r="B43" s="211">
        <v>5</v>
      </c>
      <c r="C43" s="212" t="str">
        <f>Txt_Ped_Lijn_5</f>
        <v/>
      </c>
      <c r="L43" s="218" t="str">
        <f t="shared" si="0"/>
        <v/>
      </c>
    </row>
    <row r="44" spans="1:12" ht="12.6" customHeight="1" x14ac:dyDescent="0.2">
      <c r="B44" s="211">
        <v>6</v>
      </c>
      <c r="C44" s="212" t="str">
        <f>Txt_Ped_Lijn_6</f>
        <v/>
      </c>
      <c r="L44" s="218" t="str">
        <f t="shared" si="0"/>
        <v/>
      </c>
    </row>
    <row r="45" spans="1:12" ht="12.6" customHeight="1" x14ac:dyDescent="0.2">
      <c r="L45" s="218"/>
    </row>
    <row r="46" spans="1:12" ht="12.6" customHeight="1" x14ac:dyDescent="0.2">
      <c r="A46" s="221"/>
      <c r="B46" s="225"/>
      <c r="C46" s="226" t="s">
        <v>219</v>
      </c>
      <c r="D46" s="836">
        <f>_Ped_Lijn_Opm</f>
        <v>0</v>
      </c>
      <c r="E46" s="837"/>
      <c r="F46" s="837"/>
      <c r="G46" s="837"/>
      <c r="H46" s="837"/>
      <c r="I46" s="837"/>
      <c r="J46" s="837"/>
      <c r="L46" s="218"/>
    </row>
    <row r="47" spans="1:12" ht="12.6" customHeight="1" x14ac:dyDescent="0.2">
      <c r="L47" s="218"/>
    </row>
    <row r="48" spans="1:12" ht="12.6" customHeight="1" x14ac:dyDescent="0.2">
      <c r="L48" s="218"/>
    </row>
    <row r="49" spans="1:12" ht="12.6" customHeight="1" x14ac:dyDescent="0.2">
      <c r="A49" s="221"/>
      <c r="B49" s="222" t="s">
        <v>220</v>
      </c>
      <c r="C49" s="221"/>
      <c r="D49" s="221"/>
      <c r="E49" s="221"/>
      <c r="F49" s="221"/>
      <c r="G49" s="221"/>
      <c r="H49" s="221"/>
      <c r="I49" s="221"/>
      <c r="J49" s="221"/>
      <c r="L49" s="218"/>
    </row>
    <row r="50" spans="1:12" ht="12.6" customHeight="1" x14ac:dyDescent="0.2">
      <c r="B50" s="214"/>
      <c r="C50" s="217" t="s">
        <v>226</v>
      </c>
      <c r="D50" s="217"/>
      <c r="E50" s="217" t="s">
        <v>73</v>
      </c>
      <c r="F50" s="217"/>
      <c r="G50" s="217" t="s">
        <v>227</v>
      </c>
      <c r="H50" s="217"/>
      <c r="I50" s="217"/>
      <c r="J50" s="217" t="s">
        <v>137</v>
      </c>
      <c r="L50" s="218"/>
    </row>
    <row r="51" spans="1:12" ht="12.6" customHeight="1" x14ac:dyDescent="0.2">
      <c r="B51" s="211">
        <v>1</v>
      </c>
      <c r="C51" s="212" t="str">
        <f>PedBerMedIV!AF5</f>
        <v/>
      </c>
      <c r="E51" s="212" t="str">
        <f>IF(C51="","",PedBerMedIV!AG5&amp;" in "&amp;PedBerMedIV!AH5&amp;" "&amp;PedBerMedIV!AI5)</f>
        <v/>
      </c>
      <c r="G51" s="212" t="str">
        <f>IF(C51="","",PedBerMedIV!AJ5&amp;" ("&amp;PedBerMedIV!AK5&amp;" "&amp;PedBerMedIV!AL5&amp;")")</f>
        <v/>
      </c>
      <c r="J51" s="212" t="str">
        <f>IF(C51="","",PedBerMedIV!AM5)</f>
        <v/>
      </c>
      <c r="L51" s="218" t="str">
        <f t="shared" ref="L51:L70" si="1">IF(C51=0,"D","")</f>
        <v/>
      </c>
    </row>
    <row r="52" spans="1:12" ht="12.6" customHeight="1" x14ac:dyDescent="0.2">
      <c r="B52" s="211">
        <v>2</v>
      </c>
      <c r="C52" s="212" t="str">
        <f>PedBerMedIV!AF6</f>
        <v/>
      </c>
      <c r="E52" s="212" t="str">
        <f>IF(C52="","",PedBerMedIV!AG6&amp;" in "&amp;PedBerMedIV!AH6&amp;" "&amp;PedBerMedIV!AI6)</f>
        <v/>
      </c>
      <c r="G52" s="212" t="str">
        <f>IF(C52="","",PedBerMedIV!AJ6&amp;" ("&amp;PedBerMedIV!AK6&amp;" "&amp;PedBerMedIV!AL6&amp;")")</f>
        <v/>
      </c>
      <c r="J52" s="212" t="str">
        <f>IF(C52="","",PedBerMedIV!AM6)</f>
        <v/>
      </c>
      <c r="L52" s="218" t="str">
        <f t="shared" si="1"/>
        <v/>
      </c>
    </row>
    <row r="53" spans="1:12" ht="12.6" customHeight="1" x14ac:dyDescent="0.2">
      <c r="B53" s="211">
        <v>3</v>
      </c>
      <c r="C53" s="212" t="str">
        <f>PedBerMedIV!AF7</f>
        <v/>
      </c>
      <c r="E53" s="212" t="str">
        <f>IF(C53="","",PedBerMedIV!AG7&amp;" in "&amp;PedBerMedIV!AH7&amp;" "&amp;PedBerMedIV!AI7)</f>
        <v/>
      </c>
      <c r="G53" s="212" t="str">
        <f>IF(C53="","",PedBerMedIV!AJ7&amp;" ("&amp;PedBerMedIV!AK7&amp;" "&amp;PedBerMedIV!AL7&amp;")")</f>
        <v/>
      </c>
      <c r="J53" s="212" t="str">
        <f>IF(C53="","",PedBerMedIV!AM7)</f>
        <v/>
      </c>
      <c r="L53" s="218" t="str">
        <f t="shared" si="1"/>
        <v/>
      </c>
    </row>
    <row r="54" spans="1:12" ht="12.6" customHeight="1" x14ac:dyDescent="0.2">
      <c r="B54" s="211">
        <v>4</v>
      </c>
      <c r="C54" s="212" t="str">
        <f>PedBerMedIV!AF8</f>
        <v/>
      </c>
      <c r="E54" s="212" t="str">
        <f>IF(C54="","",PedBerMedIV!AG8&amp;" in "&amp;PedBerMedIV!AH8&amp;" "&amp;PedBerMedIV!AI8)</f>
        <v/>
      </c>
      <c r="G54" s="212" t="str">
        <f>IF(C54="","",PedBerMedIV!AJ8&amp;" ("&amp;PedBerMedIV!AK8&amp;" "&amp;PedBerMedIV!AL8&amp;")")</f>
        <v/>
      </c>
      <c r="J54" s="212" t="str">
        <f>IF(C54="","",PedBerMedIV!AM8)</f>
        <v/>
      </c>
      <c r="L54" s="218" t="str">
        <f t="shared" si="1"/>
        <v/>
      </c>
    </row>
    <row r="55" spans="1:12" ht="12.6" customHeight="1" x14ac:dyDescent="0.2">
      <c r="B55" s="211">
        <v>5</v>
      </c>
      <c r="C55" s="212" t="str">
        <f>PedBerMedIV!AF9</f>
        <v/>
      </c>
      <c r="E55" s="212" t="str">
        <f>IF(C55="","",PedBerMedIV!AG9&amp;" in "&amp;PedBerMedIV!AH9&amp;" "&amp;PedBerMedIV!AI9)</f>
        <v/>
      </c>
      <c r="G55" s="212" t="str">
        <f>IF(C55="","",PedBerMedIV!AJ9&amp;" ("&amp;PedBerMedIV!AK9&amp;" "&amp;PedBerMedIV!AL9&amp;")")</f>
        <v/>
      </c>
      <c r="J55" s="212" t="str">
        <f>IF(C55="","",PedBerMedIV!AM9)</f>
        <v/>
      </c>
      <c r="L55" s="218" t="str">
        <f t="shared" si="1"/>
        <v/>
      </c>
    </row>
    <row r="56" spans="1:12" ht="12.6" customHeight="1" x14ac:dyDescent="0.2">
      <c r="B56" s="211">
        <v>6</v>
      </c>
      <c r="C56" s="212" t="str">
        <f>PedBerMedIV!AF10</f>
        <v/>
      </c>
      <c r="E56" s="212" t="str">
        <f>IF(C56="","",PedBerMedIV!AG10&amp;" in "&amp;PedBerMedIV!AH10&amp;" "&amp;PedBerMedIV!AI10)</f>
        <v/>
      </c>
      <c r="G56" s="212" t="str">
        <f>IF(C56="","",PedBerMedIV!AJ10&amp;" ("&amp;PedBerMedIV!AK10&amp;" "&amp;PedBerMedIV!AL10&amp;")")</f>
        <v/>
      </c>
      <c r="J56" s="212" t="str">
        <f>IF(C56="","",PedBerMedIV!AM10)</f>
        <v/>
      </c>
      <c r="L56" s="218" t="str">
        <f t="shared" si="1"/>
        <v/>
      </c>
    </row>
    <row r="57" spans="1:12" ht="12.6" customHeight="1" x14ac:dyDescent="0.2">
      <c r="B57" s="211">
        <v>7</v>
      </c>
      <c r="C57" s="212" t="str">
        <f>PedBerMedIV!AF11</f>
        <v/>
      </c>
      <c r="E57" s="212" t="str">
        <f>IF(C57="","",PedBerMedIV!AG11&amp;" in "&amp;PedBerMedIV!AH11&amp;" "&amp;PedBerMedIV!AI11)</f>
        <v/>
      </c>
      <c r="G57" s="212" t="str">
        <f>IF(C57="","",PedBerMedIV!AJ11&amp;" ("&amp;PedBerMedIV!AK11&amp;" "&amp;PedBerMedIV!AL11&amp;")")</f>
        <v/>
      </c>
      <c r="J57" s="212" t="str">
        <f>IF(C57="","",PedBerMedIV!AM11)</f>
        <v/>
      </c>
      <c r="L57" s="218" t="str">
        <f t="shared" si="1"/>
        <v/>
      </c>
    </row>
    <row r="58" spans="1:12" ht="12.6" customHeight="1" x14ac:dyDescent="0.2">
      <c r="B58" s="211">
        <v>8</v>
      </c>
      <c r="C58" s="212" t="str">
        <f>PedBerMedIV!AF12</f>
        <v/>
      </c>
      <c r="E58" s="212" t="str">
        <f>IF(C58="","",PedBerMedIV!AG12&amp;" in "&amp;PedBerMedIV!AH12&amp;" "&amp;PedBerMedIV!AI12)</f>
        <v/>
      </c>
      <c r="G58" s="212" t="str">
        <f>IF(C58="","",PedBerMedIV!AJ12&amp;" ("&amp;PedBerMedIV!AK12&amp;" "&amp;PedBerMedIV!AL12&amp;")")</f>
        <v/>
      </c>
      <c r="J58" s="212" t="str">
        <f>IF(C58="","",PedBerMedIV!AM12)</f>
        <v/>
      </c>
      <c r="L58" s="218" t="str">
        <f t="shared" si="1"/>
        <v/>
      </c>
    </row>
    <row r="59" spans="1:12" ht="12.6" customHeight="1" x14ac:dyDescent="0.2">
      <c r="B59" s="211">
        <v>9</v>
      </c>
      <c r="C59" s="212" t="str">
        <f>PedBerMedIV!AF13</f>
        <v/>
      </c>
      <c r="E59" s="212" t="str">
        <f>IF(C59="","",PedBerMedIV!AG13&amp;" in "&amp;PedBerMedIV!AH13&amp;" "&amp;PedBerMedIV!AI13)</f>
        <v/>
      </c>
      <c r="G59" s="212" t="str">
        <f>IF(C59="","",PedBerMedIV!AJ13&amp;" ("&amp;PedBerMedIV!AK13&amp;" "&amp;PedBerMedIV!AL13&amp;")")</f>
        <v/>
      </c>
      <c r="J59" s="212" t="str">
        <f>IF(C59="","",PedBerMedIV!AM13)</f>
        <v/>
      </c>
      <c r="L59" s="218" t="str">
        <f t="shared" si="1"/>
        <v/>
      </c>
    </row>
    <row r="60" spans="1:12" ht="12.6" customHeight="1" x14ac:dyDescent="0.2">
      <c r="B60" s="211">
        <v>10</v>
      </c>
      <c r="C60" s="212" t="str">
        <f>PedBerMedIV!AF14</f>
        <v/>
      </c>
      <c r="E60" s="212" t="str">
        <f>IF(C60="","",PedBerMedIV!AG14&amp;" in "&amp;PedBerMedIV!AH14&amp;" "&amp;PedBerMedIV!AI14)</f>
        <v/>
      </c>
      <c r="G60" s="212" t="str">
        <f>IF(C60="","",PedBerMedIV!AJ14&amp;" ("&amp;PedBerMedIV!AK14&amp;" "&amp;PedBerMedIV!AL14&amp;")")</f>
        <v/>
      </c>
      <c r="J60" s="212" t="str">
        <f>IF(C60="","",PedBerMedIV!AM14)</f>
        <v/>
      </c>
      <c r="L60" s="218"/>
    </row>
    <row r="61" spans="1:12" ht="12.6" customHeight="1" x14ac:dyDescent="0.2">
      <c r="B61" s="211">
        <v>11</v>
      </c>
      <c r="C61" s="212" t="str">
        <f>PedBerMedIV!AF15</f>
        <v/>
      </c>
      <c r="E61" s="212" t="str">
        <f>IF(C61="","",PedBerMedIV!AG15&amp;" in "&amp;PedBerMedIV!AH15&amp;" "&amp;PedBerMedIV!AI15)</f>
        <v/>
      </c>
      <c r="G61" s="212" t="str">
        <f>IF(C61="","",PedBerMedIV!AJ15&amp;" ("&amp;PedBerMedIV!AK15&amp;" "&amp;PedBerMedIV!AL15&amp;")")</f>
        <v/>
      </c>
      <c r="J61" s="212" t="str">
        <f>IF(C61="","",PedBerMedIV!AM15)</f>
        <v/>
      </c>
      <c r="L61" s="218"/>
    </row>
    <row r="62" spans="1:12" ht="12.6" customHeight="1" x14ac:dyDescent="0.2">
      <c r="B62" s="211">
        <v>12</v>
      </c>
      <c r="C62" s="212" t="str">
        <f>PedBerMedIV!AF16</f>
        <v/>
      </c>
      <c r="E62" s="212" t="str">
        <f>IF(C62="","",PedBerMedIV!AG16&amp;" in "&amp;PedBerMedIV!AH16&amp;" "&amp;PedBerMedIV!AI16)</f>
        <v/>
      </c>
      <c r="G62" s="212" t="str">
        <f>IF(C62="","",PedBerMedIV!AJ16&amp;" ("&amp;PedBerMedIV!AK16&amp;" "&amp;PedBerMedIV!AL16&amp;")")</f>
        <v/>
      </c>
      <c r="J62" s="212" t="str">
        <f>IF(C62="","",PedBerMedIV!AM16)</f>
        <v/>
      </c>
      <c r="L62" s="218"/>
    </row>
    <row r="63" spans="1:12" ht="12.6" customHeight="1" x14ac:dyDescent="0.2">
      <c r="B63" s="211">
        <v>13</v>
      </c>
      <c r="C63" s="212" t="str">
        <f>PedBerMedIV!AF17</f>
        <v/>
      </c>
      <c r="E63" s="212" t="str">
        <f>IF(C63="","",PedBerMedIV!AG17&amp;" in "&amp;PedBerMedIV!AH17&amp;" "&amp;PedBerMedIV!AI17)</f>
        <v/>
      </c>
      <c r="G63" s="212" t="str">
        <f>IF(C63="","",PedBerMedIV!AJ17&amp;" ("&amp;PedBerMedIV!AK17&amp;" "&amp;PedBerMedIV!AL17&amp;")")</f>
        <v/>
      </c>
      <c r="J63" s="212" t="str">
        <f>IF(C63="","",PedBerMedIV!AM17)</f>
        <v/>
      </c>
      <c r="L63" s="218"/>
    </row>
    <row r="64" spans="1:12" ht="12.6" customHeight="1" x14ac:dyDescent="0.2">
      <c r="B64" s="211">
        <v>14</v>
      </c>
      <c r="C64" s="212" t="str">
        <f>PedBerMedIV!AF18</f>
        <v/>
      </c>
      <c r="E64" s="212" t="str">
        <f>IF(C64="","",PedBerMedIV!AG18&amp;" in "&amp;PedBerMedIV!AH18&amp;" "&amp;PedBerMedIV!AI18)</f>
        <v/>
      </c>
      <c r="G64" s="212" t="str">
        <f>IF(C64="","",PedBerMedIV!AJ18&amp;" ("&amp;PedBerMedIV!AK18&amp;" "&amp;PedBerMedIV!AL18&amp;")")</f>
        <v/>
      </c>
      <c r="J64" s="212" t="str">
        <f>IF(C64="","",PedBerMedIV!AM18)</f>
        <v/>
      </c>
      <c r="L64" s="218"/>
    </row>
    <row r="65" spans="1:12" ht="12.6" customHeight="1" x14ac:dyDescent="0.2">
      <c r="B65" s="211">
        <v>15</v>
      </c>
      <c r="C65" s="212" t="str">
        <f>PedBerMedIV!AF19</f>
        <v/>
      </c>
      <c r="E65" s="212" t="str">
        <f>IF(C65="","",PedBerMedIV!AG19&amp;" in "&amp;PedBerMedIV!AH19&amp;" "&amp;PedBerMedIV!AI19)</f>
        <v/>
      </c>
      <c r="G65" s="212" t="str">
        <f>IF(C65="","",PedBerMedIV!AJ19&amp;" ("&amp;PedBerMedIV!AK19&amp;" "&amp;PedBerMedIV!AL19&amp;")")</f>
        <v/>
      </c>
      <c r="J65" s="212" t="str">
        <f>IF(C65="","",PedBerMedIV!AM19)</f>
        <v/>
      </c>
      <c r="L65" s="218"/>
    </row>
    <row r="66" spans="1:12" ht="12.6" customHeight="1" x14ac:dyDescent="0.2">
      <c r="B66" s="211">
        <v>16</v>
      </c>
      <c r="C66" s="212" t="str">
        <f>PedBerMedIV!AF21</f>
        <v/>
      </c>
      <c r="E66" s="212" t="str">
        <f>IF(C66="","",PedBerMedIV!AG21&amp;" in "&amp;PedBerMedIV!AH21&amp;" "&amp;PedBerMedIV!AI21)</f>
        <v/>
      </c>
      <c r="G66" s="212" t="str">
        <f>IF(C66="","",PedBerMedIV!AJ21&amp;" ("&amp;PedBerMedIV!AK21&amp;" "&amp;PedBerMedIV!AL21&amp;")")</f>
        <v/>
      </c>
      <c r="J66" s="212" t="str">
        <f>IF(C66="","",PedBerMedIV!AM21)</f>
        <v/>
      </c>
      <c r="L66" s="218" t="str">
        <f t="shared" si="1"/>
        <v/>
      </c>
    </row>
    <row r="67" spans="1:12" ht="12.6" customHeight="1" x14ac:dyDescent="0.2">
      <c r="B67" s="211">
        <v>17</v>
      </c>
      <c r="C67" s="212" t="str">
        <f>PedBerMedIV!AF22</f>
        <v/>
      </c>
      <c r="E67" s="212" t="str">
        <f>IF(C67="","",PedBerMedIV!AG22&amp;" in "&amp;PedBerMedIV!AH22&amp;" "&amp;PedBerMedIV!AI22)</f>
        <v/>
      </c>
      <c r="G67" s="212" t="str">
        <f>IF(C67="","",PedBerMedIV!AJ22&amp;" ("&amp;PedBerMedIV!AK22&amp;" "&amp;PedBerMedIV!AL22&amp;")")</f>
        <v/>
      </c>
      <c r="J67" s="212" t="str">
        <f>IF(C67="","",PedBerMedIV!AM22)</f>
        <v/>
      </c>
      <c r="L67" s="218" t="str">
        <f t="shared" si="1"/>
        <v/>
      </c>
    </row>
    <row r="68" spans="1:12" ht="12.6" customHeight="1" x14ac:dyDescent="0.2">
      <c r="B68" s="211">
        <v>18</v>
      </c>
      <c r="C68" s="212" t="str">
        <f>PedBerMedIV!AF23</f>
        <v/>
      </c>
      <c r="E68" s="212" t="str">
        <f>IF(C68="","",PedBerMedIV!AG23&amp;" in "&amp;PedBerMedIV!AH23&amp;" "&amp;PedBerMedIV!AI23)</f>
        <v/>
      </c>
      <c r="G68" s="212" t="str">
        <f>IF(C68="","",PedBerMedIV!AJ23&amp;" ("&amp;PedBerMedIV!AK23&amp;" "&amp;PedBerMedIV!AL23&amp;")")</f>
        <v/>
      </c>
      <c r="J68" s="212" t="str">
        <f>IF(C68="","",PedBerMedIV!AM23)</f>
        <v/>
      </c>
      <c r="L68" s="218" t="str">
        <f t="shared" si="1"/>
        <v/>
      </c>
    </row>
    <row r="69" spans="1:12" ht="12.6" customHeight="1" x14ac:dyDescent="0.2">
      <c r="B69" s="211">
        <v>19</v>
      </c>
      <c r="C69" s="212" t="str">
        <f>PedBerMedIV!AF24</f>
        <v/>
      </c>
      <c r="E69" s="212" t="str">
        <f>IF(C69="","",PedBerMedIV!AG24&amp;" in "&amp;PedBerMedIV!AH24&amp;" "&amp;PedBerMedIV!AI24)</f>
        <v/>
      </c>
      <c r="G69" s="212" t="str">
        <f>IF(C69="","",PedBerMedIV!AJ24&amp;" ("&amp;PedBerMedIV!AK24&amp;" "&amp;PedBerMedIV!AL24&amp;")")</f>
        <v/>
      </c>
      <c r="J69" s="212" t="str">
        <f>IF(C69="","",PedBerMedIV!AM24)</f>
        <v/>
      </c>
      <c r="L69" s="218" t="str">
        <f t="shared" si="1"/>
        <v/>
      </c>
    </row>
    <row r="70" spans="1:12" ht="12.6" customHeight="1" x14ac:dyDescent="0.2">
      <c r="B70" s="211">
        <v>20</v>
      </c>
      <c r="C70" s="212" t="str">
        <f>PedBerMedIV!AF25</f>
        <v/>
      </c>
      <c r="E70" s="212" t="str">
        <f>IF(C70="","",PedBerMedIV!AG25&amp;" in "&amp;PedBerMedIV!AH25&amp;" "&amp;PedBerMedIV!AI25)</f>
        <v/>
      </c>
      <c r="G70" s="212" t="str">
        <f>IF(C70="","",PedBerMedIV!AJ25&amp;" ("&amp;PedBerMedIV!AK25&amp;" "&amp;PedBerMedIV!AL25&amp;")")</f>
        <v/>
      </c>
      <c r="J70" s="212" t="str">
        <f>IF(C70="","",PedBerMedIV!AM25)</f>
        <v/>
      </c>
      <c r="L70" s="218" t="str">
        <f t="shared" si="1"/>
        <v/>
      </c>
    </row>
    <row r="71" spans="1:12" ht="12.6" customHeight="1" x14ac:dyDescent="0.2">
      <c r="L71" s="218"/>
    </row>
    <row r="72" spans="1:12" ht="12" customHeight="1" x14ac:dyDescent="0.2">
      <c r="B72" s="214"/>
      <c r="C72" s="217" t="s">
        <v>219</v>
      </c>
      <c r="D72" s="838">
        <f>_Ped_MedIV_Opm</f>
        <v>0</v>
      </c>
      <c r="E72" s="838"/>
      <c r="F72" s="838"/>
      <c r="G72" s="838"/>
      <c r="H72" s="838"/>
      <c r="I72" s="838"/>
      <c r="J72" s="838"/>
      <c r="L72" s="218"/>
    </row>
    <row r="73" spans="1:12" ht="12.6" customHeight="1" x14ac:dyDescent="0.2">
      <c r="D73" s="841"/>
      <c r="E73" s="841"/>
      <c r="F73" s="841"/>
      <c r="G73" s="841"/>
      <c r="H73" s="841"/>
      <c r="I73" s="841"/>
      <c r="J73" s="841"/>
      <c r="L73" s="218"/>
    </row>
    <row r="74" spans="1:12" ht="12.6" customHeight="1" x14ac:dyDescent="0.2">
      <c r="D74" s="495"/>
      <c r="E74" s="495"/>
      <c r="F74" s="495"/>
      <c r="G74" s="495"/>
      <c r="H74" s="495"/>
      <c r="I74" s="495"/>
      <c r="J74" s="495"/>
      <c r="L74" s="218"/>
    </row>
    <row r="75" spans="1:12" ht="12.6" customHeight="1" x14ac:dyDescent="0.2">
      <c r="B75" s="214"/>
      <c r="C75" s="215" t="s">
        <v>350</v>
      </c>
      <c r="D75" s="216" t="str">
        <f ca="1">Txt_Pat_AfspraakDat</f>
        <v>14-nov-2018</v>
      </c>
      <c r="E75" s="215" t="s">
        <v>351</v>
      </c>
      <c r="F75" s="835" t="str">
        <f>Txt_Pat_FullName</f>
        <v/>
      </c>
      <c r="G75" s="835"/>
      <c r="H75" s="217" t="str">
        <f>Txt_Pat_Gewicht</f>
        <v>Gewicht:</v>
      </c>
      <c r="J75" s="494"/>
      <c r="L75" s="218"/>
    </row>
    <row r="76" spans="1:12" ht="12.6" customHeight="1" x14ac:dyDescent="0.2">
      <c r="B76" s="214"/>
      <c r="C76" s="215" t="s">
        <v>152</v>
      </c>
      <c r="D76" s="219" t="str">
        <f ca="1">Txt_Pat_OpnameDag</f>
        <v>(dag 41957)</v>
      </c>
      <c r="E76" s="215" t="s">
        <v>349</v>
      </c>
      <c r="F76" s="220" t="str">
        <f ca="1">Txt_Pat_GeboorteDat</f>
        <v/>
      </c>
      <c r="G76" s="494"/>
      <c r="H76" s="217" t="str">
        <f>Txt_Pat_Lengte</f>
        <v>Lengte:</v>
      </c>
      <c r="J76" s="494"/>
      <c r="L76" s="218"/>
    </row>
    <row r="77" spans="1:12" ht="12.6" customHeight="1" x14ac:dyDescent="0.2">
      <c r="B77" s="214"/>
      <c r="C77" s="215" t="s">
        <v>385</v>
      </c>
      <c r="D77" s="219" t="str">
        <f>Txt_Pat_Bed</f>
        <v/>
      </c>
      <c r="F77" s="494"/>
      <c r="H77" s="217" t="str">
        <f>Txt_Pat_Oppervlak</f>
        <v>Lichamelijk oppervlak:</v>
      </c>
      <c r="L77" s="218"/>
    </row>
    <row r="78" spans="1:12" customFormat="1" ht="12.6" customHeight="1" x14ac:dyDescent="0.2"/>
    <row r="79" spans="1:12" ht="12.6" customHeight="1" x14ac:dyDescent="0.2">
      <c r="A79" s="221"/>
      <c r="B79" s="222"/>
      <c r="C79" s="229"/>
      <c r="D79" s="221"/>
      <c r="E79" s="221"/>
      <c r="F79" s="221"/>
      <c r="G79" s="221"/>
      <c r="H79" s="221"/>
      <c r="I79" s="221"/>
      <c r="J79" s="221"/>
      <c r="L79" s="218"/>
    </row>
    <row r="80" spans="1:12" ht="12.6" customHeight="1" x14ac:dyDescent="0.2">
      <c r="B80" s="214"/>
      <c r="C80" s="217"/>
      <c r="D80" s="235" t="str">
        <f>PedBerTPN!H3</f>
        <v/>
      </c>
      <c r="E80" s="236" t="str">
        <f>PedBerTPN!V3</f>
        <v/>
      </c>
      <c r="F80" s="236" t="str">
        <f>PedBerTPN!W3</f>
        <v/>
      </c>
      <c r="G80" s="237"/>
      <c r="H80" s="235" t="str">
        <f>PedBerTPN!H21</f>
        <v/>
      </c>
      <c r="I80" s="236" t="str">
        <f>PedBerTPN!V21</f>
        <v/>
      </c>
      <c r="J80" s="236" t="str">
        <f>PedBerTPN!W21</f>
        <v/>
      </c>
      <c r="L80" s="218"/>
    </row>
    <row r="81" spans="2:12" ht="12.6" customHeight="1" x14ac:dyDescent="0.2">
      <c r="B81" s="214"/>
      <c r="C81" s="217"/>
      <c r="D81" s="215" t="str">
        <f>PedBerTPN!H5</f>
        <v/>
      </c>
      <c r="E81" s="212" t="str">
        <f>PedBerTPN!V5</f>
        <v/>
      </c>
      <c r="F81" s="212" t="str">
        <f>PedBerTPN!W5</f>
        <v/>
      </c>
      <c r="G81" s="217"/>
      <c r="H81" s="215" t="str">
        <f>PedBerTPN!H22</f>
        <v/>
      </c>
      <c r="I81" s="212" t="str">
        <f>PedBerTPN!V22</f>
        <v/>
      </c>
      <c r="J81" s="212" t="str">
        <f>PedBerTPN!W22</f>
        <v/>
      </c>
      <c r="L81" s="218" t="str">
        <f>IF(AND(D81="",H81=0),"D","")</f>
        <v/>
      </c>
    </row>
    <row r="82" spans="2:12" ht="12.6" customHeight="1" x14ac:dyDescent="0.2">
      <c r="B82" s="214"/>
      <c r="C82" s="217"/>
      <c r="D82" s="215" t="str">
        <f>PedBerTPN!H6</f>
        <v/>
      </c>
      <c r="E82" s="208" t="str">
        <f>PedBerTPN!V6</f>
        <v/>
      </c>
      <c r="F82" s="209" t="str">
        <f>PedBerTPN!Y6</f>
        <v/>
      </c>
      <c r="G82" s="217"/>
      <c r="H82" s="215" t="str">
        <f>PedBerTPN!H23</f>
        <v/>
      </c>
      <c r="I82" s="212" t="str">
        <f>PedBerTPN!V23</f>
        <v/>
      </c>
      <c r="J82" s="212" t="str">
        <f>PedBerTPN!W23</f>
        <v/>
      </c>
      <c r="L82" s="218" t="str">
        <f>IF(AND(D82="",H82=0),"D","")</f>
        <v/>
      </c>
    </row>
    <row r="83" spans="2:12" ht="12.6" customHeight="1" x14ac:dyDescent="0.2">
      <c r="B83" s="214"/>
      <c r="C83" s="217"/>
      <c r="D83" s="215" t="str">
        <f>PedBerTPN!H8</f>
        <v/>
      </c>
      <c r="E83" s="212" t="str">
        <f>PedBerTPN!V8</f>
        <v/>
      </c>
      <c r="F83" s="212" t="str">
        <f>PedBerTPN!W8</f>
        <v/>
      </c>
      <c r="G83" s="217"/>
      <c r="H83" s="215" t="str">
        <f>PedBerTPN!H24</f>
        <v/>
      </c>
      <c r="I83" s="212" t="str">
        <f>PedBerTPN!V24</f>
        <v/>
      </c>
      <c r="J83" s="212" t="str">
        <f>PedBerTPN!W24</f>
        <v/>
      </c>
      <c r="L83" s="218" t="str">
        <f>IF(AND(D83="",H83=0),"D","")</f>
        <v/>
      </c>
    </row>
    <row r="84" spans="2:12" ht="12.6" customHeight="1" x14ac:dyDescent="0.2">
      <c r="B84" s="214"/>
      <c r="C84" s="217"/>
      <c r="D84" s="215" t="str">
        <f>PedBerTPN!H9</f>
        <v/>
      </c>
      <c r="E84" s="212" t="str">
        <f>PedBerTPN!V9</f>
        <v/>
      </c>
      <c r="F84" s="212" t="str">
        <f>PedBerTPN!W9</f>
        <v/>
      </c>
      <c r="L84" s="218" t="str">
        <f>IF(D84=0,"D","")</f>
        <v/>
      </c>
    </row>
    <row r="85" spans="2:12" ht="12.6" customHeight="1" x14ac:dyDescent="0.2">
      <c r="B85" s="214"/>
      <c r="C85" s="217"/>
      <c r="D85" s="215" t="str">
        <f>PedBerTPN!H10</f>
        <v/>
      </c>
      <c r="E85" s="212" t="str">
        <f>PedBerTPN!V10</f>
        <v/>
      </c>
      <c r="F85" s="212" t="str">
        <f>PedBerTPN!W10</f>
        <v/>
      </c>
      <c r="L85" s="218" t="str">
        <f>IF(D85=0,"D","")</f>
        <v/>
      </c>
    </row>
    <row r="86" spans="2:12" ht="12.6" customHeight="1" x14ac:dyDescent="0.2">
      <c r="D86" s="238"/>
      <c r="H86" s="238"/>
      <c r="L86" s="218"/>
    </row>
    <row r="87" spans="2:12" ht="12.6" customHeight="1" x14ac:dyDescent="0.2">
      <c r="B87" s="214"/>
      <c r="C87" s="217"/>
      <c r="D87" s="239" t="str">
        <f>IF(F87&lt;&gt;"","Electrolyt/Glucose mengsel","")</f>
        <v/>
      </c>
      <c r="E87" s="221" t="str">
        <f>IF(PedBerTPN!V12="","",PedBerTPN!V12)</f>
        <v/>
      </c>
      <c r="F87" s="221" t="str">
        <f>IF(E87="","",SUM(PedBerTPN!G12:G13,PedBerTPN!G11)&amp;" ml")</f>
        <v/>
      </c>
      <c r="G87" s="221"/>
      <c r="H87" s="240"/>
      <c r="I87" s="221"/>
      <c r="J87" s="221"/>
      <c r="L87" s="218"/>
    </row>
    <row r="88" spans="2:12" ht="12.6" customHeight="1" x14ac:dyDescent="0.2">
      <c r="B88" s="214"/>
      <c r="C88" s="217"/>
      <c r="D88" s="215" t="str">
        <f>PedBerTPN!H12</f>
        <v/>
      </c>
      <c r="F88" s="212" t="str">
        <f>PedBerTPN!W12</f>
        <v/>
      </c>
      <c r="G88" s="212" t="str">
        <f>IF(E87="",""," + "&amp;PedBerTPN!W11)</f>
        <v/>
      </c>
      <c r="L88" s="218" t="str">
        <f t="shared" ref="L88:L91" si="2">IF(D88=0,"D","")</f>
        <v/>
      </c>
    </row>
    <row r="89" spans="2:12" ht="12.6" customHeight="1" x14ac:dyDescent="0.2">
      <c r="B89" s="214"/>
      <c r="C89" s="217"/>
      <c r="D89" s="215" t="str">
        <f>PedBerTPN!H13</f>
        <v/>
      </c>
      <c r="F89" s="212" t="str">
        <f>PedBerTPN!W13</f>
        <v/>
      </c>
      <c r="L89" s="218" t="str">
        <f t="shared" si="2"/>
        <v/>
      </c>
    </row>
    <row r="90" spans="2:12" ht="12.6" customHeight="1" x14ac:dyDescent="0.2">
      <c r="L90" s="218"/>
    </row>
    <row r="91" spans="2:12" ht="12.6" customHeight="1" x14ac:dyDescent="0.2">
      <c r="B91" s="214"/>
      <c r="C91" s="217"/>
      <c r="D91" s="241" t="str">
        <f>PedBerTPN!H15</f>
        <v/>
      </c>
      <c r="E91" s="221" t="str">
        <f>PedBerTPN!V15</f>
        <v/>
      </c>
      <c r="F91" s="221" t="str">
        <f>IF(E91="","",SUM(PedBerTPN!G15,PedBerTPN!G14)&amp;" ml")</f>
        <v/>
      </c>
      <c r="L91" s="218" t="str">
        <f t="shared" si="2"/>
        <v/>
      </c>
    </row>
    <row r="92" spans="2:12" ht="12.6" customHeight="1" x14ac:dyDescent="0.2">
      <c r="B92" s="214"/>
      <c r="C92" s="217"/>
      <c r="D92" s="217" t="str">
        <f>PedBerTPN!H15</f>
        <v/>
      </c>
      <c r="F92" s="212" t="str">
        <f>PedBerTPN!W15</f>
        <v/>
      </c>
      <c r="G92" s="212" t="str">
        <f>IF(PedBerTPN!W15="",""," + "&amp;PedBerTPN!W14)</f>
        <v/>
      </c>
      <c r="L92" s="218"/>
    </row>
    <row r="93" spans="2:12" ht="12.6" customHeight="1" x14ac:dyDescent="0.2">
      <c r="L93" s="218"/>
    </row>
    <row r="94" spans="2:12" ht="12.6" customHeight="1" x14ac:dyDescent="0.2">
      <c r="B94" s="214"/>
      <c r="C94" s="217"/>
      <c r="D94" s="242" t="str">
        <f>PedBerTPN!H16</f>
        <v/>
      </c>
      <c r="E94" s="221" t="str">
        <f>PedBerTPN!V16</f>
        <v/>
      </c>
      <c r="F94" s="221" t="str">
        <f>PedBerTPN!W16</f>
        <v/>
      </c>
      <c r="H94" s="208"/>
      <c r="L94" s="218"/>
    </row>
    <row r="95" spans="2:12" ht="12.6" customHeight="1" x14ac:dyDescent="0.2">
      <c r="B95" s="214"/>
      <c r="C95" s="217"/>
      <c r="D95" s="215" t="str">
        <f>PedBerTPN!H17</f>
        <v/>
      </c>
      <c r="E95" s="212" t="str">
        <f>PedBerTPN!V17</f>
        <v/>
      </c>
      <c r="F95" s="212" t="str">
        <f>PedBerTPN!W17</f>
        <v/>
      </c>
      <c r="H95" s="238"/>
      <c r="L95" s="218" t="str">
        <f>IF(D95=0,"D","")</f>
        <v/>
      </c>
    </row>
    <row r="96" spans="2:12" ht="12.6" customHeight="1" x14ac:dyDescent="0.2">
      <c r="B96" s="214"/>
      <c r="C96" s="217"/>
      <c r="D96" s="215" t="str">
        <f>PedBerTPN!H18</f>
        <v/>
      </c>
      <c r="E96" s="212" t="str">
        <f>PedBerTPN!V18</f>
        <v/>
      </c>
      <c r="F96" s="212" t="str">
        <f>PedBerTPN!W18</f>
        <v/>
      </c>
      <c r="H96" s="238"/>
      <c r="L96" s="218" t="str">
        <f>IF(D96=0,"D","")</f>
        <v/>
      </c>
    </row>
    <row r="97" spans="1:12" ht="12.6" customHeight="1" x14ac:dyDescent="0.2">
      <c r="B97" s="214"/>
      <c r="C97" s="217"/>
      <c r="D97" s="215" t="str">
        <f>PedBerTPN!H19</f>
        <v/>
      </c>
      <c r="E97" s="212" t="str">
        <f>PedBerTPN!V19</f>
        <v/>
      </c>
      <c r="F97" s="212" t="str">
        <f>PedBerTPN!W19</f>
        <v/>
      </c>
      <c r="H97" s="238"/>
      <c r="L97" s="218" t="str">
        <f>IF(D97=0,"D","")</f>
        <v/>
      </c>
    </row>
    <row r="98" spans="1:12" ht="12.6" customHeight="1" x14ac:dyDescent="0.2">
      <c r="C98" s="238"/>
      <c r="L98" s="218"/>
    </row>
    <row r="99" spans="1:12" ht="12.6" customHeight="1" x14ac:dyDescent="0.2">
      <c r="A99" s="221"/>
      <c r="B99" s="225"/>
      <c r="C99" s="226" t="s">
        <v>219</v>
      </c>
      <c r="D99" s="836">
        <f>_Ped_TPN_Opm</f>
        <v>0</v>
      </c>
      <c r="E99" s="837"/>
      <c r="F99" s="837"/>
      <c r="G99" s="837"/>
      <c r="H99" s="837"/>
      <c r="I99" s="837"/>
      <c r="J99" s="837"/>
      <c r="L99" s="218"/>
    </row>
    <row r="100" spans="1:12" ht="12.6" customHeight="1" x14ac:dyDescent="0.2">
      <c r="L100" s="218"/>
    </row>
    <row r="101" spans="1:12" ht="12.6" customHeight="1" x14ac:dyDescent="0.2">
      <c r="L101" s="218"/>
    </row>
    <row r="102" spans="1:12" ht="12.6" customHeight="1" x14ac:dyDescent="0.2">
      <c r="A102" s="221"/>
      <c r="B102" s="222" t="s">
        <v>274</v>
      </c>
      <c r="C102" s="229"/>
      <c r="D102" s="221"/>
      <c r="E102" s="221"/>
      <c r="F102" s="221"/>
      <c r="G102" s="221"/>
      <c r="H102" s="221"/>
      <c r="I102" s="221"/>
      <c r="J102" s="221"/>
      <c r="L102" s="218"/>
    </row>
    <row r="103" spans="1:12" ht="12.6" customHeight="1" x14ac:dyDescent="0.2">
      <c r="B103" s="214"/>
      <c r="C103" s="215" t="s">
        <v>259</v>
      </c>
      <c r="D103" s="212" t="str">
        <f>VLOOKUP(C103,Tbl_Ped_Totalen,13,FALSE )</f>
        <v>0 ml/kg</v>
      </c>
      <c r="E103" s="215" t="s">
        <v>175</v>
      </c>
      <c r="F103" s="212" t="str">
        <f>VLOOKUP(E103,Tbl_Ped_Totalen,13,FALSE )</f>
        <v>0 kcal/kg</v>
      </c>
      <c r="G103" s="215" t="s">
        <v>141</v>
      </c>
      <c r="H103" s="212" t="str">
        <f>VLOOKUP(G103,Tbl_Ped_Totalen,13,FALSE )</f>
        <v>0 mmol/kg</v>
      </c>
      <c r="I103" s="215" t="s">
        <v>808</v>
      </c>
      <c r="J103" s="212" t="str">
        <f>VLOOKUP(I103,Tbl_Ped_Totalen,13,FALSE )</f>
        <v>0 mmol/kg</v>
      </c>
      <c r="L103" s="218"/>
    </row>
    <row r="104" spans="1:12" ht="12.6" customHeight="1" x14ac:dyDescent="0.2">
      <c r="B104" s="214"/>
      <c r="C104" s="215" t="s">
        <v>144</v>
      </c>
      <c r="D104" s="212" t="str">
        <f>VLOOKUP(C104,Tbl_Ped_Totalen,13,FALSE )</f>
        <v>0 gram/kg</v>
      </c>
      <c r="E104" s="215" t="s">
        <v>260</v>
      </c>
      <c r="F104" s="212" t="str">
        <f>VLOOKUP(E104,Tbl_Ped_Totalen,13,FALSE )</f>
        <v>0 mmol/kg</v>
      </c>
      <c r="G104" s="215" t="s">
        <v>142</v>
      </c>
      <c r="H104" s="212" t="str">
        <f>VLOOKUP(G104,Tbl_Ped_Totalen,13,FALSE )</f>
        <v>0 mmol/kg</v>
      </c>
      <c r="I104" s="215" t="s">
        <v>807</v>
      </c>
      <c r="J104" s="212" t="str">
        <f>VLOOKUP(I104,Tbl_Ped_Totalen,13,FALSE )</f>
        <v>0 IE</v>
      </c>
      <c r="L104" s="218"/>
    </row>
    <row r="105" spans="1:12" ht="12.6" customHeight="1" x14ac:dyDescent="0.2">
      <c r="B105" s="214"/>
      <c r="C105" s="215" t="s">
        <v>140</v>
      </c>
      <c r="D105" s="212" t="str">
        <f>VLOOKUP(C105,Tbl_Ped_Totalen,13,FALSE )</f>
        <v>0 gram/kg</v>
      </c>
      <c r="E105" s="215" t="s">
        <v>261</v>
      </c>
      <c r="F105" s="212" t="str">
        <f>VLOOKUP(E105,Tbl_Ped_Totalen,13,FALSE )</f>
        <v>0 mmol/kg</v>
      </c>
      <c r="G105" s="215" t="s">
        <v>143</v>
      </c>
      <c r="H105" s="212" t="str">
        <f>VLOOKUP(G105,Tbl_Ped_Totalen,13,FALSE )</f>
        <v>0 mmol/kg</v>
      </c>
      <c r="I105" s="215"/>
      <c r="L105" s="218"/>
    </row>
    <row r="106" spans="1:12" ht="12.6" customHeight="1" x14ac:dyDescent="0.2">
      <c r="A106" s="221"/>
      <c r="B106" s="225"/>
      <c r="C106" s="243" t="s">
        <v>145</v>
      </c>
      <c r="D106" s="221" t="str">
        <f>VLOOKUP(C106,Tbl_Ped_Totalen,13,FALSE )</f>
        <v>0 gram/kg</v>
      </c>
      <c r="E106" s="243" t="s">
        <v>806</v>
      </c>
      <c r="F106" s="221" t="str">
        <f>VLOOKUP(E106,Tbl_Ped_Totalen,13,FALSE )</f>
        <v>0 mmol/kg</v>
      </c>
      <c r="G106" s="243"/>
      <c r="H106" s="221"/>
      <c r="I106" s="226"/>
      <c r="J106" s="221"/>
      <c r="L106" s="218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12"/>
      <c r="C114" s="152"/>
      <c r="L114" s="218"/>
    </row>
    <row r="115" spans="1:13" ht="10.5" customHeight="1" x14ac:dyDescent="0.2">
      <c r="B115" s="212"/>
      <c r="C115" s="152"/>
      <c r="L115" s="218"/>
    </row>
    <row r="116" spans="1:13" ht="10.5" customHeight="1" x14ac:dyDescent="0.2">
      <c r="B116" s="212"/>
      <c r="C116" s="152"/>
      <c r="L116" s="218"/>
    </row>
    <row r="117" spans="1:13" ht="10.5" customHeight="1" x14ac:dyDescent="0.2">
      <c r="B117" s="212"/>
      <c r="C117" s="152"/>
      <c r="L117" s="218"/>
    </row>
    <row r="118" spans="1:13" ht="10.5" customHeight="1" x14ac:dyDescent="0.2">
      <c r="B118" s="212"/>
      <c r="C118" s="152"/>
      <c r="L118" s="218"/>
    </row>
    <row r="119" spans="1:13" ht="10.5" customHeight="1" x14ac:dyDescent="0.2">
      <c r="B119" s="212"/>
      <c r="C119" s="152"/>
      <c r="L119" s="218"/>
    </row>
    <row r="120" spans="1:13" ht="10.5" customHeight="1" x14ac:dyDescent="0.2">
      <c r="B120" s="212"/>
      <c r="C120" s="152"/>
      <c r="L120" s="218"/>
    </row>
    <row r="121" spans="1:13" ht="10.5" customHeight="1" x14ac:dyDescent="0.2">
      <c r="B121" s="212"/>
      <c r="C121" s="152"/>
      <c r="L121" s="218"/>
      <c r="M121" s="213"/>
    </row>
    <row r="122" spans="1:13" ht="10.5" customHeight="1" x14ac:dyDescent="0.2">
      <c r="B122" s="212"/>
      <c r="C122" s="152"/>
      <c r="L122" s="218"/>
      <c r="M122" s="213"/>
    </row>
    <row r="123" spans="1:13" ht="10.5" customHeight="1" x14ac:dyDescent="0.2">
      <c r="B123" s="212"/>
      <c r="C123" s="152"/>
      <c r="L123" s="218"/>
      <c r="M123" s="213"/>
    </row>
    <row r="124" spans="1:13" ht="10.5" customHeight="1" x14ac:dyDescent="0.2">
      <c r="B124" s="212"/>
      <c r="C124" s="152"/>
      <c r="L124" s="218"/>
      <c r="M124" s="213"/>
    </row>
    <row r="125" spans="1:13" ht="10.5" customHeight="1" x14ac:dyDescent="0.2">
      <c r="B125" s="212"/>
      <c r="C125" s="152"/>
      <c r="L125" s="218"/>
      <c r="M125" s="213"/>
    </row>
    <row r="126" spans="1:13" ht="10.5" customHeight="1" x14ac:dyDescent="0.2">
      <c r="B126" s="212"/>
      <c r="C126" s="152"/>
      <c r="L126" s="218"/>
      <c r="M126" s="213"/>
    </row>
    <row r="127" spans="1:13" ht="10.5" customHeight="1" x14ac:dyDescent="0.2">
      <c r="B127" s="212"/>
      <c r="L127" s="218"/>
      <c r="M127" s="213"/>
    </row>
    <row r="128" spans="1:13" ht="20.100000000000001" customHeight="1" x14ac:dyDescent="0.2">
      <c r="B128" s="212"/>
      <c r="L128" s="218"/>
      <c r="M128" s="213"/>
    </row>
    <row r="129" spans="2:13" ht="30" customHeight="1" x14ac:dyDescent="0.2">
      <c r="B129" s="212"/>
      <c r="L129" s="218"/>
      <c r="M129" s="213"/>
    </row>
    <row r="130" spans="2:13" ht="30" customHeight="1" x14ac:dyDescent="0.2">
      <c r="B130" s="212"/>
      <c r="L130" s="218"/>
      <c r="M130" s="213"/>
    </row>
    <row r="131" spans="2:13" ht="30" customHeight="1" x14ac:dyDescent="0.2">
      <c r="B131" s="212"/>
      <c r="L131" s="218" t="str">
        <f>IF(C24=0,"D","")</f>
        <v/>
      </c>
      <c r="M131" s="213"/>
    </row>
    <row r="132" spans="2:13" ht="30" customHeight="1" x14ac:dyDescent="0.2">
      <c r="B132" s="212"/>
      <c r="L132" s="218" t="str">
        <f>IF(C25=0,"D","")</f>
        <v/>
      </c>
      <c r="M132" s="213"/>
    </row>
    <row r="133" spans="2:13" ht="30" customHeight="1" x14ac:dyDescent="0.2">
      <c r="B133" s="212"/>
      <c r="L133" s="218" t="str">
        <f>IF(C26=0,"D","")</f>
        <v/>
      </c>
      <c r="M133" s="213"/>
    </row>
    <row r="134" spans="2:13" ht="30" customHeight="1" x14ac:dyDescent="0.2">
      <c r="B134" s="212"/>
      <c r="L134" s="218" t="str">
        <f>IF(C27=0,"D","")</f>
        <v/>
      </c>
      <c r="M134" s="213"/>
    </row>
    <row r="135" spans="2:13" ht="30" customHeight="1" x14ac:dyDescent="0.2">
      <c r="B135" s="212"/>
      <c r="L135" s="218" t="e">
        <f>IF(#REF!=0,"D","")</f>
        <v>#REF!</v>
      </c>
      <c r="M135" s="213"/>
    </row>
    <row r="136" spans="2:13" ht="30" customHeight="1" x14ac:dyDescent="0.2">
      <c r="B136" s="212"/>
      <c r="L136" s="218" t="e">
        <f>IF(#REF!=0,"D","")</f>
        <v>#REF!</v>
      </c>
      <c r="M136" s="213"/>
    </row>
    <row r="137" spans="2:13" ht="30" customHeight="1" x14ac:dyDescent="0.2">
      <c r="B137" s="212"/>
      <c r="L137" s="218"/>
    </row>
    <row r="138" spans="2:13" ht="30" customHeight="1" x14ac:dyDescent="0.2">
      <c r="B138" s="212"/>
      <c r="L138" s="218"/>
    </row>
    <row r="139" spans="2:13" ht="30" customHeight="1" x14ac:dyDescent="0.2">
      <c r="B139" s="212"/>
      <c r="L139" s="218"/>
    </row>
    <row r="140" spans="2:13" ht="30" customHeight="1" x14ac:dyDescent="0.2">
      <c r="L140" s="218"/>
    </row>
    <row r="141" spans="2:13" ht="30" customHeight="1" x14ac:dyDescent="0.2">
      <c r="L141" s="218"/>
    </row>
    <row r="142" spans="2:13" ht="30" customHeight="1" x14ac:dyDescent="0.2">
      <c r="L142" s="218"/>
    </row>
    <row r="143" spans="2:13" ht="30" customHeight="1" x14ac:dyDescent="0.2">
      <c r="L143" s="218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7" type="noConversion"/>
  <pageMargins left="0.31" right="0.19" top="0.57999999999999996" bottom="0.17" header="0.25" footer="0.17"/>
  <pageSetup paperSize="9" orientation="portrait" r:id="rId2"/>
  <headerFooter alignWithMargins="0">
    <oddHeader>&amp;R&amp;"  ,Cursief"&amp;9Datum en tijd:  &amp;D, &amp;T&amp;CBed 2.4&amp;LAfsprakenProgramma 0.22.09-beta</oddHeader>
    <oddFooter xml:space="preserve">&amp;R      </oddFooter>
  </headerFooter>
  <rowBreaks count="2" manualBreakCount="2">
    <brk id="32" max="9" man="1"/>
    <brk id="74" max="16383" man="1"/>
  </row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F35"/>
  <sheetViews>
    <sheetView view="pageBreakPreview" zoomScale="60" zoomScaleNormal="100" workbookViewId="0">
      <selection activeCell="Q25" sqref="Q25"/>
    </sheetView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502" customWidth="1"/>
    <col min="23" max="32" width="2.7109375" style="497" customWidth="1"/>
  </cols>
  <sheetData>
    <row r="1" spans="1:32" s="151" customFormat="1" x14ac:dyDescent="0.2">
      <c r="G1" s="502">
        <v>3</v>
      </c>
      <c r="H1" s="502">
        <v>4</v>
      </c>
      <c r="I1" s="502">
        <v>5</v>
      </c>
      <c r="J1" s="502">
        <v>6</v>
      </c>
      <c r="K1" s="502">
        <v>7</v>
      </c>
      <c r="L1" s="502">
        <v>8</v>
      </c>
      <c r="M1" s="502">
        <v>9</v>
      </c>
      <c r="N1" s="502">
        <v>10</v>
      </c>
      <c r="O1" s="502">
        <v>11</v>
      </c>
      <c r="P1" s="502">
        <v>12</v>
      </c>
      <c r="Q1" s="502">
        <v>13</v>
      </c>
      <c r="R1" s="502">
        <v>14</v>
      </c>
      <c r="S1" s="502">
        <v>15</v>
      </c>
      <c r="T1" s="502">
        <v>16</v>
      </c>
      <c r="U1" s="502">
        <v>17</v>
      </c>
      <c r="V1" s="502">
        <v>18</v>
      </c>
      <c r="W1" s="502">
        <v>19</v>
      </c>
      <c r="X1" s="502">
        <v>20</v>
      </c>
      <c r="Y1" s="502">
        <v>21</v>
      </c>
      <c r="Z1" s="502">
        <v>22</v>
      </c>
      <c r="AA1" s="502">
        <v>23</v>
      </c>
      <c r="AB1" s="502">
        <v>24</v>
      </c>
      <c r="AC1" s="502">
        <v>25</v>
      </c>
      <c r="AD1" s="502">
        <v>26</v>
      </c>
      <c r="AE1" s="502">
        <v>27</v>
      </c>
      <c r="AF1" s="502">
        <v>28</v>
      </c>
    </row>
    <row r="2" spans="1:32" ht="19.5" customHeight="1" x14ac:dyDescent="0.2">
      <c r="A2" s="179"/>
      <c r="B2" t="str">
        <f>Txt_Pat_FullName</f>
        <v/>
      </c>
      <c r="E2" s="850" t="str">
        <f ca="1">Txt_Pat_GeboorteDat</f>
        <v/>
      </c>
      <c r="F2" s="850"/>
      <c r="G2" s="209" t="str">
        <f>Txt_Pat_Gewicht</f>
        <v>Gewicht:</v>
      </c>
      <c r="H2" s="503"/>
      <c r="O2" s="503" t="s">
        <v>135</v>
      </c>
      <c r="Q2" s="848" t="str">
        <f>IF(OR(_User_Type="Artsen",_User_Type="Supervisor"), _User_LastName&amp;", "&amp;_User_FirstName,"")</f>
        <v/>
      </c>
      <c r="R2" s="848"/>
      <c r="S2" s="848"/>
      <c r="T2" s="848"/>
      <c r="U2" s="848"/>
      <c r="V2" s="848"/>
      <c r="X2" s="497" t="s">
        <v>229</v>
      </c>
      <c r="AA2" s="849">
        <f ca="1">TODAY()</f>
        <v>43418</v>
      </c>
      <c r="AB2" s="849"/>
      <c r="AC2" s="849"/>
      <c r="AD2" s="849"/>
      <c r="AE2" s="849"/>
    </row>
    <row r="3" spans="1:32" ht="26.1" customHeight="1" x14ac:dyDescent="0.2">
      <c r="B3" s="16" t="s">
        <v>254</v>
      </c>
      <c r="C3" s="17" t="s">
        <v>255</v>
      </c>
      <c r="D3" s="17"/>
      <c r="E3" s="17"/>
      <c r="F3" s="18" t="s">
        <v>235</v>
      </c>
      <c r="G3" s="504">
        <v>10</v>
      </c>
      <c r="H3" s="504">
        <v>11</v>
      </c>
      <c r="I3" s="504">
        <v>12</v>
      </c>
      <c r="J3" s="504">
        <v>13</v>
      </c>
      <c r="K3" s="504">
        <v>14</v>
      </c>
      <c r="L3" s="504">
        <v>15</v>
      </c>
      <c r="M3" s="504">
        <v>16</v>
      </c>
      <c r="N3" s="504">
        <v>17</v>
      </c>
      <c r="O3" s="504">
        <v>18</v>
      </c>
      <c r="P3" s="504">
        <v>19</v>
      </c>
      <c r="Q3" s="505">
        <v>20</v>
      </c>
      <c r="R3" s="505">
        <v>21</v>
      </c>
      <c r="S3" s="505">
        <v>22</v>
      </c>
      <c r="T3" s="505">
        <v>23</v>
      </c>
      <c r="U3" s="505">
        <v>24</v>
      </c>
      <c r="V3" s="505">
        <v>1</v>
      </c>
      <c r="W3" s="504">
        <v>2</v>
      </c>
      <c r="X3" s="504">
        <v>3</v>
      </c>
      <c r="Y3" s="504">
        <v>4</v>
      </c>
      <c r="Z3" s="504">
        <v>5</v>
      </c>
      <c r="AA3" s="504">
        <v>6</v>
      </c>
      <c r="AB3" s="504">
        <v>7</v>
      </c>
      <c r="AC3" s="504">
        <v>8</v>
      </c>
      <c r="AD3" s="506"/>
      <c r="AE3" s="506"/>
      <c r="AF3" s="506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Z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ref="AA4:AF13" si="2">IF($C4="","",IF(VLOOKUP($C4,Tbl_Glob_MedFreq,AA$1,FALSE)=0,"",VLOOKUP($C4,Tbl_Glob_MedFreq,AA$1,FALSE)))</f>
        <v/>
      </c>
      <c r="AB4" s="499" t="str">
        <f t="shared" si="2"/>
        <v/>
      </c>
      <c r="AC4" s="507" t="str">
        <f t="shared" si="2"/>
        <v/>
      </c>
      <c r="AD4" s="499" t="str">
        <f t="shared" si="2"/>
        <v/>
      </c>
      <c r="AE4" s="507" t="str">
        <f t="shared" si="2"/>
        <v/>
      </c>
      <c r="AF4" s="499" t="str">
        <f t="shared" si="2"/>
        <v/>
      </c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2"/>
        <v/>
      </c>
      <c r="AB5" s="499" t="str">
        <f t="shared" si="2"/>
        <v/>
      </c>
      <c r="AC5" s="507" t="str">
        <f t="shared" si="2"/>
        <v/>
      </c>
      <c r="AD5" s="499" t="str">
        <f t="shared" si="2"/>
        <v/>
      </c>
      <c r="AE5" s="507" t="str">
        <f t="shared" si="2"/>
        <v/>
      </c>
      <c r="AF5" s="499" t="str">
        <f t="shared" si="2"/>
        <v/>
      </c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2"/>
        <v/>
      </c>
      <c r="AB6" s="499" t="str">
        <f t="shared" si="2"/>
        <v/>
      </c>
      <c r="AC6" s="507" t="str">
        <f t="shared" si="2"/>
        <v/>
      </c>
      <c r="AD6" s="499" t="str">
        <f t="shared" si="2"/>
        <v/>
      </c>
      <c r="AE6" s="507" t="str">
        <f t="shared" si="2"/>
        <v/>
      </c>
      <c r="AF6" s="499" t="str">
        <f t="shared" si="2"/>
        <v/>
      </c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2"/>
        <v/>
      </c>
      <c r="AB7" s="499" t="str">
        <f t="shared" si="2"/>
        <v/>
      </c>
      <c r="AC7" s="507" t="str">
        <f t="shared" si="2"/>
        <v/>
      </c>
      <c r="AD7" s="499" t="str">
        <f t="shared" si="2"/>
        <v/>
      </c>
      <c r="AE7" s="507" t="str">
        <f t="shared" si="2"/>
        <v/>
      </c>
      <c r="AF7" s="499" t="str">
        <f t="shared" si="2"/>
        <v/>
      </c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2"/>
        <v/>
      </c>
      <c r="AB8" s="499" t="str">
        <f t="shared" si="2"/>
        <v/>
      </c>
      <c r="AC8" s="507" t="str">
        <f t="shared" si="2"/>
        <v/>
      </c>
      <c r="AD8" s="499" t="str">
        <f t="shared" si="2"/>
        <v/>
      </c>
      <c r="AE8" s="507" t="str">
        <f t="shared" si="2"/>
        <v/>
      </c>
      <c r="AF8" s="499" t="str">
        <f t="shared" si="2"/>
        <v/>
      </c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2"/>
        <v/>
      </c>
      <c r="AB9" s="499" t="str">
        <f t="shared" si="2"/>
        <v/>
      </c>
      <c r="AC9" s="507" t="str">
        <f t="shared" si="2"/>
        <v/>
      </c>
      <c r="AD9" s="499" t="str">
        <f t="shared" si="2"/>
        <v/>
      </c>
      <c r="AE9" s="507" t="str">
        <f t="shared" si="2"/>
        <v/>
      </c>
      <c r="AF9" s="499" t="str">
        <f t="shared" si="2"/>
        <v/>
      </c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2"/>
        <v/>
      </c>
      <c r="AB10" s="499" t="str">
        <f t="shared" si="2"/>
        <v/>
      </c>
      <c r="AC10" s="507" t="str">
        <f t="shared" si="2"/>
        <v/>
      </c>
      <c r="AD10" s="499" t="str">
        <f t="shared" si="2"/>
        <v/>
      </c>
      <c r="AE10" s="507" t="str">
        <f t="shared" si="2"/>
        <v/>
      </c>
      <c r="AF10" s="499" t="str">
        <f t="shared" si="2"/>
        <v/>
      </c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2"/>
        <v/>
      </c>
      <c r="AB11" s="499" t="str">
        <f t="shared" si="2"/>
        <v/>
      </c>
      <c r="AC11" s="507" t="str">
        <f t="shared" si="2"/>
        <v/>
      </c>
      <c r="AD11" s="499" t="str">
        <f t="shared" si="2"/>
        <v/>
      </c>
      <c r="AE11" s="507" t="str">
        <f t="shared" si="2"/>
        <v/>
      </c>
      <c r="AF11" s="499" t="str">
        <f t="shared" si="2"/>
        <v/>
      </c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2"/>
        <v/>
      </c>
      <c r="AB12" s="499" t="str">
        <f t="shared" si="2"/>
        <v/>
      </c>
      <c r="AC12" s="507" t="str">
        <f t="shared" si="2"/>
        <v/>
      </c>
      <c r="AD12" s="499" t="str">
        <f t="shared" si="2"/>
        <v/>
      </c>
      <c r="AE12" s="507" t="str">
        <f t="shared" si="2"/>
        <v/>
      </c>
      <c r="AF12" s="499" t="str">
        <f t="shared" si="2"/>
        <v/>
      </c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2"/>
        <v/>
      </c>
      <c r="AB13" s="499" t="str">
        <f t="shared" si="2"/>
        <v/>
      </c>
      <c r="AC13" s="507" t="str">
        <f t="shared" si="2"/>
        <v/>
      </c>
      <c r="AD13" s="499" t="str">
        <f t="shared" si="2"/>
        <v/>
      </c>
      <c r="AE13" s="507" t="str">
        <f t="shared" si="2"/>
        <v/>
      </c>
      <c r="AF13" s="499" t="str">
        <f t="shared" si="2"/>
        <v/>
      </c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3">IF($C14="","",IF(VLOOKUP($C14,Tbl_Glob_MedFreq,G$1,FALSE)=0,"",VLOOKUP($C14,Tbl_Glob_MedFreq,G$1,FALSE)))</f>
        <v/>
      </c>
      <c r="H14" s="499" t="str">
        <f t="shared" si="3"/>
        <v/>
      </c>
      <c r="I14" s="507" t="str">
        <f t="shared" si="3"/>
        <v/>
      </c>
      <c r="J14" s="499" t="str">
        <f t="shared" si="3"/>
        <v/>
      </c>
      <c r="K14" s="507" t="str">
        <f t="shared" si="3"/>
        <v/>
      </c>
      <c r="L14" s="499" t="str">
        <f t="shared" si="3"/>
        <v/>
      </c>
      <c r="M14" s="507" t="str">
        <f t="shared" si="3"/>
        <v/>
      </c>
      <c r="N14" s="499" t="str">
        <f t="shared" si="3"/>
        <v/>
      </c>
      <c r="O14" s="507" t="str">
        <f t="shared" si="3"/>
        <v/>
      </c>
      <c r="P14" s="499" t="str">
        <f t="shared" si="3"/>
        <v/>
      </c>
      <c r="Q14" s="507" t="str">
        <f t="shared" ref="Q14:Z24" si="4">IF($C14="","",IF(VLOOKUP($C14,Tbl_Glob_MedFreq,Q$1,FALSE)=0,"",VLOOKUP($C14,Tbl_Glob_MedFreq,Q$1,FALSE)))</f>
        <v/>
      </c>
      <c r="R14" s="499" t="str">
        <f t="shared" si="4"/>
        <v/>
      </c>
      <c r="S14" s="507" t="str">
        <f t="shared" si="4"/>
        <v/>
      </c>
      <c r="T14" s="499" t="str">
        <f t="shared" si="4"/>
        <v/>
      </c>
      <c r="U14" s="507" t="str">
        <f t="shared" si="4"/>
        <v/>
      </c>
      <c r="V14" s="499" t="str">
        <f t="shared" si="4"/>
        <v/>
      </c>
      <c r="W14" s="507" t="str">
        <f t="shared" si="4"/>
        <v/>
      </c>
      <c r="X14" s="499" t="str">
        <f t="shared" si="4"/>
        <v/>
      </c>
      <c r="Y14" s="507" t="str">
        <f t="shared" si="4"/>
        <v/>
      </c>
      <c r="Z14" s="499" t="str">
        <f t="shared" si="4"/>
        <v/>
      </c>
      <c r="AA14" s="507" t="str">
        <f t="shared" ref="AA14:AF24" si="5">IF($C14="","",IF(VLOOKUP($C14,Tbl_Glob_MedFreq,AA$1,FALSE)=0,"",VLOOKUP($C14,Tbl_Glob_MedFreq,AA$1,FALSE)))</f>
        <v/>
      </c>
      <c r="AB14" s="499" t="str">
        <f t="shared" si="5"/>
        <v/>
      </c>
      <c r="AC14" s="507" t="str">
        <f t="shared" si="5"/>
        <v/>
      </c>
      <c r="AD14" s="499" t="str">
        <f t="shared" si="5"/>
        <v/>
      </c>
      <c r="AE14" s="507" t="str">
        <f t="shared" si="5"/>
        <v/>
      </c>
      <c r="AF14" s="499" t="str">
        <f t="shared" si="5"/>
        <v/>
      </c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3"/>
        <v/>
      </c>
      <c r="H15" s="499" t="str">
        <f t="shared" si="3"/>
        <v/>
      </c>
      <c r="I15" s="507" t="str">
        <f t="shared" si="3"/>
        <v/>
      </c>
      <c r="J15" s="499" t="str">
        <f t="shared" si="3"/>
        <v/>
      </c>
      <c r="K15" s="507" t="str">
        <f t="shared" si="3"/>
        <v/>
      </c>
      <c r="L15" s="499" t="str">
        <f t="shared" si="3"/>
        <v/>
      </c>
      <c r="M15" s="507" t="str">
        <f t="shared" si="3"/>
        <v/>
      </c>
      <c r="N15" s="499" t="str">
        <f t="shared" si="3"/>
        <v/>
      </c>
      <c r="O15" s="507" t="str">
        <f t="shared" si="3"/>
        <v/>
      </c>
      <c r="P15" s="499" t="str">
        <f t="shared" si="3"/>
        <v/>
      </c>
      <c r="Q15" s="507" t="str">
        <f t="shared" si="4"/>
        <v/>
      </c>
      <c r="R15" s="499" t="str">
        <f t="shared" si="4"/>
        <v/>
      </c>
      <c r="S15" s="507" t="str">
        <f t="shared" si="4"/>
        <v/>
      </c>
      <c r="T15" s="499" t="str">
        <f t="shared" si="4"/>
        <v/>
      </c>
      <c r="U15" s="507" t="str">
        <f t="shared" si="4"/>
        <v/>
      </c>
      <c r="V15" s="499" t="str">
        <f t="shared" si="4"/>
        <v/>
      </c>
      <c r="W15" s="507" t="str">
        <f t="shared" si="4"/>
        <v/>
      </c>
      <c r="X15" s="499" t="str">
        <f t="shared" si="4"/>
        <v/>
      </c>
      <c r="Y15" s="507" t="str">
        <f t="shared" si="4"/>
        <v/>
      </c>
      <c r="Z15" s="499" t="str">
        <f t="shared" si="4"/>
        <v/>
      </c>
      <c r="AA15" s="507" t="str">
        <f t="shared" si="5"/>
        <v/>
      </c>
      <c r="AB15" s="499" t="str">
        <f t="shared" si="5"/>
        <v/>
      </c>
      <c r="AC15" s="507" t="str">
        <f t="shared" si="5"/>
        <v/>
      </c>
      <c r="AD15" s="499" t="str">
        <f t="shared" si="5"/>
        <v/>
      </c>
      <c r="AE15" s="507" t="str">
        <f t="shared" si="5"/>
        <v/>
      </c>
      <c r="AF15" s="499" t="str">
        <f t="shared" si="5"/>
        <v/>
      </c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3"/>
        <v/>
      </c>
      <c r="H16" s="499" t="str">
        <f t="shared" si="3"/>
        <v/>
      </c>
      <c r="I16" s="507" t="str">
        <f t="shared" si="3"/>
        <v/>
      </c>
      <c r="J16" s="499" t="str">
        <f t="shared" si="3"/>
        <v/>
      </c>
      <c r="K16" s="507" t="str">
        <f t="shared" si="3"/>
        <v/>
      </c>
      <c r="L16" s="499" t="str">
        <f t="shared" si="3"/>
        <v/>
      </c>
      <c r="M16" s="507" t="str">
        <f t="shared" si="3"/>
        <v/>
      </c>
      <c r="N16" s="499" t="str">
        <f t="shared" si="3"/>
        <v/>
      </c>
      <c r="O16" s="507" t="str">
        <f t="shared" si="3"/>
        <v/>
      </c>
      <c r="P16" s="499" t="str">
        <f t="shared" si="3"/>
        <v/>
      </c>
      <c r="Q16" s="507" t="str">
        <f t="shared" si="4"/>
        <v/>
      </c>
      <c r="R16" s="499" t="str">
        <f t="shared" si="4"/>
        <v/>
      </c>
      <c r="S16" s="507" t="str">
        <f t="shared" si="4"/>
        <v/>
      </c>
      <c r="T16" s="499" t="str">
        <f t="shared" si="4"/>
        <v/>
      </c>
      <c r="U16" s="507" t="str">
        <f t="shared" si="4"/>
        <v/>
      </c>
      <c r="V16" s="499" t="str">
        <f t="shared" si="4"/>
        <v/>
      </c>
      <c r="W16" s="507" t="str">
        <f t="shared" si="4"/>
        <v/>
      </c>
      <c r="X16" s="499" t="str">
        <f t="shared" si="4"/>
        <v/>
      </c>
      <c r="Y16" s="507" t="str">
        <f t="shared" si="4"/>
        <v/>
      </c>
      <c r="Z16" s="499" t="str">
        <f t="shared" si="4"/>
        <v/>
      </c>
      <c r="AA16" s="507" t="str">
        <f t="shared" si="5"/>
        <v/>
      </c>
      <c r="AB16" s="499" t="str">
        <f t="shared" si="5"/>
        <v/>
      </c>
      <c r="AC16" s="507" t="str">
        <f t="shared" si="5"/>
        <v/>
      </c>
      <c r="AD16" s="499" t="str">
        <f t="shared" si="5"/>
        <v/>
      </c>
      <c r="AE16" s="507" t="str">
        <f t="shared" si="5"/>
        <v/>
      </c>
      <c r="AF16" s="499" t="str">
        <f t="shared" si="5"/>
        <v/>
      </c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3"/>
        <v/>
      </c>
      <c r="H17" s="499" t="str">
        <f t="shared" si="3"/>
        <v/>
      </c>
      <c r="I17" s="507" t="str">
        <f t="shared" si="3"/>
        <v/>
      </c>
      <c r="J17" s="499" t="str">
        <f t="shared" si="3"/>
        <v/>
      </c>
      <c r="K17" s="507" t="str">
        <f t="shared" si="3"/>
        <v/>
      </c>
      <c r="L17" s="499" t="str">
        <f t="shared" si="3"/>
        <v/>
      </c>
      <c r="M17" s="507" t="str">
        <f t="shared" si="3"/>
        <v/>
      </c>
      <c r="N17" s="499" t="str">
        <f t="shared" si="3"/>
        <v/>
      </c>
      <c r="O17" s="507" t="str">
        <f t="shared" si="3"/>
        <v/>
      </c>
      <c r="P17" s="499" t="str">
        <f t="shared" si="3"/>
        <v/>
      </c>
      <c r="Q17" s="507" t="str">
        <f t="shared" si="4"/>
        <v/>
      </c>
      <c r="R17" s="499" t="str">
        <f t="shared" si="4"/>
        <v/>
      </c>
      <c r="S17" s="507" t="str">
        <f t="shared" si="4"/>
        <v/>
      </c>
      <c r="T17" s="499" t="str">
        <f t="shared" si="4"/>
        <v/>
      </c>
      <c r="U17" s="507" t="str">
        <f t="shared" si="4"/>
        <v/>
      </c>
      <c r="V17" s="499" t="str">
        <f t="shared" si="4"/>
        <v/>
      </c>
      <c r="W17" s="507" t="str">
        <f t="shared" si="4"/>
        <v/>
      </c>
      <c r="X17" s="499" t="str">
        <f t="shared" si="4"/>
        <v/>
      </c>
      <c r="Y17" s="507" t="str">
        <f t="shared" si="4"/>
        <v/>
      </c>
      <c r="Z17" s="499" t="str">
        <f t="shared" si="4"/>
        <v/>
      </c>
      <c r="AA17" s="507" t="str">
        <f t="shared" si="5"/>
        <v/>
      </c>
      <c r="AB17" s="499" t="str">
        <f t="shared" si="5"/>
        <v/>
      </c>
      <c r="AC17" s="507" t="str">
        <f t="shared" si="5"/>
        <v/>
      </c>
      <c r="AD17" s="499" t="str">
        <f t="shared" si="5"/>
        <v/>
      </c>
      <c r="AE17" s="507" t="str">
        <f t="shared" si="5"/>
        <v/>
      </c>
      <c r="AF17" s="499" t="str">
        <f t="shared" si="5"/>
        <v/>
      </c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3"/>
        <v/>
      </c>
      <c r="H18" s="499" t="str">
        <f t="shared" si="3"/>
        <v/>
      </c>
      <c r="I18" s="507" t="str">
        <f t="shared" si="3"/>
        <v/>
      </c>
      <c r="J18" s="499" t="str">
        <f t="shared" si="3"/>
        <v/>
      </c>
      <c r="K18" s="507" t="str">
        <f t="shared" si="3"/>
        <v/>
      </c>
      <c r="L18" s="499" t="str">
        <f t="shared" si="3"/>
        <v/>
      </c>
      <c r="M18" s="507" t="str">
        <f t="shared" si="3"/>
        <v/>
      </c>
      <c r="N18" s="499" t="str">
        <f t="shared" si="3"/>
        <v/>
      </c>
      <c r="O18" s="507" t="str">
        <f t="shared" si="3"/>
        <v/>
      </c>
      <c r="P18" s="499" t="str">
        <f t="shared" si="3"/>
        <v/>
      </c>
      <c r="Q18" s="507" t="str">
        <f t="shared" si="4"/>
        <v/>
      </c>
      <c r="R18" s="499" t="str">
        <f t="shared" si="4"/>
        <v/>
      </c>
      <c r="S18" s="507" t="str">
        <f t="shared" si="4"/>
        <v/>
      </c>
      <c r="T18" s="499" t="str">
        <f t="shared" si="4"/>
        <v/>
      </c>
      <c r="U18" s="507" t="str">
        <f t="shared" si="4"/>
        <v/>
      </c>
      <c r="V18" s="499" t="str">
        <f t="shared" si="4"/>
        <v/>
      </c>
      <c r="W18" s="507" t="str">
        <f t="shared" si="4"/>
        <v/>
      </c>
      <c r="X18" s="499" t="str">
        <f t="shared" si="4"/>
        <v/>
      </c>
      <c r="Y18" s="507" t="str">
        <f t="shared" si="4"/>
        <v/>
      </c>
      <c r="Z18" s="499" t="str">
        <f t="shared" si="4"/>
        <v/>
      </c>
      <c r="AA18" s="507" t="str">
        <f t="shared" si="5"/>
        <v/>
      </c>
      <c r="AB18" s="499" t="str">
        <f t="shared" si="5"/>
        <v/>
      </c>
      <c r="AC18" s="507" t="str">
        <f t="shared" si="5"/>
        <v/>
      </c>
      <c r="AD18" s="499" t="str">
        <f t="shared" si="5"/>
        <v/>
      </c>
      <c r="AE18" s="507" t="str">
        <f t="shared" si="5"/>
        <v/>
      </c>
      <c r="AF18" s="499" t="str">
        <f t="shared" si="5"/>
        <v/>
      </c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3"/>
        <v/>
      </c>
      <c r="H19" s="499" t="str">
        <f t="shared" si="3"/>
        <v/>
      </c>
      <c r="I19" s="507" t="str">
        <f t="shared" si="3"/>
        <v/>
      </c>
      <c r="J19" s="499" t="str">
        <f t="shared" si="3"/>
        <v/>
      </c>
      <c r="K19" s="507" t="str">
        <f t="shared" si="3"/>
        <v/>
      </c>
      <c r="L19" s="499" t="str">
        <f t="shared" si="3"/>
        <v/>
      </c>
      <c r="M19" s="507" t="str">
        <f t="shared" si="3"/>
        <v/>
      </c>
      <c r="N19" s="499" t="str">
        <f t="shared" si="3"/>
        <v/>
      </c>
      <c r="O19" s="507" t="str">
        <f t="shared" si="3"/>
        <v/>
      </c>
      <c r="P19" s="499" t="str">
        <f t="shared" si="3"/>
        <v/>
      </c>
      <c r="Q19" s="507" t="str">
        <f t="shared" si="4"/>
        <v/>
      </c>
      <c r="R19" s="499" t="str">
        <f t="shared" si="4"/>
        <v/>
      </c>
      <c r="S19" s="507" t="str">
        <f t="shared" si="4"/>
        <v/>
      </c>
      <c r="T19" s="499" t="str">
        <f t="shared" si="4"/>
        <v/>
      </c>
      <c r="U19" s="507" t="str">
        <f t="shared" si="4"/>
        <v/>
      </c>
      <c r="V19" s="499" t="str">
        <f t="shared" si="4"/>
        <v/>
      </c>
      <c r="W19" s="507" t="str">
        <f t="shared" si="4"/>
        <v/>
      </c>
      <c r="X19" s="499" t="str">
        <f t="shared" si="4"/>
        <v/>
      </c>
      <c r="Y19" s="507" t="str">
        <f t="shared" si="4"/>
        <v/>
      </c>
      <c r="Z19" s="499" t="str">
        <f t="shared" si="4"/>
        <v/>
      </c>
      <c r="AA19" s="507" t="str">
        <f t="shared" si="5"/>
        <v/>
      </c>
      <c r="AB19" s="499" t="str">
        <f t="shared" si="5"/>
        <v/>
      </c>
      <c r="AC19" s="507" t="str">
        <f t="shared" si="5"/>
        <v/>
      </c>
      <c r="AD19" s="499" t="str">
        <f t="shared" si="5"/>
        <v/>
      </c>
      <c r="AE19" s="507" t="str">
        <f t="shared" si="5"/>
        <v/>
      </c>
      <c r="AF19" s="499" t="str">
        <f t="shared" si="5"/>
        <v/>
      </c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3"/>
        <v/>
      </c>
      <c r="H20" s="499" t="str">
        <f t="shared" si="3"/>
        <v/>
      </c>
      <c r="I20" s="507" t="str">
        <f t="shared" si="3"/>
        <v/>
      </c>
      <c r="J20" s="499" t="str">
        <f t="shared" si="3"/>
        <v/>
      </c>
      <c r="K20" s="507" t="str">
        <f t="shared" si="3"/>
        <v/>
      </c>
      <c r="L20" s="499" t="str">
        <f t="shared" si="3"/>
        <v/>
      </c>
      <c r="M20" s="507" t="str">
        <f t="shared" si="3"/>
        <v/>
      </c>
      <c r="N20" s="499" t="str">
        <f t="shared" si="3"/>
        <v/>
      </c>
      <c r="O20" s="507" t="str">
        <f t="shared" si="3"/>
        <v/>
      </c>
      <c r="P20" s="499" t="str">
        <f t="shared" si="3"/>
        <v/>
      </c>
      <c r="Q20" s="507" t="str">
        <f t="shared" si="4"/>
        <v/>
      </c>
      <c r="R20" s="499" t="str">
        <f t="shared" si="4"/>
        <v/>
      </c>
      <c r="S20" s="507" t="str">
        <f t="shared" si="4"/>
        <v/>
      </c>
      <c r="T20" s="499" t="str">
        <f t="shared" si="4"/>
        <v/>
      </c>
      <c r="U20" s="507" t="str">
        <f t="shared" si="4"/>
        <v/>
      </c>
      <c r="V20" s="499" t="str">
        <f t="shared" si="4"/>
        <v/>
      </c>
      <c r="W20" s="507" t="str">
        <f t="shared" si="4"/>
        <v/>
      </c>
      <c r="X20" s="499" t="str">
        <f t="shared" si="4"/>
        <v/>
      </c>
      <c r="Y20" s="507" t="str">
        <f t="shared" si="4"/>
        <v/>
      </c>
      <c r="Z20" s="499" t="str">
        <f t="shared" si="4"/>
        <v/>
      </c>
      <c r="AA20" s="507" t="str">
        <f t="shared" si="5"/>
        <v/>
      </c>
      <c r="AB20" s="499" t="str">
        <f t="shared" si="5"/>
        <v/>
      </c>
      <c r="AC20" s="507" t="str">
        <f t="shared" si="5"/>
        <v/>
      </c>
      <c r="AD20" s="499" t="str">
        <f t="shared" si="5"/>
        <v/>
      </c>
      <c r="AE20" s="507" t="str">
        <f t="shared" si="5"/>
        <v/>
      </c>
      <c r="AF20" s="499" t="str">
        <f t="shared" si="5"/>
        <v/>
      </c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3"/>
        <v/>
      </c>
      <c r="H21" s="499" t="str">
        <f t="shared" si="3"/>
        <v/>
      </c>
      <c r="I21" s="507" t="str">
        <f t="shared" si="3"/>
        <v/>
      </c>
      <c r="J21" s="499" t="str">
        <f t="shared" si="3"/>
        <v/>
      </c>
      <c r="K21" s="507" t="str">
        <f t="shared" si="3"/>
        <v/>
      </c>
      <c r="L21" s="499" t="str">
        <f t="shared" si="3"/>
        <v/>
      </c>
      <c r="M21" s="507" t="str">
        <f t="shared" si="3"/>
        <v/>
      </c>
      <c r="N21" s="499" t="str">
        <f t="shared" si="3"/>
        <v/>
      </c>
      <c r="O21" s="507" t="str">
        <f t="shared" si="3"/>
        <v/>
      </c>
      <c r="P21" s="499" t="str">
        <f t="shared" si="3"/>
        <v/>
      </c>
      <c r="Q21" s="507" t="str">
        <f t="shared" si="4"/>
        <v/>
      </c>
      <c r="R21" s="499" t="str">
        <f t="shared" si="4"/>
        <v/>
      </c>
      <c r="S21" s="507" t="str">
        <f t="shared" si="4"/>
        <v/>
      </c>
      <c r="T21" s="499" t="str">
        <f t="shared" si="4"/>
        <v/>
      </c>
      <c r="U21" s="507" t="str">
        <f t="shared" si="4"/>
        <v/>
      </c>
      <c r="V21" s="499" t="str">
        <f t="shared" si="4"/>
        <v/>
      </c>
      <c r="W21" s="507" t="str">
        <f t="shared" si="4"/>
        <v/>
      </c>
      <c r="X21" s="499" t="str">
        <f t="shared" si="4"/>
        <v/>
      </c>
      <c r="Y21" s="507" t="str">
        <f t="shared" si="4"/>
        <v/>
      </c>
      <c r="Z21" s="499" t="str">
        <f t="shared" si="4"/>
        <v/>
      </c>
      <c r="AA21" s="507" t="str">
        <f t="shared" si="5"/>
        <v/>
      </c>
      <c r="AB21" s="499" t="str">
        <f t="shared" si="5"/>
        <v/>
      </c>
      <c r="AC21" s="507" t="str">
        <f t="shared" si="5"/>
        <v/>
      </c>
      <c r="AD21" s="499" t="str">
        <f t="shared" si="5"/>
        <v/>
      </c>
      <c r="AE21" s="507" t="str">
        <f t="shared" si="5"/>
        <v/>
      </c>
      <c r="AF21" s="499" t="str">
        <f t="shared" si="5"/>
        <v/>
      </c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3"/>
        <v/>
      </c>
      <c r="H22" s="499" t="str">
        <f t="shared" si="3"/>
        <v/>
      </c>
      <c r="I22" s="507" t="str">
        <f t="shared" si="3"/>
        <v/>
      </c>
      <c r="J22" s="499" t="str">
        <f t="shared" si="3"/>
        <v/>
      </c>
      <c r="K22" s="507" t="str">
        <f t="shared" si="3"/>
        <v/>
      </c>
      <c r="L22" s="499" t="str">
        <f t="shared" si="3"/>
        <v/>
      </c>
      <c r="M22" s="507" t="str">
        <f t="shared" si="3"/>
        <v/>
      </c>
      <c r="N22" s="499" t="str">
        <f t="shared" si="3"/>
        <v/>
      </c>
      <c r="O22" s="507" t="str">
        <f t="shared" si="3"/>
        <v/>
      </c>
      <c r="P22" s="499" t="str">
        <f t="shared" si="3"/>
        <v/>
      </c>
      <c r="Q22" s="507" t="str">
        <f t="shared" si="4"/>
        <v/>
      </c>
      <c r="R22" s="499" t="str">
        <f t="shared" si="4"/>
        <v/>
      </c>
      <c r="S22" s="507" t="str">
        <f t="shared" si="4"/>
        <v/>
      </c>
      <c r="T22" s="499" t="str">
        <f t="shared" si="4"/>
        <v/>
      </c>
      <c r="U22" s="507" t="str">
        <f t="shared" si="4"/>
        <v/>
      </c>
      <c r="V22" s="499" t="str">
        <f t="shared" si="4"/>
        <v/>
      </c>
      <c r="W22" s="507" t="str">
        <f t="shared" si="4"/>
        <v/>
      </c>
      <c r="X22" s="499" t="str">
        <f t="shared" si="4"/>
        <v/>
      </c>
      <c r="Y22" s="507" t="str">
        <f t="shared" si="4"/>
        <v/>
      </c>
      <c r="Z22" s="499" t="str">
        <f t="shared" si="4"/>
        <v/>
      </c>
      <c r="AA22" s="507" t="str">
        <f t="shared" si="5"/>
        <v/>
      </c>
      <c r="AB22" s="499" t="str">
        <f t="shared" si="5"/>
        <v/>
      </c>
      <c r="AC22" s="507" t="str">
        <f t="shared" si="5"/>
        <v/>
      </c>
      <c r="AD22" s="499" t="str">
        <f t="shared" si="5"/>
        <v/>
      </c>
      <c r="AE22" s="507" t="str">
        <f t="shared" si="5"/>
        <v/>
      </c>
      <c r="AF22" s="499" t="str">
        <f t="shared" si="5"/>
        <v/>
      </c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3"/>
        <v/>
      </c>
      <c r="H23" s="499" t="str">
        <f t="shared" si="3"/>
        <v/>
      </c>
      <c r="I23" s="507" t="str">
        <f t="shared" si="3"/>
        <v/>
      </c>
      <c r="J23" s="499" t="str">
        <f t="shared" si="3"/>
        <v/>
      </c>
      <c r="K23" s="507" t="str">
        <f t="shared" si="3"/>
        <v/>
      </c>
      <c r="L23" s="499" t="str">
        <f t="shared" si="3"/>
        <v/>
      </c>
      <c r="M23" s="507" t="str">
        <f t="shared" si="3"/>
        <v/>
      </c>
      <c r="N23" s="499" t="str">
        <f t="shared" si="3"/>
        <v/>
      </c>
      <c r="O23" s="507" t="str">
        <f t="shared" si="3"/>
        <v/>
      </c>
      <c r="P23" s="499" t="str">
        <f t="shared" si="3"/>
        <v/>
      </c>
      <c r="Q23" s="507" t="str">
        <f t="shared" si="4"/>
        <v/>
      </c>
      <c r="R23" s="499" t="str">
        <f t="shared" si="4"/>
        <v/>
      </c>
      <c r="S23" s="507" t="str">
        <f t="shared" si="4"/>
        <v/>
      </c>
      <c r="T23" s="499" t="str">
        <f t="shared" si="4"/>
        <v/>
      </c>
      <c r="U23" s="507" t="str">
        <f t="shared" si="4"/>
        <v/>
      </c>
      <c r="V23" s="499" t="str">
        <f t="shared" si="4"/>
        <v/>
      </c>
      <c r="W23" s="507" t="str">
        <f t="shared" si="4"/>
        <v/>
      </c>
      <c r="X23" s="499" t="str">
        <f t="shared" si="4"/>
        <v/>
      </c>
      <c r="Y23" s="507" t="str">
        <f t="shared" si="4"/>
        <v/>
      </c>
      <c r="Z23" s="499" t="str">
        <f t="shared" si="4"/>
        <v/>
      </c>
      <c r="AA23" s="507" t="str">
        <f t="shared" si="5"/>
        <v/>
      </c>
      <c r="AB23" s="499" t="str">
        <f t="shared" si="5"/>
        <v/>
      </c>
      <c r="AC23" s="507" t="str">
        <f t="shared" si="5"/>
        <v/>
      </c>
      <c r="AD23" s="499" t="str">
        <f t="shared" si="5"/>
        <v/>
      </c>
      <c r="AE23" s="507" t="str">
        <f t="shared" si="5"/>
        <v/>
      </c>
      <c r="AF23" s="499" t="str">
        <f t="shared" si="5"/>
        <v/>
      </c>
    </row>
    <row r="24" spans="2:32" s="151" customFormat="1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3"/>
        <v/>
      </c>
      <c r="H24" s="499" t="str">
        <f t="shared" si="3"/>
        <v/>
      </c>
      <c r="I24" s="507" t="str">
        <f t="shared" si="3"/>
        <v/>
      </c>
      <c r="J24" s="499" t="str">
        <f t="shared" si="3"/>
        <v/>
      </c>
      <c r="K24" s="507" t="str">
        <f t="shared" si="3"/>
        <v/>
      </c>
      <c r="L24" s="499" t="str">
        <f t="shared" si="3"/>
        <v/>
      </c>
      <c r="M24" s="507" t="str">
        <f t="shared" si="3"/>
        <v/>
      </c>
      <c r="N24" s="499" t="str">
        <f t="shared" si="3"/>
        <v/>
      </c>
      <c r="O24" s="507" t="str">
        <f t="shared" si="3"/>
        <v/>
      </c>
      <c r="P24" s="499" t="str">
        <f t="shared" si="3"/>
        <v/>
      </c>
      <c r="Q24" s="507" t="str">
        <f t="shared" si="4"/>
        <v/>
      </c>
      <c r="R24" s="499" t="str">
        <f t="shared" si="4"/>
        <v/>
      </c>
      <c r="S24" s="507" t="str">
        <f t="shared" si="4"/>
        <v/>
      </c>
      <c r="T24" s="499" t="str">
        <f t="shared" si="4"/>
        <v/>
      </c>
      <c r="U24" s="507" t="str">
        <f t="shared" si="4"/>
        <v/>
      </c>
      <c r="V24" s="499" t="str">
        <f t="shared" si="4"/>
        <v/>
      </c>
      <c r="W24" s="507" t="str">
        <f t="shared" si="4"/>
        <v/>
      </c>
      <c r="X24" s="499" t="str">
        <f t="shared" si="4"/>
        <v/>
      </c>
      <c r="Y24" s="507" t="str">
        <f t="shared" si="4"/>
        <v/>
      </c>
      <c r="Z24" s="499" t="str">
        <f t="shared" si="4"/>
        <v/>
      </c>
      <c r="AA24" s="507" t="str">
        <f t="shared" si="5"/>
        <v/>
      </c>
      <c r="AB24" s="499" t="str">
        <f t="shared" si="5"/>
        <v/>
      </c>
      <c r="AC24" s="507" t="str">
        <f t="shared" si="5"/>
        <v/>
      </c>
      <c r="AD24" s="499" t="str">
        <f t="shared" si="5"/>
        <v/>
      </c>
      <c r="AE24" s="507" t="str">
        <f t="shared" si="5"/>
        <v/>
      </c>
      <c r="AF24" s="499" t="str">
        <f t="shared" si="5"/>
        <v/>
      </c>
    </row>
    <row r="25" spans="2:32" s="151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135</v>
      </c>
      <c r="P25"/>
      <c r="Q25" s="771" t="str">
        <f>IF(OR(_User_Type="Artsen",_User_Type="Supervisor"), _User_LastName&amp;", "&amp;_User_FirstName,"")</f>
        <v/>
      </c>
      <c r="R25"/>
      <c r="S25"/>
      <c r="T25"/>
      <c r="U25"/>
      <c r="V25"/>
      <c r="W25"/>
      <c r="X25" t="s">
        <v>229</v>
      </c>
      <c r="Y25"/>
      <c r="Z25"/>
      <c r="AA25" s="851">
        <f ca="1">TODAY()</f>
        <v>43418</v>
      </c>
      <c r="AB25" s="851"/>
      <c r="AC25" s="851"/>
      <c r="AD25" s="851"/>
      <c r="AE25"/>
      <c r="AF25"/>
    </row>
    <row r="26" spans="2:32" s="151" customFormat="1" ht="26.1" customHeight="1" x14ac:dyDescent="0.2">
      <c r="B26" s="16" t="s">
        <v>254</v>
      </c>
      <c r="C26" s="17" t="s">
        <v>255</v>
      </c>
      <c r="D26" s="17"/>
      <c r="E26" s="17"/>
      <c r="F26" s="18" t="s">
        <v>235</v>
      </c>
      <c r="G26" s="504">
        <v>10</v>
      </c>
      <c r="H26" s="504">
        <v>11</v>
      </c>
      <c r="I26" s="504">
        <v>12</v>
      </c>
      <c r="J26" s="504">
        <v>13</v>
      </c>
      <c r="K26" s="504">
        <v>14</v>
      </c>
      <c r="L26" s="504">
        <v>15</v>
      </c>
      <c r="M26" s="504">
        <v>16</v>
      </c>
      <c r="N26" s="504">
        <v>17</v>
      </c>
      <c r="O26" s="504">
        <v>18</v>
      </c>
      <c r="P26" s="504">
        <v>19</v>
      </c>
      <c r="Q26" s="505">
        <v>20</v>
      </c>
      <c r="R26" s="505">
        <v>21</v>
      </c>
      <c r="S26" s="505">
        <v>22</v>
      </c>
      <c r="T26" s="505">
        <v>23</v>
      </c>
      <c r="U26" s="505">
        <v>24</v>
      </c>
      <c r="V26" s="505">
        <v>1</v>
      </c>
      <c r="W26" s="504">
        <v>2</v>
      </c>
      <c r="X26" s="504">
        <v>3</v>
      </c>
      <c r="Y26" s="504">
        <v>4</v>
      </c>
      <c r="Z26" s="504">
        <v>5</v>
      </c>
      <c r="AA26" s="504">
        <v>6</v>
      </c>
      <c r="AB26" s="504">
        <v>7</v>
      </c>
      <c r="AC26" s="504">
        <v>8</v>
      </c>
      <c r="AD26" s="506"/>
      <c r="AE26" s="506"/>
      <c r="AF26" s="506"/>
    </row>
    <row r="27" spans="2:32" s="151" customFormat="1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6">IF($C27="","",IF(VLOOKUP($C27,Tbl_Glob_MedFreq,G$1,FALSE)=0,"",VLOOKUP($C27,Tbl_Glob_MedFreq,G$1,FALSE)))</f>
        <v/>
      </c>
      <c r="H27" s="499" t="str">
        <f t="shared" si="6"/>
        <v/>
      </c>
      <c r="I27" s="507" t="str">
        <f t="shared" si="6"/>
        <v/>
      </c>
      <c r="J27" s="499" t="str">
        <f t="shared" si="6"/>
        <v/>
      </c>
      <c r="K27" s="507" t="str">
        <f t="shared" si="6"/>
        <v/>
      </c>
      <c r="L27" s="499" t="str">
        <f t="shared" si="6"/>
        <v/>
      </c>
      <c r="M27" s="507" t="str">
        <f t="shared" si="6"/>
        <v/>
      </c>
      <c r="N27" s="499" t="str">
        <f t="shared" si="6"/>
        <v/>
      </c>
      <c r="O27" s="507" t="str">
        <f t="shared" si="6"/>
        <v/>
      </c>
      <c r="P27" s="499" t="str">
        <f t="shared" si="6"/>
        <v/>
      </c>
      <c r="Q27" s="507" t="str">
        <f t="shared" ref="Q27:Z35" si="7">IF($C27="","",IF(VLOOKUP($C27,Tbl_Glob_MedFreq,Q$1,FALSE)=0,"",VLOOKUP($C27,Tbl_Glob_MedFreq,Q$1,FALSE)))</f>
        <v/>
      </c>
      <c r="R27" s="499" t="str">
        <f t="shared" si="7"/>
        <v/>
      </c>
      <c r="S27" s="507" t="str">
        <f t="shared" si="7"/>
        <v/>
      </c>
      <c r="T27" s="499" t="str">
        <f t="shared" si="7"/>
        <v/>
      </c>
      <c r="U27" s="507" t="str">
        <f t="shared" si="7"/>
        <v/>
      </c>
      <c r="V27" s="499" t="str">
        <f t="shared" si="7"/>
        <v/>
      </c>
      <c r="W27" s="507" t="str">
        <f t="shared" si="7"/>
        <v/>
      </c>
      <c r="X27" s="499" t="str">
        <f t="shared" si="7"/>
        <v/>
      </c>
      <c r="Y27" s="507" t="str">
        <f t="shared" si="7"/>
        <v/>
      </c>
      <c r="Z27" s="499" t="str">
        <f t="shared" si="7"/>
        <v/>
      </c>
      <c r="AA27" s="507" t="str">
        <f t="shared" ref="AA27:AF35" si="8">IF($C27="","",IF(VLOOKUP($C27,Tbl_Glob_MedFreq,AA$1,FALSE)=0,"",VLOOKUP($C27,Tbl_Glob_MedFreq,AA$1,FALSE)))</f>
        <v/>
      </c>
      <c r="AB27" s="499" t="str">
        <f t="shared" si="8"/>
        <v/>
      </c>
      <c r="AC27" s="507" t="str">
        <f t="shared" si="8"/>
        <v/>
      </c>
      <c r="AD27" s="499" t="str">
        <f t="shared" si="8"/>
        <v/>
      </c>
      <c r="AE27" s="507" t="str">
        <f t="shared" si="8"/>
        <v/>
      </c>
      <c r="AF27" s="499" t="str">
        <f t="shared" si="8"/>
        <v/>
      </c>
    </row>
    <row r="28" spans="2:32" s="151" customFormat="1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6"/>
        <v/>
      </c>
      <c r="H28" s="499" t="str">
        <f t="shared" si="6"/>
        <v/>
      </c>
      <c r="I28" s="507" t="str">
        <f t="shared" si="6"/>
        <v/>
      </c>
      <c r="J28" s="499" t="str">
        <f t="shared" si="6"/>
        <v/>
      </c>
      <c r="K28" s="507" t="str">
        <f t="shared" si="6"/>
        <v/>
      </c>
      <c r="L28" s="499" t="str">
        <f t="shared" si="6"/>
        <v/>
      </c>
      <c r="M28" s="507" t="str">
        <f t="shared" si="6"/>
        <v/>
      </c>
      <c r="N28" s="499" t="str">
        <f t="shared" si="6"/>
        <v/>
      </c>
      <c r="O28" s="507" t="str">
        <f t="shared" si="6"/>
        <v/>
      </c>
      <c r="P28" s="499" t="str">
        <f t="shared" si="6"/>
        <v/>
      </c>
      <c r="Q28" s="507" t="str">
        <f t="shared" si="7"/>
        <v/>
      </c>
      <c r="R28" s="499" t="str">
        <f t="shared" si="7"/>
        <v/>
      </c>
      <c r="S28" s="507" t="str">
        <f t="shared" si="7"/>
        <v/>
      </c>
      <c r="T28" s="499" t="str">
        <f t="shared" si="7"/>
        <v/>
      </c>
      <c r="U28" s="507" t="str">
        <f t="shared" si="7"/>
        <v/>
      </c>
      <c r="V28" s="499" t="str">
        <f t="shared" si="7"/>
        <v/>
      </c>
      <c r="W28" s="507" t="str">
        <f t="shared" si="7"/>
        <v/>
      </c>
      <c r="X28" s="499" t="str">
        <f t="shared" si="7"/>
        <v/>
      </c>
      <c r="Y28" s="507" t="str">
        <f t="shared" si="7"/>
        <v/>
      </c>
      <c r="Z28" s="499" t="str">
        <f t="shared" si="7"/>
        <v/>
      </c>
      <c r="AA28" s="507" t="str">
        <f t="shared" si="8"/>
        <v/>
      </c>
      <c r="AB28" s="499" t="str">
        <f t="shared" si="8"/>
        <v/>
      </c>
      <c r="AC28" s="507" t="str">
        <f t="shared" si="8"/>
        <v/>
      </c>
      <c r="AD28" s="499" t="str">
        <f t="shared" si="8"/>
        <v/>
      </c>
      <c r="AE28" s="507" t="str">
        <f t="shared" si="8"/>
        <v/>
      </c>
      <c r="AF28" s="499" t="str">
        <f t="shared" si="8"/>
        <v/>
      </c>
    </row>
    <row r="29" spans="2:32" s="151" customFormat="1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6"/>
        <v/>
      </c>
      <c r="H29" s="499" t="str">
        <f t="shared" si="6"/>
        <v/>
      </c>
      <c r="I29" s="507" t="str">
        <f t="shared" si="6"/>
        <v/>
      </c>
      <c r="J29" s="499" t="str">
        <f t="shared" si="6"/>
        <v/>
      </c>
      <c r="K29" s="507" t="str">
        <f t="shared" si="6"/>
        <v/>
      </c>
      <c r="L29" s="499" t="str">
        <f t="shared" si="6"/>
        <v/>
      </c>
      <c r="M29" s="507" t="str">
        <f t="shared" si="6"/>
        <v/>
      </c>
      <c r="N29" s="499" t="str">
        <f t="shared" si="6"/>
        <v/>
      </c>
      <c r="O29" s="507" t="str">
        <f t="shared" si="6"/>
        <v/>
      </c>
      <c r="P29" s="499" t="str">
        <f t="shared" si="6"/>
        <v/>
      </c>
      <c r="Q29" s="507" t="str">
        <f t="shared" si="7"/>
        <v/>
      </c>
      <c r="R29" s="499" t="str">
        <f t="shared" si="7"/>
        <v/>
      </c>
      <c r="S29" s="507" t="str">
        <f t="shared" si="7"/>
        <v/>
      </c>
      <c r="T29" s="499" t="str">
        <f t="shared" si="7"/>
        <v/>
      </c>
      <c r="U29" s="507" t="str">
        <f t="shared" si="7"/>
        <v/>
      </c>
      <c r="V29" s="499" t="str">
        <f t="shared" si="7"/>
        <v/>
      </c>
      <c r="W29" s="507" t="str">
        <f t="shared" si="7"/>
        <v/>
      </c>
      <c r="X29" s="499" t="str">
        <f t="shared" si="7"/>
        <v/>
      </c>
      <c r="Y29" s="507" t="str">
        <f t="shared" si="7"/>
        <v/>
      </c>
      <c r="Z29" s="499" t="str">
        <f t="shared" si="7"/>
        <v/>
      </c>
      <c r="AA29" s="507" t="str">
        <f t="shared" si="8"/>
        <v/>
      </c>
      <c r="AB29" s="499" t="str">
        <f t="shared" si="8"/>
        <v/>
      </c>
      <c r="AC29" s="507" t="str">
        <f t="shared" si="8"/>
        <v/>
      </c>
      <c r="AD29" s="499" t="str">
        <f t="shared" si="8"/>
        <v/>
      </c>
      <c r="AE29" s="507" t="str">
        <f t="shared" si="8"/>
        <v/>
      </c>
      <c r="AF29" s="499" t="str">
        <f t="shared" si="8"/>
        <v/>
      </c>
    </row>
    <row r="30" spans="2:32" s="151" customFormat="1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6"/>
        <v/>
      </c>
      <c r="H30" s="499" t="str">
        <f t="shared" si="6"/>
        <v/>
      </c>
      <c r="I30" s="507" t="str">
        <f t="shared" si="6"/>
        <v/>
      </c>
      <c r="J30" s="499" t="str">
        <f t="shared" si="6"/>
        <v/>
      </c>
      <c r="K30" s="507" t="str">
        <f t="shared" si="6"/>
        <v/>
      </c>
      <c r="L30" s="499" t="str">
        <f t="shared" si="6"/>
        <v/>
      </c>
      <c r="M30" s="507" t="str">
        <f t="shared" si="6"/>
        <v/>
      </c>
      <c r="N30" s="499" t="str">
        <f t="shared" si="6"/>
        <v/>
      </c>
      <c r="O30" s="507" t="str">
        <f t="shared" si="6"/>
        <v/>
      </c>
      <c r="P30" s="499" t="str">
        <f t="shared" si="6"/>
        <v/>
      </c>
      <c r="Q30" s="507" t="str">
        <f t="shared" si="7"/>
        <v/>
      </c>
      <c r="R30" s="499" t="str">
        <f t="shared" si="7"/>
        <v/>
      </c>
      <c r="S30" s="507" t="str">
        <f t="shared" si="7"/>
        <v/>
      </c>
      <c r="T30" s="499" t="str">
        <f t="shared" si="7"/>
        <v/>
      </c>
      <c r="U30" s="507" t="str">
        <f t="shared" si="7"/>
        <v/>
      </c>
      <c r="V30" s="499" t="str">
        <f t="shared" si="7"/>
        <v/>
      </c>
      <c r="W30" s="507" t="str">
        <f t="shared" si="7"/>
        <v/>
      </c>
      <c r="X30" s="499" t="str">
        <f t="shared" si="7"/>
        <v/>
      </c>
      <c r="Y30" s="507" t="str">
        <f t="shared" si="7"/>
        <v/>
      </c>
      <c r="Z30" s="499" t="str">
        <f t="shared" si="7"/>
        <v/>
      </c>
      <c r="AA30" s="507" t="str">
        <f t="shared" si="8"/>
        <v/>
      </c>
      <c r="AB30" s="499" t="str">
        <f t="shared" si="8"/>
        <v/>
      </c>
      <c r="AC30" s="507" t="str">
        <f t="shared" si="8"/>
        <v/>
      </c>
      <c r="AD30" s="499" t="str">
        <f t="shared" si="8"/>
        <v/>
      </c>
      <c r="AE30" s="507" t="str">
        <f t="shared" si="8"/>
        <v/>
      </c>
      <c r="AF30" s="499" t="str">
        <f t="shared" si="8"/>
        <v/>
      </c>
    </row>
    <row r="31" spans="2:32" s="151" customFormat="1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6"/>
        <v/>
      </c>
      <c r="H31" s="499" t="str">
        <f t="shared" si="6"/>
        <v/>
      </c>
      <c r="I31" s="507" t="str">
        <f t="shared" si="6"/>
        <v/>
      </c>
      <c r="J31" s="499" t="str">
        <f t="shared" si="6"/>
        <v/>
      </c>
      <c r="K31" s="507" t="str">
        <f t="shared" si="6"/>
        <v/>
      </c>
      <c r="L31" s="499" t="str">
        <f t="shared" si="6"/>
        <v/>
      </c>
      <c r="M31" s="507" t="str">
        <f t="shared" si="6"/>
        <v/>
      </c>
      <c r="N31" s="499" t="str">
        <f t="shared" si="6"/>
        <v/>
      </c>
      <c r="O31" s="507" t="str">
        <f t="shared" si="6"/>
        <v/>
      </c>
      <c r="P31" s="499" t="str">
        <f t="shared" si="6"/>
        <v/>
      </c>
      <c r="Q31" s="507" t="str">
        <f t="shared" si="7"/>
        <v/>
      </c>
      <c r="R31" s="499" t="str">
        <f t="shared" si="7"/>
        <v/>
      </c>
      <c r="S31" s="507" t="str">
        <f t="shared" si="7"/>
        <v/>
      </c>
      <c r="T31" s="499" t="str">
        <f t="shared" si="7"/>
        <v/>
      </c>
      <c r="U31" s="507" t="str">
        <f t="shared" si="7"/>
        <v/>
      </c>
      <c r="V31" s="499" t="str">
        <f t="shared" si="7"/>
        <v/>
      </c>
      <c r="W31" s="507" t="str">
        <f t="shared" si="7"/>
        <v/>
      </c>
      <c r="X31" s="499" t="str">
        <f t="shared" si="7"/>
        <v/>
      </c>
      <c r="Y31" s="507" t="str">
        <f t="shared" si="7"/>
        <v/>
      </c>
      <c r="Z31" s="499" t="str">
        <f t="shared" si="7"/>
        <v/>
      </c>
      <c r="AA31" s="507" t="str">
        <f t="shared" si="8"/>
        <v/>
      </c>
      <c r="AB31" s="499" t="str">
        <f t="shared" si="8"/>
        <v/>
      </c>
      <c r="AC31" s="507" t="str">
        <f t="shared" si="8"/>
        <v/>
      </c>
      <c r="AD31" s="499" t="str">
        <f t="shared" si="8"/>
        <v/>
      </c>
      <c r="AE31" s="507" t="str">
        <f t="shared" si="8"/>
        <v/>
      </c>
      <c r="AF31" s="499" t="str">
        <f t="shared" si="8"/>
        <v/>
      </c>
    </row>
    <row r="32" spans="2:32" s="151" customFormat="1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6"/>
        <v/>
      </c>
      <c r="H32" s="499" t="str">
        <f t="shared" si="6"/>
        <v/>
      </c>
      <c r="I32" s="507" t="str">
        <f t="shared" si="6"/>
        <v/>
      </c>
      <c r="J32" s="499" t="str">
        <f t="shared" si="6"/>
        <v/>
      </c>
      <c r="K32" s="507" t="str">
        <f t="shared" si="6"/>
        <v/>
      </c>
      <c r="L32" s="499" t="str">
        <f t="shared" si="6"/>
        <v/>
      </c>
      <c r="M32" s="507" t="str">
        <f t="shared" si="6"/>
        <v/>
      </c>
      <c r="N32" s="499" t="str">
        <f t="shared" si="6"/>
        <v/>
      </c>
      <c r="O32" s="507" t="str">
        <f t="shared" si="6"/>
        <v/>
      </c>
      <c r="P32" s="499" t="str">
        <f t="shared" si="6"/>
        <v/>
      </c>
      <c r="Q32" s="507" t="str">
        <f t="shared" si="7"/>
        <v/>
      </c>
      <c r="R32" s="499" t="str">
        <f t="shared" si="7"/>
        <v/>
      </c>
      <c r="S32" s="507" t="str">
        <f t="shared" si="7"/>
        <v/>
      </c>
      <c r="T32" s="499" t="str">
        <f t="shared" si="7"/>
        <v/>
      </c>
      <c r="U32" s="507" t="str">
        <f t="shared" si="7"/>
        <v/>
      </c>
      <c r="V32" s="499" t="str">
        <f t="shared" si="7"/>
        <v/>
      </c>
      <c r="W32" s="507" t="str">
        <f t="shared" si="7"/>
        <v/>
      </c>
      <c r="X32" s="499" t="str">
        <f t="shared" si="7"/>
        <v/>
      </c>
      <c r="Y32" s="507" t="str">
        <f t="shared" si="7"/>
        <v/>
      </c>
      <c r="Z32" s="499" t="str">
        <f t="shared" si="7"/>
        <v/>
      </c>
      <c r="AA32" s="507" t="str">
        <f t="shared" si="8"/>
        <v/>
      </c>
      <c r="AB32" s="499" t="str">
        <f t="shared" si="8"/>
        <v/>
      </c>
      <c r="AC32" s="507" t="str">
        <f t="shared" si="8"/>
        <v/>
      </c>
      <c r="AD32" s="499" t="str">
        <f t="shared" si="8"/>
        <v/>
      </c>
      <c r="AE32" s="507" t="str">
        <f t="shared" si="8"/>
        <v/>
      </c>
      <c r="AF32" s="499" t="str">
        <f t="shared" si="8"/>
        <v/>
      </c>
    </row>
    <row r="33" spans="2:32" s="151" customFormat="1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6"/>
        <v/>
      </c>
      <c r="H33" s="499" t="str">
        <f t="shared" si="6"/>
        <v/>
      </c>
      <c r="I33" s="507" t="str">
        <f t="shared" si="6"/>
        <v/>
      </c>
      <c r="J33" s="499" t="str">
        <f t="shared" si="6"/>
        <v/>
      </c>
      <c r="K33" s="507" t="str">
        <f t="shared" si="6"/>
        <v/>
      </c>
      <c r="L33" s="499" t="str">
        <f t="shared" si="6"/>
        <v/>
      </c>
      <c r="M33" s="507" t="str">
        <f t="shared" si="6"/>
        <v/>
      </c>
      <c r="N33" s="499" t="str">
        <f t="shared" si="6"/>
        <v/>
      </c>
      <c r="O33" s="507" t="str">
        <f t="shared" si="6"/>
        <v/>
      </c>
      <c r="P33" s="499" t="str">
        <f t="shared" si="6"/>
        <v/>
      </c>
      <c r="Q33" s="507" t="str">
        <f t="shared" si="7"/>
        <v/>
      </c>
      <c r="R33" s="499" t="str">
        <f t="shared" si="7"/>
        <v/>
      </c>
      <c r="S33" s="507" t="str">
        <f t="shared" si="7"/>
        <v/>
      </c>
      <c r="T33" s="499" t="str">
        <f t="shared" si="7"/>
        <v/>
      </c>
      <c r="U33" s="507" t="str">
        <f t="shared" si="7"/>
        <v/>
      </c>
      <c r="V33" s="499" t="str">
        <f t="shared" si="7"/>
        <v/>
      </c>
      <c r="W33" s="507" t="str">
        <f t="shared" si="7"/>
        <v/>
      </c>
      <c r="X33" s="499" t="str">
        <f t="shared" si="7"/>
        <v/>
      </c>
      <c r="Y33" s="507" t="str">
        <f t="shared" si="7"/>
        <v/>
      </c>
      <c r="Z33" s="499" t="str">
        <f t="shared" si="7"/>
        <v/>
      </c>
      <c r="AA33" s="507" t="str">
        <f t="shared" si="8"/>
        <v/>
      </c>
      <c r="AB33" s="499" t="str">
        <f t="shared" si="8"/>
        <v/>
      </c>
      <c r="AC33" s="507" t="str">
        <f t="shared" si="8"/>
        <v/>
      </c>
      <c r="AD33" s="499" t="str">
        <f t="shared" si="8"/>
        <v/>
      </c>
      <c r="AE33" s="507" t="str">
        <f t="shared" si="8"/>
        <v/>
      </c>
      <c r="AF33" s="499" t="str">
        <f t="shared" si="8"/>
        <v/>
      </c>
    </row>
    <row r="34" spans="2:32" s="151" customFormat="1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6"/>
        <v/>
      </c>
      <c r="H34" s="499" t="str">
        <f t="shared" si="6"/>
        <v/>
      </c>
      <c r="I34" s="507" t="str">
        <f t="shared" si="6"/>
        <v/>
      </c>
      <c r="J34" s="499" t="str">
        <f t="shared" si="6"/>
        <v/>
      </c>
      <c r="K34" s="507" t="str">
        <f t="shared" si="6"/>
        <v/>
      </c>
      <c r="L34" s="499" t="str">
        <f t="shared" si="6"/>
        <v/>
      </c>
      <c r="M34" s="507" t="str">
        <f t="shared" si="6"/>
        <v/>
      </c>
      <c r="N34" s="499" t="str">
        <f t="shared" si="6"/>
        <v/>
      </c>
      <c r="O34" s="507" t="str">
        <f t="shared" si="6"/>
        <v/>
      </c>
      <c r="P34" s="499" t="str">
        <f t="shared" si="6"/>
        <v/>
      </c>
      <c r="Q34" s="507" t="str">
        <f t="shared" si="7"/>
        <v/>
      </c>
      <c r="R34" s="499" t="str">
        <f t="shared" si="7"/>
        <v/>
      </c>
      <c r="S34" s="507" t="str">
        <f t="shared" si="7"/>
        <v/>
      </c>
      <c r="T34" s="499" t="str">
        <f t="shared" si="7"/>
        <v/>
      </c>
      <c r="U34" s="507" t="str">
        <f t="shared" si="7"/>
        <v/>
      </c>
      <c r="V34" s="499" t="str">
        <f t="shared" si="7"/>
        <v/>
      </c>
      <c r="W34" s="507" t="str">
        <f t="shared" si="7"/>
        <v/>
      </c>
      <c r="X34" s="499" t="str">
        <f t="shared" si="7"/>
        <v/>
      </c>
      <c r="Y34" s="507" t="str">
        <f t="shared" si="7"/>
        <v/>
      </c>
      <c r="Z34" s="499" t="str">
        <f t="shared" si="7"/>
        <v/>
      </c>
      <c r="AA34" s="507" t="str">
        <f t="shared" si="8"/>
        <v/>
      </c>
      <c r="AB34" s="499" t="str">
        <f t="shared" si="8"/>
        <v/>
      </c>
      <c r="AC34" s="507" t="str">
        <f t="shared" si="8"/>
        <v/>
      </c>
      <c r="AD34" s="499" t="str">
        <f t="shared" si="8"/>
        <v/>
      </c>
      <c r="AE34" s="507" t="str">
        <f t="shared" si="8"/>
        <v/>
      </c>
      <c r="AF34" s="499" t="str">
        <f t="shared" si="8"/>
        <v/>
      </c>
    </row>
    <row r="35" spans="2:32" s="151" customFormat="1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6"/>
        <v/>
      </c>
      <c r="H35" s="499" t="str">
        <f t="shared" si="6"/>
        <v/>
      </c>
      <c r="I35" s="507" t="str">
        <f t="shared" si="6"/>
        <v/>
      </c>
      <c r="J35" s="499" t="str">
        <f t="shared" si="6"/>
        <v/>
      </c>
      <c r="K35" s="507" t="str">
        <f t="shared" si="6"/>
        <v/>
      </c>
      <c r="L35" s="499" t="str">
        <f t="shared" si="6"/>
        <v/>
      </c>
      <c r="M35" s="507" t="str">
        <f t="shared" si="6"/>
        <v/>
      </c>
      <c r="N35" s="499" t="str">
        <f t="shared" si="6"/>
        <v/>
      </c>
      <c r="O35" s="507" t="str">
        <f t="shared" si="6"/>
        <v/>
      </c>
      <c r="P35" s="499" t="str">
        <f t="shared" si="6"/>
        <v/>
      </c>
      <c r="Q35" s="507" t="str">
        <f t="shared" si="7"/>
        <v/>
      </c>
      <c r="R35" s="499" t="str">
        <f t="shared" si="7"/>
        <v/>
      </c>
      <c r="S35" s="507" t="str">
        <f t="shared" si="7"/>
        <v/>
      </c>
      <c r="T35" s="499" t="str">
        <f t="shared" si="7"/>
        <v/>
      </c>
      <c r="U35" s="507" t="str">
        <f t="shared" si="7"/>
        <v/>
      </c>
      <c r="V35" s="499" t="str">
        <f t="shared" si="7"/>
        <v/>
      </c>
      <c r="W35" s="507" t="str">
        <f t="shared" si="7"/>
        <v/>
      </c>
      <c r="X35" s="499" t="str">
        <f t="shared" si="7"/>
        <v/>
      </c>
      <c r="Y35" s="507" t="str">
        <f t="shared" si="7"/>
        <v/>
      </c>
      <c r="Z35" s="499" t="str">
        <f t="shared" si="7"/>
        <v/>
      </c>
      <c r="AA35" s="507" t="str">
        <f t="shared" si="8"/>
        <v/>
      </c>
      <c r="AB35" s="499" t="str">
        <f t="shared" si="8"/>
        <v/>
      </c>
      <c r="AC35" s="507" t="str">
        <f t="shared" si="8"/>
        <v/>
      </c>
      <c r="AD35" s="499" t="str">
        <f t="shared" si="8"/>
        <v/>
      </c>
      <c r="AE35" s="507" t="str">
        <f t="shared" si="8"/>
        <v/>
      </c>
      <c r="AF35" s="499" t="str">
        <f t="shared" si="8"/>
        <v/>
      </c>
    </row>
  </sheetData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7" type="noConversion"/>
  <printOptions horizontalCentered="1"/>
  <pageMargins left="0.31496062992125984" right="0.70866141732283472" top="0.19685039370078741" bottom="0.19685039370078741" header="0.19685039370078741" footer="0.19685039370078741"/>
  <pageSetup paperSize="9" scale="98" orientation="landscape" r:id="rId2"/>
  <headerFooter alignWithMargins="0">
    <oddHeader>&amp;LAfsprakenProgramma 0.22.09-beta</oddHeader>
  </headerFooter>
  <rowBreaks count="1" manualBreakCount="1">
    <brk id="24" min="1" max="31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  <pageSetUpPr fitToPage="1"/>
  </sheetPr>
  <dimension ref="A1:I45"/>
  <sheetViews>
    <sheetView zoomScaleNormal="100" workbookViewId="0">
      <selection activeCell="K27" sqref="K27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5"/>
    <col min="10" max="16384" width="9.140625" style="152"/>
  </cols>
  <sheetData>
    <row r="1" spans="1:8" ht="12.75" customHeight="1" x14ac:dyDescent="0.2">
      <c r="A1" s="183" t="s">
        <v>188</v>
      </c>
      <c r="F1" s="1" t="s">
        <v>7437</v>
      </c>
    </row>
    <row r="2" spans="1:8" ht="12.75" customHeight="1" x14ac:dyDescent="0.2"/>
    <row r="3" spans="1:8" ht="12.75" customHeight="1" x14ac:dyDescent="0.2">
      <c r="A3" s="152" t="s">
        <v>189</v>
      </c>
      <c r="B3" s="510">
        <f ca="1">TODAY()</f>
        <v>43418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190</v>
      </c>
      <c r="B4" s="152" t="s">
        <v>871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385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244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7446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SUM(I22,I27,I36)</f>
        <v>0</v>
      </c>
      <c r="D9" s="152" t="s">
        <v>245</v>
      </c>
    </row>
    <row r="10" spans="1:8" ht="12.75" customHeight="1" thickTop="1" x14ac:dyDescent="0.2">
      <c r="A10" s="865" t="s">
        <v>16</v>
      </c>
      <c r="B10" s="866"/>
      <c r="C10" s="866"/>
      <c r="D10" s="866"/>
      <c r="E10" s="866"/>
      <c r="F10" s="866"/>
      <c r="G10" s="866"/>
      <c r="H10" s="867"/>
    </row>
    <row r="11" spans="1:8" ht="25.5" x14ac:dyDescent="0.2">
      <c r="A11" s="520" t="s">
        <v>232</v>
      </c>
      <c r="B11" s="868" t="s">
        <v>124</v>
      </c>
      <c r="C11" s="870"/>
      <c r="D11" s="872" t="s">
        <v>125</v>
      </c>
      <c r="E11" s="872" t="s">
        <v>126</v>
      </c>
      <c r="F11" s="872" t="s">
        <v>127</v>
      </c>
      <c r="G11" s="521"/>
      <c r="H11" s="521" t="s">
        <v>128</v>
      </c>
    </row>
    <row r="12" spans="1:8" ht="15" customHeight="1" x14ac:dyDescent="0.2">
      <c r="A12" s="783" t="s">
        <v>129</v>
      </c>
      <c r="B12" s="869"/>
      <c r="C12" s="871"/>
      <c r="D12" s="873"/>
      <c r="E12" s="873"/>
      <c r="F12" s="873"/>
      <c r="G12" s="521" t="s">
        <v>130</v>
      </c>
      <c r="H12" s="522" t="s">
        <v>131</v>
      </c>
    </row>
    <row r="13" spans="1:8" ht="18" customHeight="1" x14ac:dyDescent="0.2">
      <c r="A13" s="855" t="str">
        <f>IF(G15="","",PedBerTPN!V3)</f>
        <v/>
      </c>
      <c r="B13" s="523" t="s">
        <v>7889</v>
      </c>
      <c r="C13" s="785"/>
      <c r="D13" s="785" t="s">
        <v>132</v>
      </c>
      <c r="E13" s="785" t="s">
        <v>132</v>
      </c>
      <c r="F13" s="786" t="s">
        <v>132</v>
      </c>
      <c r="G13" s="524" t="str">
        <f>IF(A13="","",PedBerTPN!W9)</f>
        <v/>
      </c>
      <c r="H13" s="795"/>
    </row>
    <row r="14" spans="1:8" ht="18" customHeight="1" x14ac:dyDescent="0.2">
      <c r="A14" s="856"/>
      <c r="B14" s="525" t="s">
        <v>311</v>
      </c>
      <c r="C14" s="526"/>
      <c r="D14" s="526" t="s">
        <v>36</v>
      </c>
      <c r="E14" s="526" t="s">
        <v>68</v>
      </c>
      <c r="F14" s="527" t="s">
        <v>68</v>
      </c>
      <c r="G14" s="524" t="str">
        <f>IF(A13="","",PedBerTPN!W10)</f>
        <v/>
      </c>
      <c r="H14" s="795"/>
    </row>
    <row r="15" spans="1:8" ht="18" customHeight="1" x14ac:dyDescent="0.2">
      <c r="A15" s="520"/>
      <c r="B15" s="525" t="s">
        <v>256</v>
      </c>
      <c r="C15" s="526"/>
      <c r="D15" s="526" t="s">
        <v>133</v>
      </c>
      <c r="E15" s="526" t="s">
        <v>37</v>
      </c>
      <c r="F15" s="527" t="s">
        <v>38</v>
      </c>
      <c r="G15" s="528" t="str">
        <f>PedBerTPN!W5</f>
        <v/>
      </c>
      <c r="H15" s="795"/>
    </row>
    <row r="16" spans="1:8" ht="18" customHeight="1" x14ac:dyDescent="0.2">
      <c r="A16" s="520"/>
      <c r="B16" s="525" t="s">
        <v>453</v>
      </c>
      <c r="C16" s="526"/>
      <c r="D16" s="526" t="s">
        <v>39</v>
      </c>
      <c r="E16" s="526"/>
      <c r="F16" s="527"/>
      <c r="G16" s="528" t="str">
        <f>IF(AND(A13&lt;&gt;"",B16=PedBerTPN!H8),PedBerTPN!W8,"")</f>
        <v/>
      </c>
      <c r="H16" s="795"/>
    </row>
    <row r="17" spans="1:9" ht="18" customHeight="1" x14ac:dyDescent="0.2">
      <c r="A17" s="520"/>
      <c r="B17" s="525" t="s">
        <v>4826</v>
      </c>
      <c r="C17" s="526"/>
      <c r="D17" s="526"/>
      <c r="E17" s="526" t="s">
        <v>40</v>
      </c>
      <c r="F17" s="527"/>
      <c r="G17" s="528" t="str">
        <f>IF(AND(A13&lt;&gt;"",B17=PedBerTPN!H8),PedBerTPN!W8,"")</f>
        <v/>
      </c>
      <c r="H17" s="795"/>
    </row>
    <row r="18" spans="1:9" ht="18" customHeight="1" x14ac:dyDescent="0.2">
      <c r="A18" s="520"/>
      <c r="B18" s="525" t="s">
        <v>4053</v>
      </c>
      <c r="C18" s="526"/>
      <c r="D18" s="526"/>
      <c r="E18" s="526"/>
      <c r="F18" s="527" t="s">
        <v>41</v>
      </c>
      <c r="G18" s="528" t="str">
        <f>IF(AND(A13&lt;&gt;"",B18=PedBerTPN!H8),PedBerTPN!W8,"")</f>
        <v/>
      </c>
      <c r="H18" s="795"/>
    </row>
    <row r="19" spans="1:9" ht="18" customHeight="1" x14ac:dyDescent="0.2">
      <c r="A19" s="520"/>
      <c r="B19" s="525"/>
      <c r="C19" s="526"/>
      <c r="D19" s="526"/>
      <c r="E19" s="526"/>
      <c r="F19" s="527"/>
      <c r="G19" s="528"/>
      <c r="H19" s="80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1"/>
    </row>
    <row r="21" spans="1:9" ht="18" customHeight="1" x14ac:dyDescent="0.2">
      <c r="A21" s="520"/>
      <c r="B21" s="525" t="str">
        <f>IF(AND(G15&lt;&gt;"",G16="",G17="",G18=""),PedBerTPN!H8,"")</f>
        <v/>
      </c>
      <c r="C21" s="526"/>
      <c r="D21" s="526"/>
      <c r="E21" s="526"/>
      <c r="F21" s="527"/>
      <c r="G21" s="528" t="str">
        <f>IF(B21="","",PedBerTPN!W8)</f>
        <v/>
      </c>
      <c r="H21" s="795"/>
    </row>
    <row r="22" spans="1:9" ht="18" customHeight="1" x14ac:dyDescent="0.2">
      <c r="A22" s="520"/>
      <c r="B22" s="784"/>
      <c r="C22" s="784"/>
      <c r="D22" s="784"/>
      <c r="E22" s="859" t="s">
        <v>161</v>
      </c>
      <c r="F22" s="859"/>
      <c r="G22" s="791" t="str">
        <f>IF(A13="","",PedBerTPN!X3)</f>
        <v/>
      </c>
      <c r="H22" s="795"/>
      <c r="I22" s="805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55" t="str">
        <f>PedBerTPN!V16</f>
        <v/>
      </c>
      <c r="B24" s="523" t="str">
        <f>PedBerTPN!H17</f>
        <v/>
      </c>
      <c r="C24" s="785"/>
      <c r="D24" s="785" t="s">
        <v>298</v>
      </c>
      <c r="E24" s="785" t="s">
        <v>299</v>
      </c>
      <c r="F24" s="786" t="s">
        <v>133</v>
      </c>
      <c r="G24" s="524" t="str">
        <f>PedBerTPN!W17</f>
        <v/>
      </c>
      <c r="H24" s="533"/>
    </row>
    <row r="25" spans="1:9" ht="18" customHeight="1" x14ac:dyDescent="0.2">
      <c r="A25" s="856"/>
      <c r="B25" s="525" t="s">
        <v>148</v>
      </c>
      <c r="C25" s="526"/>
      <c r="D25" s="526"/>
      <c r="E25" s="860" t="s">
        <v>218</v>
      </c>
      <c r="F25" s="861"/>
      <c r="G25" s="528" t="str">
        <f>PedBerTPN!W18</f>
        <v/>
      </c>
      <c r="H25" s="521"/>
    </row>
    <row r="26" spans="1:9" ht="18" customHeight="1" x14ac:dyDescent="0.2">
      <c r="A26" s="520"/>
      <c r="B26" s="525"/>
      <c r="C26" s="526"/>
      <c r="D26" s="526"/>
      <c r="E26" s="860"/>
      <c r="F26" s="861"/>
      <c r="G26" s="528"/>
      <c r="H26" s="521"/>
    </row>
    <row r="27" spans="1:9" ht="18" customHeight="1" x14ac:dyDescent="0.2">
      <c r="A27" s="520"/>
      <c r="B27" s="531"/>
      <c r="C27" s="531"/>
      <c r="D27" s="531"/>
      <c r="E27" s="859" t="s">
        <v>161</v>
      </c>
      <c r="F27" s="859"/>
      <c r="G27" s="792" t="str">
        <f>PedBerTPN!X16</f>
        <v/>
      </c>
      <c r="H27" s="530"/>
      <c r="I27" s="805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57" t="s">
        <v>87</v>
      </c>
      <c r="C29" s="858"/>
      <c r="D29" s="858"/>
      <c r="E29" s="858"/>
      <c r="F29" s="858"/>
      <c r="G29" s="793"/>
      <c r="H29" s="536"/>
    </row>
    <row r="30" spans="1:9" ht="18" customHeight="1" x14ac:dyDescent="0.2">
      <c r="A30" s="855" t="str">
        <f>IF(A13="",PedBerTPN!V3,PedBerTPN!V11)</f>
        <v/>
      </c>
      <c r="B30" s="537" t="s">
        <v>7889</v>
      </c>
      <c r="C30" s="538"/>
      <c r="D30" s="538"/>
      <c r="E30" s="538"/>
      <c r="F30" s="796"/>
      <c r="G30" s="524" t="str">
        <f>IF(G13="",PedBerTPN!W9,"")</f>
        <v/>
      </c>
      <c r="H30" s="521"/>
    </row>
    <row r="31" spans="1:9" ht="18" customHeight="1" x14ac:dyDescent="0.2">
      <c r="A31" s="856"/>
      <c r="B31" s="541" t="s">
        <v>312</v>
      </c>
      <c r="C31" s="542"/>
      <c r="D31" s="542"/>
      <c r="E31" s="542"/>
      <c r="F31" s="797"/>
      <c r="G31" s="528" t="str">
        <f>IF(G14="",PedBerTPN!W10,"")</f>
        <v/>
      </c>
      <c r="H31" s="521"/>
    </row>
    <row r="32" spans="1:9" ht="18" customHeight="1" x14ac:dyDescent="0.2">
      <c r="A32" s="520"/>
      <c r="B32" s="541" t="s">
        <v>7460</v>
      </c>
      <c r="C32" s="542"/>
      <c r="D32" s="542"/>
      <c r="E32" s="542"/>
      <c r="F32" s="797"/>
      <c r="G32" s="528" t="str">
        <f>PedBerTPN!W12</f>
        <v/>
      </c>
      <c r="H32" s="521"/>
    </row>
    <row r="33" spans="1:9" ht="18" customHeight="1" x14ac:dyDescent="0.2">
      <c r="A33" s="520"/>
      <c r="B33" s="541" t="s">
        <v>327</v>
      </c>
      <c r="C33" s="542"/>
      <c r="D33" s="542"/>
      <c r="E33" s="542"/>
      <c r="F33" s="797"/>
      <c r="G33" s="528" t="str">
        <f>PedBerTPN!W13</f>
        <v/>
      </c>
      <c r="H33" s="521"/>
    </row>
    <row r="34" spans="1:9" ht="18" customHeight="1" x14ac:dyDescent="0.2">
      <c r="A34" s="520"/>
      <c r="B34" s="541" t="s">
        <v>453</v>
      </c>
      <c r="C34" s="542"/>
      <c r="D34" s="542"/>
      <c r="E34" s="542"/>
      <c r="F34" s="797"/>
      <c r="G34" s="528" t="str">
        <f>IF(PedBerTPN!W11&lt;&gt;"",PedBerTPN!W11,IF(AND(G16="",B34=PedBerTPN!H8),PedBerTPN!W8,""))</f>
        <v/>
      </c>
      <c r="H34" s="521"/>
    </row>
    <row r="35" spans="1:9" ht="18" customHeight="1" x14ac:dyDescent="0.2">
      <c r="A35" s="520"/>
      <c r="B35" s="541" t="str">
        <f>IF(AND(G34="",A13=""),PedBerTPN!H8,"")</f>
        <v/>
      </c>
      <c r="C35" s="542"/>
      <c r="D35" s="542"/>
      <c r="E35" s="542"/>
      <c r="F35" s="797"/>
      <c r="G35" s="528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59" t="s">
        <v>162</v>
      </c>
      <c r="F36" s="859"/>
      <c r="G36" s="794" t="str">
        <f>IF(G22="",PedBerTPN!X3,PedBerTPN!X11)</f>
        <v/>
      </c>
      <c r="H36" s="521"/>
      <c r="I36" s="805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2" t="s">
        <v>182</v>
      </c>
      <c r="C38" s="863"/>
      <c r="D38" s="863"/>
      <c r="E38" s="863"/>
      <c r="F38" s="864"/>
      <c r="G38" s="536" t="s">
        <v>183</v>
      </c>
      <c r="H38" s="536"/>
    </row>
    <row r="39" spans="1:9" ht="18" customHeight="1" x14ac:dyDescent="0.2">
      <c r="A39" s="547"/>
      <c r="B39" s="852" t="s">
        <v>184</v>
      </c>
      <c r="C39" s="853"/>
      <c r="D39" s="853"/>
      <c r="E39" s="853"/>
      <c r="F39" s="854"/>
      <c r="G39" s="522" t="s">
        <v>185</v>
      </c>
      <c r="H39" s="521"/>
    </row>
    <row r="40" spans="1:9" ht="18" customHeight="1" x14ac:dyDescent="0.2">
      <c r="A40" s="547"/>
      <c r="B40" s="852" t="s">
        <v>186</v>
      </c>
      <c r="C40" s="853"/>
      <c r="D40" s="853"/>
      <c r="E40" s="853"/>
      <c r="F40" s="854"/>
      <c r="G40" s="522" t="s">
        <v>183</v>
      </c>
      <c r="H40" s="548"/>
    </row>
    <row r="41" spans="1:9" ht="18" customHeight="1" x14ac:dyDescent="0.2">
      <c r="A41" s="152" t="s">
        <v>187</v>
      </c>
    </row>
    <row r="42" spans="1:9" ht="18" customHeight="1" x14ac:dyDescent="0.2"/>
    <row r="43" spans="1:9" ht="18" customHeight="1" x14ac:dyDescent="0.2">
      <c r="A43" s="152" t="s">
        <v>67</v>
      </c>
    </row>
    <row r="44" spans="1:9" ht="15.75" customHeight="1" x14ac:dyDescent="0.2"/>
    <row r="45" spans="1:9" x14ac:dyDescent="0.2">
      <c r="F45" s="1"/>
    </row>
  </sheetData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A10:H10"/>
    <mergeCell ref="B11:B12"/>
    <mergeCell ref="C11:C12"/>
    <mergeCell ref="D11:D12"/>
    <mergeCell ref="E11:E12"/>
    <mergeCell ref="F11:F12"/>
    <mergeCell ref="B40:F40"/>
    <mergeCell ref="A30:A31"/>
    <mergeCell ref="A13:A14"/>
    <mergeCell ref="A24:A25"/>
    <mergeCell ref="B29:F29"/>
    <mergeCell ref="E22:F22"/>
    <mergeCell ref="E25:F25"/>
    <mergeCell ref="E26:F26"/>
    <mergeCell ref="E27:F27"/>
    <mergeCell ref="E36:F36"/>
    <mergeCell ref="B38:F38"/>
    <mergeCell ref="B39:F39"/>
  </mergeCells>
  <phoneticPr fontId="27" type="noConversion"/>
  <pageMargins left="0.39" right="0.26" top="0.42" bottom="0.49" header="0.22" footer="0.24"/>
  <pageSetup paperSize="9" orientation="portrait" r:id="rId2"/>
  <headerFooter alignWithMargins="0">
    <oddHeader>&amp;CBed &amp;LAfsprakenProgramma 0.23.07-beta</oddHeader>
  </headerFooter>
  <rowBreaks count="1" manualBreakCount="1">
    <brk id="44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  <pageSetUpPr fitToPage="1"/>
  </sheetPr>
  <dimension ref="A1:I45"/>
  <sheetViews>
    <sheetView zoomScaleNormal="100" workbookViewId="0">
      <selection activeCell="B25" sqref="B25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5"/>
    <col min="10" max="16384" width="9.140625" style="152"/>
  </cols>
  <sheetData>
    <row r="1" spans="1:8" ht="12.75" customHeight="1" x14ac:dyDescent="0.2">
      <c r="A1" s="183" t="s">
        <v>188</v>
      </c>
      <c r="F1" s="1" t="s">
        <v>4850</v>
      </c>
    </row>
    <row r="2" spans="1:8" ht="12.75" customHeight="1" x14ac:dyDescent="0.2"/>
    <row r="3" spans="1:8" ht="12.75" customHeight="1" x14ac:dyDescent="0.2">
      <c r="A3" s="152" t="s">
        <v>189</v>
      </c>
      <c r="B3" s="510">
        <f ca="1">TODAY()</f>
        <v>43418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190</v>
      </c>
      <c r="B4" s="152" t="s">
        <v>871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385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244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7446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SUM(I22,I27,I36)</f>
        <v>0</v>
      </c>
      <c r="D9" s="152" t="s">
        <v>245</v>
      </c>
    </row>
    <row r="10" spans="1:8" ht="12.75" customHeight="1" thickTop="1" x14ac:dyDescent="0.2">
      <c r="A10" s="865" t="s">
        <v>16</v>
      </c>
      <c r="B10" s="866"/>
      <c r="C10" s="866"/>
      <c r="D10" s="866"/>
      <c r="E10" s="866"/>
      <c r="F10" s="866"/>
      <c r="G10" s="866"/>
      <c r="H10" s="867"/>
    </row>
    <row r="11" spans="1:8" ht="25.5" x14ac:dyDescent="0.2">
      <c r="A11" s="520" t="s">
        <v>232</v>
      </c>
      <c r="B11" s="868" t="s">
        <v>124</v>
      </c>
      <c r="C11" s="870"/>
      <c r="D11" s="872" t="s">
        <v>125</v>
      </c>
      <c r="E11" s="872" t="s">
        <v>126</v>
      </c>
      <c r="F11" s="872" t="s">
        <v>127</v>
      </c>
      <c r="G11" s="521"/>
      <c r="H11" s="521" t="s">
        <v>128</v>
      </c>
    </row>
    <row r="12" spans="1:8" ht="15" customHeight="1" x14ac:dyDescent="0.2">
      <c r="A12" s="783" t="s">
        <v>129</v>
      </c>
      <c r="B12" s="869"/>
      <c r="C12" s="871"/>
      <c r="D12" s="873"/>
      <c r="E12" s="873"/>
      <c r="F12" s="873"/>
      <c r="G12" s="521" t="s">
        <v>130</v>
      </c>
      <c r="H12" s="522" t="s">
        <v>131</v>
      </c>
    </row>
    <row r="13" spans="1:8" ht="18" customHeight="1" x14ac:dyDescent="0.2">
      <c r="A13" s="874" t="str">
        <f>IF(G15="","",PedBerTPN!V3)</f>
        <v/>
      </c>
      <c r="B13" s="523" t="s">
        <v>7889</v>
      </c>
      <c r="C13" s="785"/>
      <c r="D13" s="785" t="s">
        <v>132</v>
      </c>
      <c r="E13" s="785" t="s">
        <v>132</v>
      </c>
      <c r="F13" s="786" t="s">
        <v>132</v>
      </c>
      <c r="G13" s="524" t="str">
        <f>IF(A13="","",PedBerTPN!W9)</f>
        <v/>
      </c>
      <c r="H13" s="521"/>
    </row>
    <row r="14" spans="1:8" ht="18" customHeight="1" x14ac:dyDescent="0.2">
      <c r="A14" s="875"/>
      <c r="B14" s="525" t="s">
        <v>311</v>
      </c>
      <c r="C14" s="526"/>
      <c r="D14" s="526" t="s">
        <v>313</v>
      </c>
      <c r="E14" s="526" t="s">
        <v>36</v>
      </c>
      <c r="F14" s="527" t="s">
        <v>36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257</v>
      </c>
      <c r="C15" s="526"/>
      <c r="D15" s="526" t="s">
        <v>299</v>
      </c>
      <c r="E15" s="526" t="s">
        <v>314</v>
      </c>
      <c r="F15" s="527" t="s">
        <v>37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453</v>
      </c>
      <c r="C16" s="526"/>
      <c r="D16" s="526" t="s">
        <v>315</v>
      </c>
      <c r="E16" s="526"/>
      <c r="F16" s="527"/>
      <c r="G16" s="528" t="str">
        <f>IF(AND(A13&lt;&gt;"",B16=PedBerTPN!H8),PedBerTPN!W8,"")</f>
        <v/>
      </c>
      <c r="H16" s="521"/>
    </row>
    <row r="17" spans="1:9" ht="18" customHeight="1" x14ac:dyDescent="0.2">
      <c r="A17" s="520"/>
      <c r="B17" s="525" t="s">
        <v>456</v>
      </c>
      <c r="C17" s="526"/>
      <c r="D17" s="526"/>
      <c r="E17" s="526" t="s">
        <v>316</v>
      </c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458</v>
      </c>
      <c r="C18" s="526" t="s">
        <v>4848</v>
      </c>
      <c r="D18" s="526"/>
      <c r="E18" s="526"/>
      <c r="F18" s="527" t="s">
        <v>317</v>
      </c>
      <c r="G18" s="528" t="str">
        <f>IF(AND(A13&lt;&gt;"",B18=PedBerTPN!H8,_Pat_Gewicht&lt;=10),PedBerTPN!W8,"")</f>
        <v/>
      </c>
      <c r="H18" s="521"/>
    </row>
    <row r="19" spans="1:9" ht="18" customHeight="1" x14ac:dyDescent="0.2">
      <c r="A19" s="520"/>
      <c r="B19" s="525" t="s">
        <v>458</v>
      </c>
      <c r="C19" s="526" t="s">
        <v>4849</v>
      </c>
      <c r="D19" s="526"/>
      <c r="E19" s="526"/>
      <c r="F19" s="527" t="s">
        <v>318</v>
      </c>
      <c r="G19" s="528" t="str">
        <f>IF(AND(A13&lt;&gt;"",B19=PedBerTPN!H8,_Pat_Gewicht&gt;10),PedBerTPN!W8,"")</f>
        <v/>
      </c>
      <c r="H19" s="52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2"/>
    </row>
    <row r="21" spans="1:9" ht="18" customHeight="1" x14ac:dyDescent="0.2">
      <c r="A21" s="520"/>
      <c r="B21" s="525" t="str">
        <f>IF(AND(G15&lt;&gt;"",G16="",G17="",G18=""),PedBerTPN!H8,"")</f>
        <v/>
      </c>
      <c r="C21" s="526"/>
      <c r="D21" s="526"/>
      <c r="E21" s="526"/>
      <c r="F21" s="527"/>
      <c r="G21" s="528" t="str">
        <f>IF(B21="","",PedBerTPN!W8)</f>
        <v/>
      </c>
      <c r="H21" s="521"/>
    </row>
    <row r="22" spans="1:9" ht="18" customHeight="1" x14ac:dyDescent="0.2">
      <c r="A22" s="520"/>
      <c r="B22" s="784"/>
      <c r="C22" s="784"/>
      <c r="D22" s="784"/>
      <c r="E22" s="859" t="s">
        <v>161</v>
      </c>
      <c r="F22" s="859"/>
      <c r="G22" s="529" t="str">
        <f>IF(A13="","",PedBerTPN!X3)</f>
        <v/>
      </c>
      <c r="H22" s="530"/>
      <c r="I22" s="805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2"/>
      <c r="H23" s="521"/>
    </row>
    <row r="24" spans="1:9" ht="18" customHeight="1" x14ac:dyDescent="0.2">
      <c r="A24" s="855" t="str">
        <f>PedBerTPN!V16</f>
        <v/>
      </c>
      <c r="B24" s="523" t="str">
        <f>PedBerTPN!H17</f>
        <v/>
      </c>
      <c r="C24" s="785"/>
      <c r="D24" s="785" t="s">
        <v>298</v>
      </c>
      <c r="E24" s="785" t="s">
        <v>299</v>
      </c>
      <c r="F24" s="786" t="s">
        <v>133</v>
      </c>
      <c r="G24" s="524" t="str">
        <f>PedBerTPN!W17</f>
        <v/>
      </c>
      <c r="H24" s="533"/>
    </row>
    <row r="25" spans="1:9" ht="18" customHeight="1" x14ac:dyDescent="0.2">
      <c r="A25" s="856"/>
      <c r="B25" s="525" t="s">
        <v>148</v>
      </c>
      <c r="C25" s="526"/>
      <c r="D25" s="526"/>
      <c r="E25" s="876" t="s">
        <v>287</v>
      </c>
      <c r="F25" s="877"/>
      <c r="G25" s="524" t="str">
        <f>PedBerTPN!W18</f>
        <v/>
      </c>
      <c r="H25" s="521"/>
    </row>
    <row r="26" spans="1:9" ht="18" customHeight="1" x14ac:dyDescent="0.2">
      <c r="A26" s="520"/>
      <c r="B26" s="525" t="s">
        <v>160</v>
      </c>
      <c r="C26" s="526"/>
      <c r="D26" s="526"/>
      <c r="E26" s="876" t="s">
        <v>287</v>
      </c>
      <c r="F26" s="877"/>
      <c r="G26" s="524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59" t="s">
        <v>161</v>
      </c>
      <c r="F27" s="859"/>
      <c r="G27" s="532" t="str">
        <f>PedBerTPN!X16</f>
        <v/>
      </c>
      <c r="H27" s="530"/>
      <c r="I27" s="805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2"/>
      <c r="H28" s="521"/>
    </row>
    <row r="29" spans="1:9" ht="18" customHeight="1" thickTop="1" x14ac:dyDescent="0.2">
      <c r="A29" s="534"/>
      <c r="B29" s="857" t="s">
        <v>87</v>
      </c>
      <c r="C29" s="858"/>
      <c r="D29" s="858"/>
      <c r="E29" s="858"/>
      <c r="F29" s="858"/>
      <c r="G29" s="535"/>
      <c r="H29" s="536"/>
    </row>
    <row r="30" spans="1:9" ht="18" customHeight="1" x14ac:dyDescent="0.2">
      <c r="A30" s="855" t="str">
        <f>IF(A13="",PedBerTPN!V3,PedBerTPN!V11)</f>
        <v/>
      </c>
      <c r="B30" s="537" t="s">
        <v>7889</v>
      </c>
      <c r="C30" s="538"/>
      <c r="D30" s="538"/>
      <c r="E30" s="538"/>
      <c r="F30" s="539"/>
      <c r="G30" s="540" t="str">
        <f>IF(G13="",PedBerTPN!W9,"")</f>
        <v/>
      </c>
      <c r="H30" s="521"/>
    </row>
    <row r="31" spans="1:9" ht="18" customHeight="1" x14ac:dyDescent="0.2">
      <c r="A31" s="856"/>
      <c r="B31" s="541" t="s">
        <v>312</v>
      </c>
      <c r="C31" s="542"/>
      <c r="D31" s="542"/>
      <c r="E31" s="542"/>
      <c r="F31" s="54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326</v>
      </c>
      <c r="C32" s="542"/>
      <c r="D32" s="542"/>
      <c r="E32" s="542"/>
      <c r="F32" s="543"/>
      <c r="G32" s="544" t="str">
        <f>PedBerTPN!W12</f>
        <v/>
      </c>
      <c r="H32" s="521"/>
    </row>
    <row r="33" spans="1:9" ht="18" customHeight="1" x14ac:dyDescent="0.2">
      <c r="A33" s="545"/>
      <c r="B33" s="541" t="s">
        <v>327</v>
      </c>
      <c r="C33" s="542"/>
      <c r="D33" s="542"/>
      <c r="E33" s="542"/>
      <c r="F33" s="543"/>
      <c r="G33" s="544" t="str">
        <f>PedBerTPN!W13</f>
        <v/>
      </c>
      <c r="H33" s="521"/>
    </row>
    <row r="34" spans="1:9" ht="18" customHeight="1" x14ac:dyDescent="0.2">
      <c r="A34" s="545"/>
      <c r="B34" s="541" t="s">
        <v>453</v>
      </c>
      <c r="C34" s="542"/>
      <c r="D34" s="542"/>
      <c r="E34" s="542"/>
      <c r="F34" s="54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20"/>
      <c r="B35" s="541" t="str">
        <f>IF(AND(G34="",A13=""),PedBerTPN!H8,"")</f>
        <v/>
      </c>
      <c r="C35" s="542"/>
      <c r="D35" s="542"/>
      <c r="E35" s="542"/>
      <c r="F35" s="54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59" t="s">
        <v>162</v>
      </c>
      <c r="F36" s="859"/>
      <c r="G36" s="546" t="str">
        <f>IF(G22="",PedBerTPN!X3,PedBerTPN!X11)</f>
        <v/>
      </c>
      <c r="H36" s="521"/>
      <c r="I36" s="805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78" t="s">
        <v>182</v>
      </c>
      <c r="C38" s="879"/>
      <c r="D38" s="879"/>
      <c r="E38" s="879"/>
      <c r="F38" s="880"/>
      <c r="G38" s="536" t="s">
        <v>183</v>
      </c>
      <c r="H38" s="536"/>
    </row>
    <row r="39" spans="1:9" ht="18" customHeight="1" x14ac:dyDescent="0.2">
      <c r="A39" s="547"/>
      <c r="B39" s="881" t="s">
        <v>184</v>
      </c>
      <c r="C39" s="882"/>
      <c r="D39" s="882"/>
      <c r="E39" s="882"/>
      <c r="F39" s="883"/>
      <c r="G39" s="522" t="s">
        <v>185</v>
      </c>
      <c r="H39" s="521"/>
    </row>
    <row r="40" spans="1:9" ht="18" customHeight="1" x14ac:dyDescent="0.2">
      <c r="A40" s="547"/>
      <c r="B40" s="881" t="s">
        <v>186</v>
      </c>
      <c r="C40" s="882"/>
      <c r="D40" s="882"/>
      <c r="E40" s="882"/>
      <c r="F40" s="883"/>
      <c r="G40" s="522" t="s">
        <v>183</v>
      </c>
      <c r="H40" s="548"/>
    </row>
    <row r="41" spans="1:9" ht="18" customHeight="1" x14ac:dyDescent="0.2">
      <c r="A41" s="152" t="s">
        <v>187</v>
      </c>
    </row>
    <row r="42" spans="1:9" ht="18" customHeight="1" x14ac:dyDescent="0.2"/>
    <row r="43" spans="1:9" ht="18" customHeight="1" x14ac:dyDescent="0.2">
      <c r="A43" s="152" t="s">
        <v>67</v>
      </c>
    </row>
    <row r="45" spans="1:9" x14ac:dyDescent="0.2">
      <c r="F45" s="1"/>
    </row>
  </sheetData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E36:F36"/>
    <mergeCell ref="B38:F38"/>
    <mergeCell ref="B39:F39"/>
    <mergeCell ref="B40:F40"/>
    <mergeCell ref="A30:A31"/>
    <mergeCell ref="A10:H10"/>
    <mergeCell ref="B11:B12"/>
    <mergeCell ref="C11:C12"/>
    <mergeCell ref="D11:D12"/>
    <mergeCell ref="E11:E12"/>
    <mergeCell ref="F11:F12"/>
    <mergeCell ref="A13:A14"/>
    <mergeCell ref="A24:A25"/>
    <mergeCell ref="B29:F29"/>
    <mergeCell ref="E22:F22"/>
    <mergeCell ref="E25:F25"/>
    <mergeCell ref="E26:F26"/>
    <mergeCell ref="E27:F27"/>
  </mergeCells>
  <phoneticPr fontId="27" type="noConversion"/>
  <pageMargins left="0.44" right="0.26" top="0.35" bottom="0.34" header="0.17" footer="0.17"/>
  <pageSetup paperSize="9" orientation="portrait" r:id="rId2"/>
  <headerFooter alignWithMargins="0">
    <oddHeader>&amp;CBed 1.3&amp;LAfsprakenProgramma 0.23.07-beta</oddHeader>
  </headerFooter>
  <rowBreaks count="1" manualBreakCount="1">
    <brk id="44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  <pageSetUpPr fitToPage="1"/>
  </sheetPr>
  <dimension ref="A1:I45"/>
  <sheetViews>
    <sheetView zoomScaleNormal="100" workbookViewId="0">
      <selection activeCell="B24" sqref="B24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5"/>
    <col min="10" max="16384" width="9.140625" style="152"/>
  </cols>
  <sheetData>
    <row r="1" spans="1:8" ht="12.75" customHeight="1" x14ac:dyDescent="0.2">
      <c r="A1" s="183" t="s">
        <v>188</v>
      </c>
      <c r="F1" s="1" t="s">
        <v>4851</v>
      </c>
    </row>
    <row r="2" spans="1:8" ht="12.75" customHeight="1" x14ac:dyDescent="0.2"/>
    <row r="3" spans="1:8" ht="12.75" customHeight="1" x14ac:dyDescent="0.2">
      <c r="A3" s="152" t="s">
        <v>189</v>
      </c>
      <c r="B3" s="510">
        <f ca="1">TODAY()</f>
        <v>43418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190</v>
      </c>
      <c r="B4" s="152" t="s">
        <v>871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385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244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7446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">
        <v>279</v>
      </c>
      <c r="C9" s="152">
        <f>SUM(I22,I27,I36)</f>
        <v>0</v>
      </c>
      <c r="D9" s="152" t="s">
        <v>245</v>
      </c>
    </row>
    <row r="10" spans="1:8" ht="12.75" customHeight="1" thickTop="1" x14ac:dyDescent="0.2">
      <c r="A10" s="865" t="s">
        <v>16</v>
      </c>
      <c r="B10" s="866"/>
      <c r="C10" s="866"/>
      <c r="D10" s="866"/>
      <c r="E10" s="866"/>
      <c r="F10" s="866"/>
      <c r="G10" s="866"/>
      <c r="H10" s="867"/>
    </row>
    <row r="11" spans="1:8" ht="25.5" x14ac:dyDescent="0.2">
      <c r="A11" s="520" t="s">
        <v>232</v>
      </c>
      <c r="B11" s="868" t="s">
        <v>124</v>
      </c>
      <c r="C11" s="870"/>
      <c r="D11" s="872" t="s">
        <v>125</v>
      </c>
      <c r="E11" s="872" t="s">
        <v>126</v>
      </c>
      <c r="F11" s="872" t="s">
        <v>127</v>
      </c>
      <c r="G11" s="521"/>
      <c r="H11" s="521" t="s">
        <v>128</v>
      </c>
    </row>
    <row r="12" spans="1:8" ht="15" customHeight="1" x14ac:dyDescent="0.2">
      <c r="A12" s="783" t="s">
        <v>129</v>
      </c>
      <c r="B12" s="869"/>
      <c r="C12" s="871"/>
      <c r="D12" s="873"/>
      <c r="E12" s="873"/>
      <c r="F12" s="873"/>
      <c r="G12" s="521" t="s">
        <v>130</v>
      </c>
      <c r="H12" s="522" t="s">
        <v>131</v>
      </c>
    </row>
    <row r="13" spans="1:8" ht="18" customHeight="1" x14ac:dyDescent="0.2">
      <c r="A13" s="874" t="str">
        <f>IF(G15="","",PedBerTPN!V3)</f>
        <v/>
      </c>
      <c r="B13" s="523" t="s">
        <v>7889</v>
      </c>
      <c r="C13" s="785"/>
      <c r="D13" s="785" t="s">
        <v>132</v>
      </c>
      <c r="E13" s="785" t="s">
        <v>132</v>
      </c>
      <c r="F13" s="786" t="s">
        <v>132</v>
      </c>
      <c r="G13" s="524" t="str">
        <f>IF(A13="","",PedBerTPN!W9)</f>
        <v/>
      </c>
      <c r="H13" s="521"/>
    </row>
    <row r="14" spans="1:8" ht="18" customHeight="1" x14ac:dyDescent="0.2">
      <c r="A14" s="875"/>
      <c r="B14" s="525" t="s">
        <v>311</v>
      </c>
      <c r="C14" s="526"/>
      <c r="D14" s="526" t="s">
        <v>313</v>
      </c>
      <c r="E14" s="526" t="s">
        <v>36</v>
      </c>
      <c r="F14" s="527" t="s">
        <v>36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34</v>
      </c>
      <c r="C15" s="526"/>
      <c r="D15" s="526" t="s">
        <v>299</v>
      </c>
      <c r="E15" s="526" t="s">
        <v>133</v>
      </c>
      <c r="F15" s="527" t="s">
        <v>314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234</v>
      </c>
      <c r="C16" s="526"/>
      <c r="D16" s="526"/>
      <c r="E16" s="876" t="s">
        <v>7451</v>
      </c>
      <c r="F16" s="877"/>
      <c r="G16" s="528" t="str">
        <f>PedBerTPN!W6</f>
        <v/>
      </c>
      <c r="H16" s="521"/>
    </row>
    <row r="17" spans="1:9" ht="18" customHeight="1" x14ac:dyDescent="0.2">
      <c r="A17" s="520"/>
      <c r="B17" s="525" t="s">
        <v>453</v>
      </c>
      <c r="C17" s="526"/>
      <c r="D17" s="526" t="s">
        <v>96</v>
      </c>
      <c r="E17" s="526"/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456</v>
      </c>
      <c r="C18" s="526"/>
      <c r="D18" s="526"/>
      <c r="E18" s="526" t="s">
        <v>97</v>
      </c>
      <c r="F18" s="527"/>
      <c r="G18" s="528" t="str">
        <f>IF(AND(A13&lt;&gt;"",B18=PedBerTPN!H8),PedBerTPN!W8,"")</f>
        <v/>
      </c>
      <c r="H18" s="521"/>
    </row>
    <row r="19" spans="1:9" ht="18" customHeight="1" x14ac:dyDescent="0.2">
      <c r="A19" s="520"/>
      <c r="B19" s="525" t="s">
        <v>458</v>
      </c>
      <c r="C19" s="526"/>
      <c r="D19" s="526"/>
      <c r="E19" s="526"/>
      <c r="F19" s="527" t="s">
        <v>98</v>
      </c>
      <c r="G19" s="528" t="str">
        <f>IF(AND(A13&lt;&gt;"",B19=PedBerTPN!H8),PedBerTPN!W8,"")</f>
        <v/>
      </c>
      <c r="H19" s="52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2"/>
    </row>
    <row r="21" spans="1:9" ht="18" customHeight="1" x14ac:dyDescent="0.2">
      <c r="A21" s="520"/>
      <c r="B21" s="525" t="str">
        <f>IF(AND(G15&lt;&gt;"",G17="",G18="",G19=""),PedBerTPN!H8,"")</f>
        <v/>
      </c>
      <c r="C21" s="526"/>
      <c r="D21" s="526"/>
      <c r="E21" s="526"/>
      <c r="F21" s="527"/>
      <c r="G21" s="528" t="str">
        <f>IF(B21="","",PedBerTPN!W8)</f>
        <v/>
      </c>
      <c r="H21" s="521"/>
    </row>
    <row r="22" spans="1:9" ht="18" customHeight="1" x14ac:dyDescent="0.2">
      <c r="A22" s="520"/>
      <c r="B22" s="784"/>
      <c r="C22" s="784"/>
      <c r="D22" s="784"/>
      <c r="E22" s="859" t="s">
        <v>161</v>
      </c>
      <c r="F22" s="859"/>
      <c r="G22" s="791" t="str">
        <f>IF(A13="","",PedBerTPN!X3)</f>
        <v/>
      </c>
      <c r="H22" s="530"/>
      <c r="I22" s="805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4" t="str">
        <f>PedBerTPN!V16</f>
        <v/>
      </c>
      <c r="B24" s="523" t="str">
        <f>PedBerTPN!H17</f>
        <v/>
      </c>
      <c r="C24" s="785"/>
      <c r="D24" s="785" t="s">
        <v>298</v>
      </c>
      <c r="E24" s="785" t="s">
        <v>299</v>
      </c>
      <c r="F24" s="786" t="s">
        <v>133</v>
      </c>
      <c r="G24" s="524" t="str">
        <f>PedBerTPN!W17</f>
        <v/>
      </c>
      <c r="H24" s="533"/>
    </row>
    <row r="25" spans="1:9" ht="18" customHeight="1" x14ac:dyDescent="0.2">
      <c r="A25" s="875"/>
      <c r="B25" s="525" t="s">
        <v>148</v>
      </c>
      <c r="C25" s="526"/>
      <c r="D25" s="526"/>
      <c r="E25" s="876" t="s">
        <v>287</v>
      </c>
      <c r="F25" s="877"/>
      <c r="G25" s="528" t="str">
        <f>PedBerTPN!W18</f>
        <v/>
      </c>
      <c r="H25" s="521"/>
    </row>
    <row r="26" spans="1:9" ht="18" customHeight="1" x14ac:dyDescent="0.2">
      <c r="A26" s="520"/>
      <c r="B26" s="525" t="s">
        <v>160</v>
      </c>
      <c r="C26" s="526"/>
      <c r="D26" s="526"/>
      <c r="E26" s="876" t="s">
        <v>287</v>
      </c>
      <c r="F26" s="877"/>
      <c r="G26" s="528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59" t="s">
        <v>161</v>
      </c>
      <c r="F27" s="859"/>
      <c r="G27" s="792" t="str">
        <f>PedBerTPN!X16</f>
        <v/>
      </c>
      <c r="H27" s="530"/>
      <c r="I27" s="805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57" t="s">
        <v>87</v>
      </c>
      <c r="C29" s="858"/>
      <c r="D29" s="858"/>
      <c r="E29" s="858"/>
      <c r="F29" s="858"/>
      <c r="G29" s="793"/>
      <c r="H29" s="536"/>
    </row>
    <row r="30" spans="1:9" ht="18" customHeight="1" x14ac:dyDescent="0.2">
      <c r="A30" s="874" t="str">
        <f>IF(A13="",PedBerTPN!V3,PedBerTPN!V11)</f>
        <v/>
      </c>
      <c r="B30" s="537" t="s">
        <v>7889</v>
      </c>
      <c r="C30" s="538"/>
      <c r="D30" s="538"/>
      <c r="E30" s="538"/>
      <c r="F30" s="796"/>
      <c r="G30" s="540" t="str">
        <f>IF(G13="",PedBerTPN!W9,"")</f>
        <v/>
      </c>
      <c r="H30" s="521"/>
    </row>
    <row r="31" spans="1:9" ht="18" customHeight="1" x14ac:dyDescent="0.2">
      <c r="A31" s="875"/>
      <c r="B31" s="541" t="s">
        <v>312</v>
      </c>
      <c r="C31" s="542"/>
      <c r="D31" s="542"/>
      <c r="E31" s="542"/>
      <c r="F31" s="797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326</v>
      </c>
      <c r="C32" s="542"/>
      <c r="D32" s="542"/>
      <c r="E32" s="542"/>
      <c r="F32" s="797"/>
      <c r="G32" s="544" t="str">
        <f>PedBerTPN!W12</f>
        <v/>
      </c>
      <c r="H32" s="521"/>
    </row>
    <row r="33" spans="1:9" ht="18" customHeight="1" x14ac:dyDescent="0.2">
      <c r="A33" s="545"/>
      <c r="B33" s="541" t="s">
        <v>327</v>
      </c>
      <c r="C33" s="542"/>
      <c r="D33" s="542"/>
      <c r="E33" s="542"/>
      <c r="F33" s="797"/>
      <c r="G33" s="544" t="str">
        <f>PedBerTPN!W13</f>
        <v/>
      </c>
      <c r="H33" s="521"/>
    </row>
    <row r="34" spans="1:9" ht="18" customHeight="1" x14ac:dyDescent="0.2">
      <c r="A34" s="545"/>
      <c r="B34" s="541" t="s">
        <v>453</v>
      </c>
      <c r="C34" s="542"/>
      <c r="D34" s="542"/>
      <c r="E34" s="542"/>
      <c r="F34" s="797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45"/>
      <c r="B35" s="541" t="str">
        <f>IF(AND(G34="",A13=""),PedBerTPN!H8,"")</f>
        <v/>
      </c>
      <c r="C35" s="542"/>
      <c r="D35" s="542"/>
      <c r="E35" s="542"/>
      <c r="F35" s="797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59" t="s">
        <v>162</v>
      </c>
      <c r="F36" s="859"/>
      <c r="G36" s="794" t="str">
        <f>IF(G22="",PedBerTPN!X3,PedBerTPN!X11)</f>
        <v/>
      </c>
      <c r="H36" s="521"/>
      <c r="I36" s="805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2" t="s">
        <v>182</v>
      </c>
      <c r="C38" s="863"/>
      <c r="D38" s="863"/>
      <c r="E38" s="863"/>
      <c r="F38" s="864"/>
      <c r="G38" s="536" t="s">
        <v>183</v>
      </c>
      <c r="H38" s="536"/>
    </row>
    <row r="39" spans="1:9" ht="18" customHeight="1" x14ac:dyDescent="0.2">
      <c r="A39" s="547"/>
      <c r="B39" s="852" t="s">
        <v>184</v>
      </c>
      <c r="C39" s="853"/>
      <c r="D39" s="853"/>
      <c r="E39" s="853"/>
      <c r="F39" s="854"/>
      <c r="G39" s="522" t="s">
        <v>185</v>
      </c>
      <c r="H39" s="521"/>
    </row>
    <row r="40" spans="1:9" ht="18" customHeight="1" x14ac:dyDescent="0.2">
      <c r="A40" s="547"/>
      <c r="B40" s="852" t="s">
        <v>186</v>
      </c>
      <c r="C40" s="853"/>
      <c r="D40" s="853"/>
      <c r="E40" s="853"/>
      <c r="F40" s="854"/>
      <c r="G40" s="522" t="s">
        <v>183</v>
      </c>
      <c r="H40" s="548"/>
    </row>
    <row r="41" spans="1:9" ht="18" customHeight="1" x14ac:dyDescent="0.2">
      <c r="A41" s="152" t="s">
        <v>187</v>
      </c>
    </row>
    <row r="42" spans="1:9" ht="18" customHeight="1" x14ac:dyDescent="0.2"/>
    <row r="43" spans="1:9" ht="18" customHeight="1" x14ac:dyDescent="0.2">
      <c r="A43" s="152" t="s">
        <v>67</v>
      </c>
    </row>
    <row r="45" spans="1:9" x14ac:dyDescent="0.2">
      <c r="F45" s="1"/>
    </row>
  </sheetData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16:F16"/>
    <mergeCell ref="A24:A25"/>
    <mergeCell ref="B29:F29"/>
    <mergeCell ref="E22:F22"/>
    <mergeCell ref="E25:F25"/>
    <mergeCell ref="E26:F26"/>
    <mergeCell ref="E27:F27"/>
    <mergeCell ref="A13:A14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7" type="noConversion"/>
  <pageMargins left="0.39" right="0.26" top="0.42" bottom="0.37" header="0.23" footer="0.17"/>
  <pageSetup paperSize="9" orientation="portrait" r:id="rId2"/>
  <headerFooter alignWithMargins="0">
    <oddHeader>&amp;CBed 0&amp;LAfsprakenProgramma 0.23.07-beta</oddHeader>
  </headerFooter>
  <rowBreaks count="1" manualBreakCount="1">
    <brk id="44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  <pageSetUpPr fitToPage="1"/>
  </sheetPr>
  <dimension ref="A1:I45"/>
  <sheetViews>
    <sheetView topLeftCell="B1" zoomScaleNormal="100" workbookViewId="0">
      <selection activeCell="B24" sqref="B24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5"/>
    <col min="10" max="16384" width="9.140625" style="152"/>
  </cols>
  <sheetData>
    <row r="1" spans="1:8" ht="12.75" customHeight="1" x14ac:dyDescent="0.2">
      <c r="A1" s="183" t="s">
        <v>188</v>
      </c>
      <c r="F1" s="1" t="s">
        <v>4852</v>
      </c>
    </row>
    <row r="2" spans="1:8" ht="12.75" customHeight="1" x14ac:dyDescent="0.2"/>
    <row r="3" spans="1:8" ht="12.75" customHeight="1" x14ac:dyDescent="0.2">
      <c r="A3" s="152" t="s">
        <v>189</v>
      </c>
      <c r="B3" s="510">
        <f ca="1">TODAY()</f>
        <v>43418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190</v>
      </c>
      <c r="B4" s="152" t="s">
        <v>871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385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244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7446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">
        <v>278</v>
      </c>
      <c r="C9" s="152">
        <f>SUM(I22,I27,I36)</f>
        <v>0</v>
      </c>
      <c r="D9" s="152" t="s">
        <v>245</v>
      </c>
    </row>
    <row r="10" spans="1:8" ht="12.75" customHeight="1" thickTop="1" x14ac:dyDescent="0.2">
      <c r="A10" s="865" t="s">
        <v>16</v>
      </c>
      <c r="B10" s="866"/>
      <c r="C10" s="866"/>
      <c r="D10" s="866"/>
      <c r="E10" s="866"/>
      <c r="F10" s="866"/>
      <c r="G10" s="866"/>
      <c r="H10" s="867"/>
    </row>
    <row r="11" spans="1:8" ht="25.5" x14ac:dyDescent="0.2">
      <c r="A11" s="520" t="s">
        <v>232</v>
      </c>
      <c r="B11" s="868" t="s">
        <v>124</v>
      </c>
      <c r="C11" s="870"/>
      <c r="D11" s="872" t="s">
        <v>125</v>
      </c>
      <c r="E11" s="872" t="s">
        <v>126</v>
      </c>
      <c r="F11" s="872" t="s">
        <v>127</v>
      </c>
      <c r="G11" s="521"/>
      <c r="H11" s="521" t="s">
        <v>128</v>
      </c>
    </row>
    <row r="12" spans="1:8" ht="15" customHeight="1" x14ac:dyDescent="0.2">
      <c r="A12" s="783" t="s">
        <v>129</v>
      </c>
      <c r="B12" s="869"/>
      <c r="C12" s="871"/>
      <c r="D12" s="873"/>
      <c r="E12" s="873"/>
      <c r="F12" s="873"/>
      <c r="G12" s="521" t="s">
        <v>130</v>
      </c>
      <c r="H12" s="522" t="s">
        <v>131</v>
      </c>
    </row>
    <row r="13" spans="1:8" ht="18" customHeight="1" x14ac:dyDescent="0.2">
      <c r="A13" s="874" t="str">
        <f>IF(G15="","",PedBerTPN!V3)</f>
        <v/>
      </c>
      <c r="B13" s="523" t="s">
        <v>7889</v>
      </c>
      <c r="C13" s="785"/>
      <c r="D13" s="785" t="s">
        <v>132</v>
      </c>
      <c r="E13" s="785" t="s">
        <v>132</v>
      </c>
      <c r="F13" s="786" t="s">
        <v>132</v>
      </c>
      <c r="G13" s="524" t="str">
        <f>IF(A13="","",PedBerTPN!W9)</f>
        <v/>
      </c>
      <c r="H13" s="521"/>
    </row>
    <row r="14" spans="1:8" ht="18" customHeight="1" x14ac:dyDescent="0.2">
      <c r="A14" s="875"/>
      <c r="B14" s="525" t="s">
        <v>311</v>
      </c>
      <c r="C14" s="526"/>
      <c r="D14" s="526" t="s">
        <v>313</v>
      </c>
      <c r="E14" s="526" t="s">
        <v>36</v>
      </c>
      <c r="F14" s="527" t="s">
        <v>36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35</v>
      </c>
      <c r="C15" s="526"/>
      <c r="D15" s="526" t="s">
        <v>298</v>
      </c>
      <c r="E15" s="526" t="s">
        <v>99</v>
      </c>
      <c r="F15" s="527" t="s">
        <v>102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234</v>
      </c>
      <c r="C16" s="526"/>
      <c r="D16" s="526"/>
      <c r="E16" s="876" t="s">
        <v>7451</v>
      </c>
      <c r="F16" s="877"/>
      <c r="G16" s="528" t="str">
        <f>PedBerTPN!W6</f>
        <v/>
      </c>
      <c r="H16" s="521"/>
    </row>
    <row r="17" spans="1:9" ht="18" customHeight="1" x14ac:dyDescent="0.2">
      <c r="A17" s="520"/>
      <c r="B17" s="525" t="s">
        <v>453</v>
      </c>
      <c r="C17" s="526"/>
      <c r="D17" s="526" t="s">
        <v>100</v>
      </c>
      <c r="E17" s="526"/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456</v>
      </c>
      <c r="C18" s="526"/>
      <c r="D18" s="526"/>
      <c r="E18" s="526" t="s">
        <v>101</v>
      </c>
      <c r="F18" s="527"/>
      <c r="G18" s="528" t="str">
        <f>IF(AND(A13&lt;&gt;"",B18=PedBerTPN!H8),PedBerTPN!W8,"")</f>
        <v/>
      </c>
      <c r="H18" s="521"/>
    </row>
    <row r="19" spans="1:9" ht="18" customHeight="1" x14ac:dyDescent="0.2">
      <c r="A19" s="520"/>
      <c r="B19" s="525" t="s">
        <v>457</v>
      </c>
      <c r="C19" s="542" t="s">
        <v>4853</v>
      </c>
      <c r="D19" s="526"/>
      <c r="E19" s="526"/>
      <c r="F19" s="527" t="s">
        <v>318</v>
      </c>
      <c r="G19" s="528" t="str">
        <f>IF(AND(A13&lt;&gt;"",B19=PedBerTPN!H8),PedBerTPN!W8,"")</f>
        <v/>
      </c>
      <c r="H19" s="521"/>
    </row>
    <row r="20" spans="1:9" ht="18" customHeight="1" x14ac:dyDescent="0.2">
      <c r="A20" s="520"/>
      <c r="B20" s="525" t="s">
        <v>460</v>
      </c>
      <c r="C20" s="542" t="s">
        <v>4854</v>
      </c>
      <c r="D20" s="526"/>
      <c r="E20" s="526"/>
      <c r="F20" s="527" t="s">
        <v>314</v>
      </c>
      <c r="G20" s="528" t="str">
        <f>IF(AND(A13&lt;&gt;"",B20=PedBerTPN!H8),PedBerTPN!W8,"")</f>
        <v/>
      </c>
      <c r="H20" s="521"/>
    </row>
    <row r="21" spans="1:9" ht="18" customHeight="1" x14ac:dyDescent="0.2">
      <c r="A21" s="520"/>
      <c r="B21" s="798" t="str">
        <f>IF(AND(G15&lt;&gt;"",G17="",G18="",G19="",G20=""),PedBerTPN!H8,"")</f>
        <v/>
      </c>
      <c r="C21" s="799"/>
      <c r="D21" s="799"/>
      <c r="E21" s="799"/>
      <c r="F21" s="800"/>
      <c r="G21" s="528" t="str">
        <f>IF(B21="","",PedBerTPN!W8)</f>
        <v/>
      </c>
      <c r="H21" s="521"/>
    </row>
    <row r="22" spans="1:9" ht="18" customHeight="1" x14ac:dyDescent="0.2">
      <c r="A22" s="520"/>
      <c r="B22" s="784"/>
      <c r="C22" s="784"/>
      <c r="D22" s="784"/>
      <c r="E22" s="859" t="s">
        <v>161</v>
      </c>
      <c r="F22" s="859"/>
      <c r="G22" s="791" t="str">
        <f>IF(A13="","",PedBerTPN!X3)</f>
        <v/>
      </c>
      <c r="H22" s="530"/>
      <c r="I22" s="805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4" t="str">
        <f>PedBerTPN!V16</f>
        <v/>
      </c>
      <c r="B24" s="523" t="str">
        <f>PedBerTPN!H17</f>
        <v/>
      </c>
      <c r="C24" s="785"/>
      <c r="D24" s="785" t="s">
        <v>277</v>
      </c>
      <c r="E24" s="785" t="s">
        <v>132</v>
      </c>
      <c r="F24" s="786" t="s">
        <v>299</v>
      </c>
      <c r="G24" s="524" t="str">
        <f>PedBerTPN!W17</f>
        <v/>
      </c>
      <c r="H24" s="533"/>
    </row>
    <row r="25" spans="1:9" ht="18" customHeight="1" x14ac:dyDescent="0.2">
      <c r="A25" s="875"/>
      <c r="B25" s="525" t="s">
        <v>148</v>
      </c>
      <c r="C25" s="526"/>
      <c r="D25" s="526"/>
      <c r="E25" s="876" t="s">
        <v>287</v>
      </c>
      <c r="F25" s="877"/>
      <c r="G25" s="528" t="str">
        <f>PedBerTPN!W18</f>
        <v/>
      </c>
      <c r="H25" s="521"/>
    </row>
    <row r="26" spans="1:9" ht="18" customHeight="1" x14ac:dyDescent="0.2">
      <c r="A26" s="520"/>
      <c r="B26" s="525" t="s">
        <v>160</v>
      </c>
      <c r="C26" s="526"/>
      <c r="D26" s="526"/>
      <c r="E26" s="876" t="s">
        <v>287</v>
      </c>
      <c r="F26" s="877"/>
      <c r="G26" s="528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59" t="s">
        <v>161</v>
      </c>
      <c r="F27" s="859"/>
      <c r="G27" s="792" t="str">
        <f>PedBerTPN!X16</f>
        <v/>
      </c>
      <c r="H27" s="530"/>
      <c r="I27" s="805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57" t="s">
        <v>87</v>
      </c>
      <c r="C29" s="858"/>
      <c r="D29" s="858"/>
      <c r="E29" s="858"/>
      <c r="F29" s="858"/>
      <c r="G29" s="793"/>
      <c r="H29" s="536"/>
    </row>
    <row r="30" spans="1:9" ht="18" customHeight="1" x14ac:dyDescent="0.2">
      <c r="A30" s="874" t="str">
        <f>IF(A13="",PedBerTPN!V3,PedBerTPN!V11)</f>
        <v/>
      </c>
      <c r="B30" s="537" t="s">
        <v>7889</v>
      </c>
      <c r="C30" s="538"/>
      <c r="D30" s="538"/>
      <c r="E30" s="538"/>
      <c r="F30" s="539"/>
      <c r="G30" s="540" t="str">
        <f>IF(G13="",PedBerTPN!W9,"")</f>
        <v/>
      </c>
      <c r="H30" s="521"/>
    </row>
    <row r="31" spans="1:9" ht="18" customHeight="1" x14ac:dyDescent="0.2">
      <c r="A31" s="875"/>
      <c r="B31" s="541" t="s">
        <v>312</v>
      </c>
      <c r="C31" s="542"/>
      <c r="D31" s="542"/>
      <c r="E31" s="542"/>
      <c r="F31" s="54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326</v>
      </c>
      <c r="C32" s="542"/>
      <c r="D32" s="542"/>
      <c r="E32" s="542"/>
      <c r="F32" s="543"/>
      <c r="G32" s="544" t="str">
        <f>PedBerTPN!W12</f>
        <v/>
      </c>
      <c r="H32" s="521"/>
    </row>
    <row r="33" spans="1:9" ht="18" customHeight="1" x14ac:dyDescent="0.2">
      <c r="A33" s="545"/>
      <c r="B33" s="541" t="s">
        <v>327</v>
      </c>
      <c r="C33" s="542"/>
      <c r="D33" s="542"/>
      <c r="E33" s="542"/>
      <c r="F33" s="543"/>
      <c r="G33" s="544" t="str">
        <f>PedBerTPN!W13</f>
        <v/>
      </c>
      <c r="H33" s="521"/>
    </row>
    <row r="34" spans="1:9" ht="18" customHeight="1" x14ac:dyDescent="0.2">
      <c r="A34" s="545"/>
      <c r="B34" s="541" t="s">
        <v>453</v>
      </c>
      <c r="C34" s="542"/>
      <c r="D34" s="542"/>
      <c r="E34" s="542"/>
      <c r="F34" s="54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45"/>
      <c r="B35" s="541" t="str">
        <f>IF(AND(G34="",A13=""),PedBerTPN!H8,"")</f>
        <v/>
      </c>
      <c r="C35" s="542"/>
      <c r="D35" s="542"/>
      <c r="E35" s="542"/>
      <c r="F35" s="54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59" t="s">
        <v>162</v>
      </c>
      <c r="F36" s="859"/>
      <c r="G36" s="794" t="str">
        <f>IF(G22="",PedBerTPN!X3,PedBerTPN!X11)</f>
        <v/>
      </c>
      <c r="H36" s="521"/>
      <c r="I36" s="805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2" t="s">
        <v>182</v>
      </c>
      <c r="C38" s="863"/>
      <c r="D38" s="863"/>
      <c r="E38" s="863"/>
      <c r="F38" s="864"/>
      <c r="G38" s="536" t="s">
        <v>183</v>
      </c>
      <c r="H38" s="536"/>
    </row>
    <row r="39" spans="1:9" ht="18" customHeight="1" x14ac:dyDescent="0.2">
      <c r="A39" s="547"/>
      <c r="B39" s="852" t="s">
        <v>184</v>
      </c>
      <c r="C39" s="853"/>
      <c r="D39" s="853"/>
      <c r="E39" s="853"/>
      <c r="F39" s="854"/>
      <c r="G39" s="522" t="s">
        <v>185</v>
      </c>
      <c r="H39" s="521"/>
    </row>
    <row r="40" spans="1:9" ht="18" customHeight="1" x14ac:dyDescent="0.2">
      <c r="A40" s="547"/>
      <c r="B40" s="852" t="s">
        <v>186</v>
      </c>
      <c r="C40" s="853"/>
      <c r="D40" s="853"/>
      <c r="E40" s="853"/>
      <c r="F40" s="854"/>
      <c r="G40" s="522" t="s">
        <v>183</v>
      </c>
      <c r="H40" s="548"/>
    </row>
    <row r="41" spans="1:9" ht="18" customHeight="1" x14ac:dyDescent="0.2">
      <c r="A41" s="152" t="s">
        <v>187</v>
      </c>
    </row>
    <row r="42" spans="1:9" ht="18" customHeight="1" x14ac:dyDescent="0.2"/>
    <row r="43" spans="1:9" ht="18" customHeight="1" x14ac:dyDescent="0.2">
      <c r="A43" s="152" t="s">
        <v>67</v>
      </c>
    </row>
    <row r="45" spans="1:9" x14ac:dyDescent="0.2">
      <c r="F45" s="1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36:F36"/>
    <mergeCell ref="B38:F38"/>
    <mergeCell ref="B39:F39"/>
    <mergeCell ref="B40:F40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7" type="noConversion"/>
  <pageMargins left="0.42" right="0.26" top="0.39" bottom="0.34" header="0.18" footer="0.17"/>
  <pageSetup paperSize="9" orientation="portrait" r:id="rId2"/>
  <headerFooter alignWithMargins="0">
    <oddHeader>&amp;CBed 0&amp;LAfsprakenProgramma 0.23.07-beta</oddHeader>
  </headerFooter>
  <rowBreaks count="1" manualBreakCount="1">
    <brk id="44" max="7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  <pageSetUpPr fitToPage="1"/>
  </sheetPr>
  <dimension ref="A1:I45"/>
  <sheetViews>
    <sheetView zoomScaleNormal="100" workbookViewId="0">
      <selection activeCell="D24" sqref="D24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5"/>
    <col min="10" max="16384" width="9.140625" style="152"/>
  </cols>
  <sheetData>
    <row r="1" spans="1:9" ht="12.75" customHeight="1" x14ac:dyDescent="0.2">
      <c r="A1" s="183" t="s">
        <v>188</v>
      </c>
      <c r="F1" s="1" t="s">
        <v>4855</v>
      </c>
    </row>
    <row r="2" spans="1:9" ht="12.75" customHeight="1" x14ac:dyDescent="0.2"/>
    <row r="3" spans="1:9" ht="12.75" customHeight="1" x14ac:dyDescent="0.2">
      <c r="A3" s="152" t="s">
        <v>189</v>
      </c>
      <c r="B3" s="510">
        <f ca="1">TODAY()</f>
        <v>43418</v>
      </c>
      <c r="F3" s="511" t="str">
        <f>Txt_Pat_PatNo</f>
        <v/>
      </c>
      <c r="G3" s="512"/>
      <c r="H3" s="513"/>
    </row>
    <row r="4" spans="1:9" ht="12.75" customHeight="1" x14ac:dyDescent="0.2">
      <c r="A4" s="152" t="s">
        <v>190</v>
      </c>
      <c r="B4" s="152" t="s">
        <v>871</v>
      </c>
      <c r="F4" s="514" t="str">
        <f>Txt_Pat_FullName</f>
        <v/>
      </c>
      <c r="G4" s="164"/>
      <c r="H4" s="515"/>
    </row>
    <row r="5" spans="1:9" ht="12.75" customHeight="1" x14ac:dyDescent="0.2">
      <c r="A5" s="183" t="s">
        <v>385</v>
      </c>
      <c r="B5" s="152">
        <f>__1_Bed</f>
        <v>0</v>
      </c>
      <c r="F5" s="516" t="str">
        <f ca="1">Txt_Pat_GeboorteDat</f>
        <v/>
      </c>
      <c r="G5" s="164"/>
      <c r="H5" s="515"/>
    </row>
    <row r="6" spans="1:9" ht="12.75" customHeight="1" x14ac:dyDescent="0.2">
      <c r="A6" s="152" t="s">
        <v>244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9" ht="12.75" customHeight="1" x14ac:dyDescent="0.2">
      <c r="A7" s="152" t="s">
        <v>7446</v>
      </c>
      <c r="F7" s="517"/>
      <c r="G7" s="518"/>
      <c r="H7" s="519"/>
    </row>
    <row r="8" spans="1:9" ht="12.75" customHeight="1" x14ac:dyDescent="0.2"/>
    <row r="9" spans="1:9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SUM(I15,I19,I27,I36)</f>
        <v>0</v>
      </c>
      <c r="D9" s="152" t="s">
        <v>245</v>
      </c>
    </row>
    <row r="10" spans="1:9" ht="12.75" customHeight="1" thickTop="1" x14ac:dyDescent="0.2">
      <c r="A10" s="865" t="s">
        <v>16</v>
      </c>
      <c r="B10" s="866"/>
      <c r="C10" s="866"/>
      <c r="D10" s="866"/>
      <c r="E10" s="866"/>
      <c r="F10" s="866"/>
      <c r="G10" s="866"/>
      <c r="H10" s="867"/>
    </row>
    <row r="11" spans="1:9" ht="25.5" x14ac:dyDescent="0.2">
      <c r="A11" s="520" t="s">
        <v>232</v>
      </c>
      <c r="B11" s="868" t="s">
        <v>124</v>
      </c>
      <c r="C11" s="870"/>
      <c r="D11" s="872" t="s">
        <v>125</v>
      </c>
      <c r="E11" s="872" t="s">
        <v>126</v>
      </c>
      <c r="F11" s="872" t="s">
        <v>127</v>
      </c>
      <c r="G11" s="521"/>
      <c r="H11" s="521" t="s">
        <v>128</v>
      </c>
    </row>
    <row r="12" spans="1:9" ht="15" customHeight="1" x14ac:dyDescent="0.2">
      <c r="A12" s="783" t="s">
        <v>129</v>
      </c>
      <c r="B12" s="869"/>
      <c r="C12" s="871"/>
      <c r="D12" s="873"/>
      <c r="E12" s="873"/>
      <c r="F12" s="873"/>
      <c r="G12" s="521" t="s">
        <v>130</v>
      </c>
      <c r="H12" s="522" t="s">
        <v>131</v>
      </c>
    </row>
    <row r="13" spans="1:9" ht="18" customHeight="1" x14ac:dyDescent="0.2">
      <c r="A13" s="874" t="str">
        <f>PedBerTPN!V5</f>
        <v/>
      </c>
      <c r="B13" s="525" t="s">
        <v>58</v>
      </c>
      <c r="C13" s="526"/>
      <c r="D13" s="526" t="s">
        <v>59</v>
      </c>
      <c r="E13" s="526" t="s">
        <v>60</v>
      </c>
      <c r="F13" s="527" t="s">
        <v>61</v>
      </c>
      <c r="G13" s="787" t="str">
        <f>PedBerTPN!W5</f>
        <v/>
      </c>
      <c r="H13" s="521"/>
    </row>
    <row r="14" spans="1:9" ht="18" customHeight="1" x14ac:dyDescent="0.2">
      <c r="A14" s="875"/>
      <c r="B14" s="525"/>
      <c r="C14" s="526"/>
      <c r="D14" s="526"/>
      <c r="E14" s="526"/>
      <c r="F14" s="527"/>
      <c r="G14" s="528"/>
      <c r="H14" s="521"/>
    </row>
    <row r="15" spans="1:9" ht="18" customHeight="1" x14ac:dyDescent="0.2">
      <c r="A15" s="520"/>
      <c r="B15" s="788"/>
      <c r="C15" s="788"/>
      <c r="D15" s="788"/>
      <c r="E15" s="788"/>
      <c r="F15" s="788" t="s">
        <v>162</v>
      </c>
      <c r="G15" s="789" t="str">
        <f>G13</f>
        <v/>
      </c>
      <c r="H15" s="521"/>
      <c r="I15" s="805">
        <f>StringToDouble(G15)</f>
        <v>0</v>
      </c>
    </row>
    <row r="16" spans="1:9" ht="18" customHeight="1" x14ac:dyDescent="0.2">
      <c r="A16" s="520"/>
      <c r="B16" s="526"/>
      <c r="C16" s="526"/>
      <c r="D16" s="526"/>
      <c r="E16" s="526"/>
      <c r="F16" s="526"/>
      <c r="G16" s="790"/>
      <c r="H16" s="521"/>
    </row>
    <row r="17" spans="1:9" ht="18" customHeight="1" x14ac:dyDescent="0.2">
      <c r="A17" s="875" t="str">
        <f>PedBerTPN!V6</f>
        <v/>
      </c>
      <c r="B17" s="525" t="s">
        <v>234</v>
      </c>
      <c r="C17" s="526"/>
      <c r="D17" s="526"/>
      <c r="E17" s="785"/>
      <c r="F17" s="786" t="s">
        <v>133</v>
      </c>
      <c r="G17" s="528" t="str">
        <f>PedBerTPN!W6</f>
        <v/>
      </c>
      <c r="H17" s="521"/>
    </row>
    <row r="18" spans="1:9" ht="18" customHeight="1" x14ac:dyDescent="0.2">
      <c r="A18" s="875"/>
      <c r="B18" s="525" t="s">
        <v>453</v>
      </c>
      <c r="C18" s="526"/>
      <c r="D18" s="526"/>
      <c r="E18" s="526"/>
      <c r="F18" s="527" t="s">
        <v>57</v>
      </c>
      <c r="G18" s="528" t="str">
        <f>PedBerTPN!W7</f>
        <v/>
      </c>
      <c r="H18" s="521"/>
    </row>
    <row r="19" spans="1:9" ht="18" customHeight="1" x14ac:dyDescent="0.2">
      <c r="A19" s="520"/>
      <c r="B19" s="784"/>
      <c r="C19" s="784"/>
      <c r="D19" s="784"/>
      <c r="E19" s="859" t="s">
        <v>161</v>
      </c>
      <c r="F19" s="859"/>
      <c r="G19" s="791" t="str">
        <f>IF(G17="","",SUM(PedBerTPN!G6:G7)&amp;" ml")</f>
        <v/>
      </c>
      <c r="H19" s="521"/>
      <c r="I19" s="805">
        <f>StringToDouble(G19)</f>
        <v>0</v>
      </c>
    </row>
    <row r="20" spans="1:9" ht="18" customHeight="1" x14ac:dyDescent="0.2">
      <c r="A20" s="520"/>
      <c r="B20" s="803"/>
      <c r="C20" s="803"/>
      <c r="D20" s="803"/>
      <c r="E20" s="804"/>
      <c r="F20" s="804"/>
      <c r="G20" s="791"/>
      <c r="H20" s="802"/>
    </row>
    <row r="21" spans="1:9" ht="18" customHeight="1" x14ac:dyDescent="0.2">
      <c r="A21" s="520"/>
      <c r="B21" s="803"/>
      <c r="C21" s="803"/>
      <c r="D21" s="803"/>
      <c r="E21" s="804"/>
      <c r="F21" s="804"/>
      <c r="G21" s="791"/>
      <c r="H21" s="802"/>
    </row>
    <row r="22" spans="1:9" ht="18" customHeight="1" x14ac:dyDescent="0.2">
      <c r="A22" s="520"/>
      <c r="B22" s="803"/>
      <c r="C22" s="803"/>
      <c r="D22" s="803"/>
      <c r="E22" s="804"/>
      <c r="F22" s="804"/>
      <c r="G22" s="791"/>
      <c r="H22" s="802"/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5" t="str">
        <f>PedBerTPN!$V$16</f>
        <v/>
      </c>
      <c r="B24" s="523" t="str">
        <f>PedBerTPN!H17</f>
        <v/>
      </c>
      <c r="C24" s="785"/>
      <c r="D24" s="785" t="s">
        <v>62</v>
      </c>
      <c r="E24" s="785" t="s">
        <v>63</v>
      </c>
      <c r="F24" s="786" t="s">
        <v>64</v>
      </c>
      <c r="G24" s="524" t="str">
        <f>PedBerTPN!$W$17</f>
        <v/>
      </c>
      <c r="H24" s="521"/>
    </row>
    <row r="25" spans="1:9" ht="18" customHeight="1" x14ac:dyDescent="0.2">
      <c r="A25" s="875"/>
      <c r="B25" s="525" t="s">
        <v>148</v>
      </c>
      <c r="C25" s="526"/>
      <c r="D25" s="526"/>
      <c r="E25" s="785"/>
      <c r="F25" s="786" t="s">
        <v>65</v>
      </c>
      <c r="G25" s="528" t="str">
        <f>PedBerTPN!$W$18</f>
        <v/>
      </c>
      <c r="H25" s="521"/>
    </row>
    <row r="26" spans="1:9" ht="18" customHeight="1" x14ac:dyDescent="0.2">
      <c r="A26" s="520"/>
      <c r="B26" s="525" t="s">
        <v>160</v>
      </c>
      <c r="C26" s="526"/>
      <c r="D26" s="526"/>
      <c r="E26" s="785"/>
      <c r="F26" s="786" t="s">
        <v>65</v>
      </c>
      <c r="G26" s="528" t="str">
        <f>PedBerTPN!$W$19</f>
        <v/>
      </c>
      <c r="H26" s="521"/>
    </row>
    <row r="27" spans="1:9" ht="18" customHeight="1" x14ac:dyDescent="0.2">
      <c r="A27" s="520"/>
      <c r="B27" s="531"/>
      <c r="C27" s="531"/>
      <c r="D27" s="531"/>
      <c r="E27" s="859" t="s">
        <v>161</v>
      </c>
      <c r="F27" s="859"/>
      <c r="G27" s="792" t="str">
        <f>PedBerTPN!$W$16</f>
        <v/>
      </c>
      <c r="H27" s="530"/>
      <c r="I27" s="805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57" t="s">
        <v>87</v>
      </c>
      <c r="C29" s="858"/>
      <c r="D29" s="858"/>
      <c r="E29" s="858"/>
      <c r="F29" s="858"/>
      <c r="G29" s="793"/>
      <c r="H29" s="536"/>
    </row>
    <row r="30" spans="1:9" ht="18" customHeight="1" x14ac:dyDescent="0.2">
      <c r="A30" s="874" t="str">
        <f>PedBerTPN!V3</f>
        <v/>
      </c>
      <c r="B30" s="537" t="s">
        <v>7889</v>
      </c>
      <c r="C30" s="538"/>
      <c r="D30" s="538"/>
      <c r="E30" s="538"/>
      <c r="F30" s="539"/>
      <c r="G30" s="540" t="str">
        <f>PedBerTPN!$W$9</f>
        <v/>
      </c>
      <c r="H30" s="521"/>
    </row>
    <row r="31" spans="1:9" ht="18" customHeight="1" x14ac:dyDescent="0.2">
      <c r="A31" s="875"/>
      <c r="B31" s="541" t="s">
        <v>312</v>
      </c>
      <c r="C31" s="542"/>
      <c r="D31" s="542"/>
      <c r="E31" s="542"/>
      <c r="F31" s="543"/>
      <c r="G31" s="544" t="str">
        <f>PedBerTPN!$W$10</f>
        <v/>
      </c>
      <c r="H31" s="521"/>
    </row>
    <row r="32" spans="1:9" ht="18" customHeight="1" x14ac:dyDescent="0.2">
      <c r="A32" s="545"/>
      <c r="B32" s="541" t="s">
        <v>326</v>
      </c>
      <c r="C32" s="542"/>
      <c r="D32" s="542"/>
      <c r="E32" s="542"/>
      <c r="F32" s="543"/>
      <c r="G32" s="544" t="str">
        <f>PedBerTPN!$W$12</f>
        <v/>
      </c>
      <c r="H32" s="521"/>
    </row>
    <row r="33" spans="1:9" ht="18" customHeight="1" x14ac:dyDescent="0.2">
      <c r="A33" s="545"/>
      <c r="B33" s="541" t="s">
        <v>327</v>
      </c>
      <c r="C33" s="542"/>
      <c r="D33" s="542"/>
      <c r="E33" s="542"/>
      <c r="F33" s="543"/>
      <c r="G33" s="544" t="str">
        <f>PedBerTPN!$W$13</f>
        <v/>
      </c>
      <c r="H33" s="521"/>
    </row>
    <row r="34" spans="1:9" ht="18" customHeight="1" x14ac:dyDescent="0.2">
      <c r="A34" s="545"/>
      <c r="B34" s="541" t="str">
        <f>PedBerTPN!H8</f>
        <v/>
      </c>
      <c r="C34" s="542"/>
      <c r="D34" s="542"/>
      <c r="E34" s="542"/>
      <c r="F34" s="543"/>
      <c r="G34" s="544" t="str">
        <f>PedBerTPN!W8</f>
        <v/>
      </c>
      <c r="H34" s="521"/>
    </row>
    <row r="35" spans="1:9" ht="18" customHeight="1" x14ac:dyDescent="0.2">
      <c r="A35" s="545"/>
      <c r="B35" s="541"/>
      <c r="C35" s="542"/>
      <c r="D35" s="542"/>
      <c r="E35" s="542"/>
      <c r="F35" s="543"/>
      <c r="G35" s="544"/>
      <c r="H35" s="521"/>
    </row>
    <row r="36" spans="1:9" ht="18" customHeight="1" x14ac:dyDescent="0.2">
      <c r="A36" s="520"/>
      <c r="B36" s="531"/>
      <c r="C36" s="531"/>
      <c r="D36" s="531"/>
      <c r="E36" s="859" t="s">
        <v>162</v>
      </c>
      <c r="F36" s="859"/>
      <c r="G36" s="794" t="str">
        <f>PedBerTPN!$W$3</f>
        <v/>
      </c>
      <c r="H36" s="521"/>
      <c r="I36" s="805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2" t="s">
        <v>182</v>
      </c>
      <c r="C38" s="863"/>
      <c r="D38" s="863"/>
      <c r="E38" s="863"/>
      <c r="F38" s="864"/>
      <c r="G38" s="536" t="s">
        <v>183</v>
      </c>
      <c r="H38" s="536"/>
    </row>
    <row r="39" spans="1:9" ht="18" customHeight="1" x14ac:dyDescent="0.2">
      <c r="A39" s="547"/>
      <c r="B39" s="852" t="s">
        <v>184</v>
      </c>
      <c r="C39" s="853"/>
      <c r="D39" s="853"/>
      <c r="E39" s="853"/>
      <c r="F39" s="854"/>
      <c r="G39" s="522" t="s">
        <v>185</v>
      </c>
      <c r="H39" s="521"/>
    </row>
    <row r="40" spans="1:9" ht="18" customHeight="1" x14ac:dyDescent="0.2">
      <c r="A40" s="547"/>
      <c r="B40" s="852" t="s">
        <v>186</v>
      </c>
      <c r="C40" s="853"/>
      <c r="D40" s="853"/>
      <c r="E40" s="853"/>
      <c r="F40" s="854"/>
      <c r="G40" s="522" t="s">
        <v>183</v>
      </c>
      <c r="H40" s="548"/>
    </row>
    <row r="41" spans="1:9" ht="18" customHeight="1" x14ac:dyDescent="0.2">
      <c r="A41" s="152" t="s">
        <v>187</v>
      </c>
    </row>
    <row r="42" spans="1:9" ht="18" customHeight="1" x14ac:dyDescent="0.2"/>
    <row r="43" spans="1:9" ht="18" customHeight="1" x14ac:dyDescent="0.2">
      <c r="A43" s="152" t="s">
        <v>67</v>
      </c>
    </row>
    <row r="45" spans="1:9" x14ac:dyDescent="0.2">
      <c r="F45" s="1"/>
    </row>
  </sheetData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29:F29"/>
    <mergeCell ref="E19:F19"/>
    <mergeCell ref="E27:F27"/>
    <mergeCell ref="A13:A14"/>
    <mergeCell ref="A17:A18"/>
    <mergeCell ref="A24:A25"/>
    <mergeCell ref="A10:H10"/>
    <mergeCell ref="B11:B12"/>
    <mergeCell ref="C11:C12"/>
    <mergeCell ref="D11:D12"/>
    <mergeCell ref="E11:E12"/>
    <mergeCell ref="F11:F12"/>
    <mergeCell ref="B38:F38"/>
    <mergeCell ref="B39:F39"/>
    <mergeCell ref="B40:F40"/>
    <mergeCell ref="E36:F36"/>
    <mergeCell ref="A30:A31"/>
  </mergeCells>
  <phoneticPr fontId="27" type="noConversion"/>
  <pageMargins left="0.42" right="0.26" top="0.39" bottom="0.34" header="0.18" footer="0.17"/>
  <pageSetup paperSize="9" orientation="portrait" r:id="rId2"/>
  <headerFooter alignWithMargins="0">
    <oddHeader>&amp;CBed 1.7&amp;LAfsprakenProgramma 0.23.07-beta</oddHeader>
  </headerFooter>
  <rowBreaks count="1" manualBreakCount="1">
    <brk id="50" max="7" man="1"/>
  </rowBreak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R73"/>
  <sheetViews>
    <sheetView zoomScaleNormal="100" workbookViewId="0">
      <pane ySplit="12" topLeftCell="A13" activePane="bottomLeft" state="frozen"/>
      <selection pane="bottomLeft" activeCell="F29" sqref="F29"/>
    </sheetView>
  </sheetViews>
  <sheetFormatPr defaultColWidth="9.140625" defaultRowHeight="15.95" customHeight="1" x14ac:dyDescent="0.2"/>
  <cols>
    <col min="1" max="1" width="9" style="781" customWidth="1"/>
    <col min="2" max="2" width="5.85546875" style="403" customWidth="1"/>
    <col min="3" max="3" width="3.7109375" style="402" customWidth="1"/>
    <col min="4" max="4" width="12.7109375" style="402" customWidth="1"/>
    <col min="5" max="8" width="14.28515625" style="402" customWidth="1"/>
    <col min="9" max="9" width="12.7109375" style="402" customWidth="1"/>
    <col min="10" max="13" width="14.28515625" style="402" customWidth="1"/>
    <col min="14" max="14" width="12.7109375" style="402" customWidth="1"/>
    <col min="15" max="18" width="14.28515625" style="402" customWidth="1"/>
    <col min="19" max="21" width="12.42578125" style="402" customWidth="1"/>
    <col min="22" max="16384" width="9.140625" style="402"/>
  </cols>
  <sheetData>
    <row r="1" spans="1:18" ht="20.100000000000001" customHeight="1" x14ac:dyDescent="0.2">
      <c r="C1" s="401"/>
      <c r="D1" s="773" t="str">
        <f>IF(G59&lt;0,"Te weinig volume voor TPN!","")</f>
        <v/>
      </c>
    </row>
    <row r="2" spans="1:18" ht="20.100000000000001" customHeight="1" x14ac:dyDescent="0.2">
      <c r="C2" s="659"/>
      <c r="D2" s="660" t="s">
        <v>274</v>
      </c>
      <c r="E2" s="660" t="s">
        <v>413</v>
      </c>
      <c r="F2" s="660" t="s">
        <v>414</v>
      </c>
      <c r="G2" s="660" t="s">
        <v>85</v>
      </c>
      <c r="H2" s="665" t="s">
        <v>88</v>
      </c>
      <c r="I2" s="660"/>
      <c r="J2" s="660" t="s">
        <v>413</v>
      </c>
      <c r="K2" s="660" t="s">
        <v>414</v>
      </c>
      <c r="L2" s="660" t="s">
        <v>85</v>
      </c>
      <c r="M2" s="665" t="s">
        <v>88</v>
      </c>
      <c r="N2" s="660"/>
      <c r="O2" s="660" t="s">
        <v>413</v>
      </c>
      <c r="P2" s="660" t="s">
        <v>414</v>
      </c>
      <c r="Q2" s="660" t="s">
        <v>85</v>
      </c>
      <c r="R2" s="665" t="s">
        <v>88</v>
      </c>
    </row>
    <row r="3" spans="1:18" ht="20.100000000000001" customHeight="1" x14ac:dyDescent="0.2">
      <c r="C3" s="659"/>
      <c r="D3" s="659" t="s">
        <v>235</v>
      </c>
      <c r="E3" s="662" t="str">
        <f>NeoBerInfB!$AL$57</f>
        <v/>
      </c>
      <c r="F3" s="662" t="str">
        <f>NeoBerInfB!$AL$56</f>
        <v/>
      </c>
      <c r="G3" s="662" t="str">
        <f>NeoBerInfB!$AL$58</f>
        <v/>
      </c>
      <c r="H3" s="662"/>
      <c r="I3" s="659"/>
      <c r="J3" s="662"/>
      <c r="K3" s="662"/>
      <c r="L3" s="662"/>
      <c r="M3" s="662"/>
      <c r="N3" s="659"/>
      <c r="O3" s="662"/>
      <c r="P3" s="662"/>
      <c r="Q3" s="662"/>
      <c r="R3" s="662"/>
    </row>
    <row r="4" spans="1:18" ht="20.100000000000001" customHeight="1" x14ac:dyDescent="0.2">
      <c r="C4" s="659"/>
      <c r="D4" s="659" t="s">
        <v>164</v>
      </c>
      <c r="E4" s="662" t="str">
        <f>NeoBerInfB!$AR$57</f>
        <v/>
      </c>
      <c r="F4" s="662" t="str">
        <f>NeoBerInfB!$AR$56</f>
        <v/>
      </c>
      <c r="G4" s="662" t="str">
        <f>NeoBerInfB!$AR$58</f>
        <v/>
      </c>
      <c r="H4" s="662"/>
      <c r="I4" s="659" t="s">
        <v>122</v>
      </c>
      <c r="J4" s="662" t="str">
        <f>NeoBerInfB!$AM$57</f>
        <v/>
      </c>
      <c r="K4" s="662" t="str">
        <f>NeoBerInfB!$AM$56</f>
        <v/>
      </c>
      <c r="L4" s="662" t="str">
        <f>NeoBerInfB!$AM$58</f>
        <v/>
      </c>
      <c r="M4" s="662" t="str">
        <f>IF(_Glob_Lab_Natrium&gt;0,_Glob_Lab_Natrium,"")</f>
        <v/>
      </c>
      <c r="N4" s="659" t="s">
        <v>416</v>
      </c>
      <c r="O4" s="662" t="str">
        <f>NeoBerInfB!$AV$57</f>
        <v/>
      </c>
      <c r="P4" s="662" t="str">
        <f>NeoBerInfB!$AV$56</f>
        <v/>
      </c>
      <c r="Q4" s="662" t="str">
        <f>NeoBerInfB!$AV$58</f>
        <v/>
      </c>
      <c r="R4" s="662" t="str">
        <f>IF(_Glob_Lab_Chloride&gt;0,_Glob_Lab_Chloride,"")</f>
        <v/>
      </c>
    </row>
    <row r="5" spans="1:18" ht="20.100000000000001" customHeight="1" x14ac:dyDescent="0.2">
      <c r="C5" s="659"/>
      <c r="D5" s="659" t="s">
        <v>165</v>
      </c>
      <c r="E5" s="662" t="str">
        <f>NeoBerInfB!$AT$57</f>
        <v/>
      </c>
      <c r="F5" s="662" t="str">
        <f>NeoBerInfB!$AT$56</f>
        <v/>
      </c>
      <c r="G5" s="662" t="str">
        <f>NeoBerInfB!$AT$58</f>
        <v/>
      </c>
      <c r="H5" s="662" t="str">
        <f>IF(_Glob_Lab_Triglyceriden&gt;0,_Glob_Lab_Triglyceriden,"")</f>
        <v/>
      </c>
      <c r="I5" s="659" t="s">
        <v>209</v>
      </c>
      <c r="J5" s="662" t="str">
        <f>NeoBerInfB!$AN$57</f>
        <v/>
      </c>
      <c r="K5" s="662" t="str">
        <f>NeoBerInfB!$AN$56</f>
        <v/>
      </c>
      <c r="L5" s="662" t="str">
        <f>NeoBerInfB!$AN$58</f>
        <v/>
      </c>
      <c r="M5" s="662" t="str">
        <f>IF(_Glob_Lab_Kalium&gt;0,_Glob_Lab_Kalium,"")</f>
        <v/>
      </c>
      <c r="N5" s="659" t="s">
        <v>167</v>
      </c>
      <c r="O5" s="662" t="str">
        <f>NeoBerInfB!$AQ$57</f>
        <v/>
      </c>
      <c r="P5" s="662" t="str">
        <f>NeoBerInfB!$AQ$56</f>
        <v/>
      </c>
      <c r="Q5" s="662" t="str">
        <f>NeoBerInfB!$AQ$58</f>
        <v/>
      </c>
      <c r="R5" s="662" t="str">
        <f>IF(_Glob_Lab_Fosfaat&gt;0,_Glob_Lab_Fosfaat,"")</f>
        <v/>
      </c>
    </row>
    <row r="6" spans="1:18" ht="20.100000000000001" customHeight="1" x14ac:dyDescent="0.2">
      <c r="C6" s="661"/>
      <c r="D6" s="659" t="s">
        <v>415</v>
      </c>
      <c r="E6" s="662" t="str">
        <f>NeoBerInfB!$AS$57</f>
        <v/>
      </c>
      <c r="F6" s="662" t="str">
        <f>NeoBerInfB!$AS$56</f>
        <v/>
      </c>
      <c r="G6" s="662" t="str">
        <f>NeoBerInfB!$AS$58</f>
        <v/>
      </c>
      <c r="H6" s="662" t="str">
        <f>IF(_Glob_Lab_Glucose&gt;0,_Glob_Lab_Glucose,"")</f>
        <v/>
      </c>
      <c r="I6" s="659" t="s">
        <v>166</v>
      </c>
      <c r="J6" s="662" t="str">
        <f>NeoBerInfB!$AO$57</f>
        <v/>
      </c>
      <c r="K6" s="662" t="str">
        <f>NeoBerInfB!$AO$56</f>
        <v/>
      </c>
      <c r="L6" s="662" t="str">
        <f>NeoBerInfB!$AO$58</f>
        <v/>
      </c>
      <c r="M6" s="662" t="str">
        <f>IF(_Glob_Lab_Calcium&gt;0,_Glob_Lab_Calcium,"")</f>
        <v/>
      </c>
      <c r="N6" s="662" t="s">
        <v>417</v>
      </c>
      <c r="O6" s="662" t="str">
        <f>NeoBerInfB!$AW$57</f>
        <v/>
      </c>
      <c r="P6" s="662" t="str">
        <f>NeoBerInfB!$AW$56</f>
        <v/>
      </c>
      <c r="Q6" s="662" t="str">
        <f>NeoBerInfB!$AW$58</f>
        <v/>
      </c>
      <c r="R6" s="662"/>
    </row>
    <row r="7" spans="1:18" ht="20.100000000000001" customHeight="1" x14ac:dyDescent="0.2">
      <c r="C7" s="659"/>
      <c r="D7" s="659" t="s">
        <v>409</v>
      </c>
      <c r="E7" s="662" t="str">
        <f>NeoBerInfB!$AU$57</f>
        <v/>
      </c>
      <c r="F7" s="662" t="str">
        <f>NeoBerInfB!$AU$56</f>
        <v/>
      </c>
      <c r="G7" s="662" t="str">
        <f>NeoBerInfB!$AU$58</f>
        <v/>
      </c>
      <c r="H7" s="662"/>
      <c r="I7" s="659" t="s">
        <v>240</v>
      </c>
      <c r="J7" s="662" t="str">
        <f>NeoBerInfB!$AP$57</f>
        <v/>
      </c>
      <c r="K7" s="662" t="str">
        <f>NeoBerInfB!$AP$56</f>
        <v/>
      </c>
      <c r="L7" s="662" t="str">
        <f>NeoBerInfB!$AP$58</f>
        <v/>
      </c>
      <c r="M7" s="662" t="str">
        <f>IF(_Glob_Lab_Magnesium&gt;0,_Glob_Lab_Magnesium,"")</f>
        <v/>
      </c>
      <c r="N7" s="659" t="s">
        <v>723</v>
      </c>
      <c r="O7" s="662" t="str">
        <f>NeoBerInfB!$AX$57</f>
        <v/>
      </c>
      <c r="P7" s="662" t="str">
        <f>NeoBerInfB!$AX$56</f>
        <v/>
      </c>
      <c r="Q7" s="662" t="str">
        <f>NeoBerInfB!$AX$58</f>
        <v/>
      </c>
      <c r="R7" s="662" t="str">
        <f>IF(_Glob_Lab_Ijzer&gt;0,_Glob_Lab_Ijzer,"")</f>
        <v/>
      </c>
    </row>
    <row r="8" spans="1:18" ht="8.1" customHeight="1" x14ac:dyDescent="0.2">
      <c r="C8" s="401"/>
      <c r="E8" s="406"/>
      <c r="F8" s="406"/>
      <c r="G8" s="406"/>
      <c r="J8" s="406"/>
      <c r="K8" s="406"/>
      <c r="L8" s="406"/>
    </row>
    <row r="9" spans="1:18" ht="20.100000000000001" customHeight="1" x14ac:dyDescent="0.2">
      <c r="C9" s="886" t="str">
        <f>NeoBerInfB!B3</f>
        <v>Actuele Afspraken</v>
      </c>
      <c r="D9" s="886"/>
      <c r="E9" s="886"/>
      <c r="F9" s="886"/>
      <c r="G9" s="886"/>
      <c r="H9" s="646" t="s">
        <v>4499</v>
      </c>
      <c r="I9" s="647" t="str">
        <f>Txt_Pat_PatNo</f>
        <v/>
      </c>
      <c r="J9" s="647"/>
      <c r="K9" s="646"/>
      <c r="L9" s="646"/>
      <c r="M9" s="646" t="s">
        <v>208</v>
      </c>
      <c r="N9" s="646" t="str">
        <f ca="1">Txt_Pat_Leeftijd</f>
        <v/>
      </c>
      <c r="O9" s="648"/>
      <c r="P9" s="646" t="s">
        <v>4501</v>
      </c>
      <c r="Q9" s="647" t="str">
        <f ca="1">Txt_Pat_GeboorteDat</f>
        <v/>
      </c>
      <c r="R9" s="646"/>
    </row>
    <row r="10" spans="1:18" ht="20.100000000000001" customHeight="1" x14ac:dyDescent="0.2">
      <c r="C10" s="886"/>
      <c r="D10" s="886"/>
      <c r="E10" s="886"/>
      <c r="F10" s="886"/>
      <c r="G10" s="886"/>
      <c r="H10" s="646" t="s">
        <v>27</v>
      </c>
      <c r="I10" s="646" t="str">
        <f>Txt_Pat_FullName</f>
        <v/>
      </c>
      <c r="J10" s="646"/>
      <c r="K10" s="649"/>
      <c r="L10" s="650"/>
      <c r="M10" s="646" t="s">
        <v>397</v>
      </c>
      <c r="N10" s="646" t="str">
        <f>IF(_Pat_Gewicht&gt;0,FixPrecision((_Pat_Gewicht),4)&amp;" kg","")</f>
        <v/>
      </c>
      <c r="O10" s="646"/>
      <c r="P10" s="646" t="s">
        <v>4502</v>
      </c>
      <c r="Q10" s="647" t="str">
        <f>Txt_Pat_GestAge</f>
        <v/>
      </c>
      <c r="R10" s="646"/>
    </row>
    <row r="11" spans="1:18" ht="20.100000000000001" customHeight="1" x14ac:dyDescent="0.2">
      <c r="C11" s="886"/>
      <c r="D11" s="886"/>
      <c r="E11" s="886"/>
      <c r="F11" s="886"/>
      <c r="G11" s="886"/>
      <c r="H11" s="646" t="s">
        <v>229</v>
      </c>
      <c r="I11" s="646" t="str">
        <f ca="1">Txt_Pat_AfspraakDat</f>
        <v>14-nov-2018</v>
      </c>
      <c r="J11" s="651"/>
      <c r="K11" s="646"/>
      <c r="L11" s="646"/>
      <c r="M11" s="646" t="s">
        <v>553</v>
      </c>
      <c r="N11" s="646" t="str">
        <f>Txt_Pat_OpnameDat</f>
        <v/>
      </c>
      <c r="O11" s="646"/>
      <c r="P11" s="651" t="s">
        <v>4875</v>
      </c>
      <c r="Q11" s="647" t="str">
        <f>Txt_Pat_GebGew</f>
        <v/>
      </c>
      <c r="R11" s="646"/>
    </row>
    <row r="12" spans="1:18" ht="20.100000000000001" customHeight="1" x14ac:dyDescent="0.2">
      <c r="C12" s="886"/>
      <c r="D12" s="886"/>
      <c r="E12" s="886"/>
      <c r="F12" s="886"/>
      <c r="G12" s="886"/>
      <c r="H12" s="646" t="s">
        <v>386</v>
      </c>
      <c r="I12" s="646" t="str">
        <f>Txt_Pat_Bed</f>
        <v/>
      </c>
      <c r="J12" s="650"/>
      <c r="K12" s="646"/>
      <c r="L12" s="646"/>
      <c r="M12" s="646" t="s">
        <v>5262</v>
      </c>
      <c r="N12" s="646" t="str">
        <f>Txt_Pat_Geslacht</f>
        <v>onbekend</v>
      </c>
      <c r="O12" s="652"/>
      <c r="P12" s="647"/>
      <c r="Q12" s="652"/>
      <c r="R12" s="647"/>
    </row>
    <row r="13" spans="1:18" ht="8.1" customHeight="1" x14ac:dyDescent="0.2"/>
    <row r="14" spans="1:18" ht="20.100000000000001" customHeight="1" x14ac:dyDescent="0.2">
      <c r="C14" s="653" t="s">
        <v>4256</v>
      </c>
      <c r="D14" s="654"/>
      <c r="E14" s="654"/>
      <c r="F14" s="654"/>
      <c r="G14" s="654"/>
      <c r="H14" s="654"/>
      <c r="I14" s="654"/>
      <c r="J14" s="654"/>
      <c r="K14" s="654"/>
      <c r="L14" s="654"/>
      <c r="M14" s="654"/>
      <c r="N14" s="654"/>
      <c r="O14" s="654"/>
      <c r="P14" s="654"/>
      <c r="Q14" s="654"/>
      <c r="R14" s="654"/>
    </row>
    <row r="15" spans="1:18" ht="20.100000000000001" customHeight="1" x14ac:dyDescent="0.2">
      <c r="A15" s="781" t="str">
        <f>NeoBerInfB!AI7</f>
        <v/>
      </c>
      <c r="C15" s="638"/>
      <c r="D15" s="638" t="s">
        <v>419</v>
      </c>
      <c r="E15" s="638"/>
      <c r="F15" s="561" t="str">
        <f>NeoBerInfB!Q7</f>
        <v/>
      </c>
      <c r="G15" s="402" t="s">
        <v>420</v>
      </c>
      <c r="I15" s="639" t="s">
        <v>421</v>
      </c>
      <c r="L15" s="696" t="s">
        <v>418</v>
      </c>
      <c r="M15" s="400" t="str">
        <f ca="1">ROUND(NeoBerInfB!B7,0)&amp;" ml/ kg/ 24 uur"</f>
        <v>160 ml/ kg/ 24 uur</v>
      </c>
    </row>
    <row r="16" spans="1:18" ht="8.1" customHeight="1" x14ac:dyDescent="0.2">
      <c r="M16" s="400"/>
      <c r="N16" s="400"/>
    </row>
    <row r="17" spans="1:18" ht="20.100000000000001" customHeight="1" thickBot="1" x14ac:dyDescent="0.25">
      <c r="A17" s="781" t="str">
        <f>NeoBerInfB!AI9</f>
        <v/>
      </c>
      <c r="C17" s="640" t="s">
        <v>424</v>
      </c>
      <c r="D17" s="638"/>
      <c r="G17" s="638" t="s">
        <v>422</v>
      </c>
      <c r="H17" s="480" t="str">
        <f>IF(Var_Neo_InfB_Ent_Voeding&gt;1,NeoBerInfB!F9,"")</f>
        <v/>
      </c>
      <c r="I17" s="641" t="s">
        <v>423</v>
      </c>
      <c r="J17" s="561" t="str">
        <f>IF(Var_Neo_InfB_Ent_Voeding&gt;1,NeoBerInfB!G9/10&amp;" ml","")</f>
        <v/>
      </c>
      <c r="L17" s="638" t="s">
        <v>709</v>
      </c>
      <c r="M17" s="638"/>
      <c r="N17" s="638"/>
      <c r="P17" s="638" t="s">
        <v>710</v>
      </c>
      <c r="Q17" s="638"/>
      <c r="R17" s="638"/>
    </row>
    <row r="18" spans="1:18" ht="20.100000000000001" customHeight="1" thickTop="1" thickBot="1" x14ac:dyDescent="0.25">
      <c r="E18" s="403"/>
      <c r="G18" s="638" t="s">
        <v>425</v>
      </c>
      <c r="H18" s="475" t="str">
        <f>IF(Var_Neo_InfB_Ent_Voeding&gt;1,NeoBerInfB!F10,"")</f>
        <v/>
      </c>
      <c r="I18" s="641" t="s">
        <v>423</v>
      </c>
      <c r="J18" s="563" t="str">
        <f>IF(Var_Neo_InfB_Ent_Voeding&gt;1,NeoBerInfB!G10/10&amp;" ml","")</f>
        <v/>
      </c>
      <c r="L18" s="638" t="s">
        <v>721</v>
      </c>
      <c r="M18" s="638"/>
      <c r="N18" s="481" t="str">
        <f>NeoBerInfB!M11</f>
        <v/>
      </c>
    </row>
    <row r="19" spans="1:18" ht="20.100000000000001" customHeight="1" thickTop="1" thickBot="1" x14ac:dyDescent="0.25">
      <c r="E19" s="403"/>
      <c r="N19" s="476" t="str">
        <f>NeoBerInfB!M12</f>
        <v/>
      </c>
      <c r="R19" s="481" t="str">
        <f>NeoBerInfB!M16</f>
        <v/>
      </c>
    </row>
    <row r="20" spans="1:18" ht="20.100000000000001" customHeight="1" thickTop="1" thickBot="1" x14ac:dyDescent="0.25">
      <c r="N20" s="476" t="str">
        <f>NeoBerInfB!M13</f>
        <v/>
      </c>
      <c r="R20" s="476" t="str">
        <f>NeoBerInfB!M17</f>
        <v/>
      </c>
    </row>
    <row r="21" spans="1:18" ht="20.100000000000001" customHeight="1" thickTop="1" thickBot="1" x14ac:dyDescent="0.25">
      <c r="N21" s="476" t="str">
        <f>NeoBerInfB!M14</f>
        <v/>
      </c>
      <c r="R21" s="476" t="str">
        <f>NeoBerInfB!M18</f>
        <v/>
      </c>
    </row>
    <row r="22" spans="1:18" ht="20.100000000000001" customHeight="1" thickTop="1" thickBot="1" x14ac:dyDescent="0.25">
      <c r="F22" s="402" t="s">
        <v>426</v>
      </c>
      <c r="H22" s="402">
        <f>IF(NeoBerInfB!B21,NeoBerInfB!C21,NeoBerInfB!AX53)</f>
        <v>0</v>
      </c>
      <c r="I22" s="402" t="s">
        <v>427</v>
      </c>
      <c r="N22" s="477" t="str">
        <f>NeoBerInfB!M15</f>
        <v/>
      </c>
      <c r="R22" s="477" t="str">
        <f>NeoBerInfB!M19</f>
        <v/>
      </c>
    </row>
    <row r="23" spans="1:18" ht="8.1" customHeight="1" thickTop="1" x14ac:dyDescent="0.2">
      <c r="N23" s="408"/>
      <c r="R23" s="408"/>
    </row>
    <row r="24" spans="1:18" ht="20.100000000000001" customHeight="1" x14ac:dyDescent="0.2">
      <c r="C24" s="653" t="s">
        <v>4257</v>
      </c>
      <c r="D24" s="654"/>
      <c r="E24" s="654"/>
      <c r="F24" s="654"/>
      <c r="G24" s="654"/>
      <c r="H24" s="654"/>
      <c r="I24" s="654"/>
      <c r="J24" s="654"/>
      <c r="K24" s="654"/>
      <c r="L24" s="654"/>
      <c r="M24" s="654"/>
      <c r="N24" s="654"/>
      <c r="O24" s="654"/>
      <c r="P24" s="654"/>
      <c r="Q24" s="654"/>
      <c r="R24" s="654"/>
    </row>
    <row r="25" spans="1:18" ht="20.100000000000001" customHeight="1" x14ac:dyDescent="0.2">
      <c r="C25" s="410"/>
      <c r="D25" s="410"/>
      <c r="E25" s="410"/>
      <c r="F25" s="410"/>
      <c r="G25" s="410"/>
      <c r="H25" s="410"/>
      <c r="I25" s="410"/>
      <c r="J25" s="410"/>
      <c r="K25" s="410"/>
      <c r="L25" s="638" t="s">
        <v>4918</v>
      </c>
      <c r="M25" s="638"/>
      <c r="N25" s="641" t="s">
        <v>392</v>
      </c>
      <c r="O25" s="638" t="s">
        <v>428</v>
      </c>
      <c r="P25" s="638"/>
      <c r="Q25" s="638"/>
      <c r="R25" s="638" t="s">
        <v>429</v>
      </c>
    </row>
    <row r="26" spans="1:18" ht="20.100000000000001" customHeight="1" x14ac:dyDescent="0.2">
      <c r="A26" s="781" t="str">
        <f>NeoBerInfB!AI22</f>
        <v/>
      </c>
      <c r="C26" s="638"/>
      <c r="D26" s="638" t="s">
        <v>564</v>
      </c>
      <c r="E26" s="638"/>
      <c r="F26" s="638"/>
      <c r="G26" s="638"/>
      <c r="H26" s="410"/>
      <c r="I26" s="410"/>
      <c r="J26" s="410"/>
      <c r="K26" s="561" t="str">
        <f>NeoBerInfB!Q22</f>
        <v/>
      </c>
    </row>
    <row r="27" spans="1:18" ht="7.5" customHeight="1" x14ac:dyDescent="0.2">
      <c r="C27" s="410"/>
      <c r="K27" s="400"/>
    </row>
    <row r="28" spans="1:18" ht="20.100000000000001" customHeight="1" thickBot="1" x14ac:dyDescent="0.25">
      <c r="A28" s="782" t="str">
        <f>NeoBerInfB!AI23</f>
        <v/>
      </c>
      <c r="B28" s="411" t="str">
        <f>NeoBerInfB!AJ23</f>
        <v/>
      </c>
      <c r="C28" s="638">
        <v>1</v>
      </c>
      <c r="G28" s="482" t="str">
        <f>NeoBerInfB!M23</f>
        <v/>
      </c>
      <c r="H28" s="482" t="str">
        <f>NeoBerInfB!O23</f>
        <v/>
      </c>
      <c r="K28" s="561" t="str">
        <f>NeoBerInfB!Q23</f>
        <v/>
      </c>
      <c r="L28" s="407" t="str">
        <f>IF(NeoBerInfB!G23&gt;0,NeoBerInfB!G23,"")</f>
        <v/>
      </c>
      <c r="M28" s="407" t="str">
        <f>NeoBerInfB!R23</f>
        <v/>
      </c>
      <c r="O28" s="400" t="str">
        <f>NeoBerInfB!S23</f>
        <v/>
      </c>
      <c r="P28" s="400"/>
      <c r="Q28" s="409"/>
      <c r="R28" s="400" t="str">
        <f>NeoBerInfB!Z23</f>
        <v/>
      </c>
    </row>
    <row r="29" spans="1:18" ht="20.100000000000001" customHeight="1" thickTop="1" thickBot="1" x14ac:dyDescent="0.25">
      <c r="A29" s="782" t="str">
        <f>NeoBerInfB!AI24</f>
        <v/>
      </c>
      <c r="B29" s="411" t="str">
        <f>NeoBerInfB!AJ24</f>
        <v/>
      </c>
      <c r="C29" s="638">
        <v>2</v>
      </c>
      <c r="G29" s="478" t="str">
        <f>NeoBerInfB!M24</f>
        <v/>
      </c>
      <c r="H29" s="478" t="str">
        <f>NeoBerInfB!O24</f>
        <v/>
      </c>
      <c r="K29" s="562" t="str">
        <f>NeoBerInfB!Q24</f>
        <v/>
      </c>
      <c r="L29" s="407" t="str">
        <f>IF(NeoBerInfB!G24&gt;0,NeoBerInfB!G24,"")</f>
        <v/>
      </c>
      <c r="M29" s="407" t="str">
        <f>NeoBerInfB!R24</f>
        <v/>
      </c>
      <c r="O29" s="400" t="str">
        <f>NeoBerInfB!S24</f>
        <v/>
      </c>
      <c r="P29" s="400"/>
      <c r="Q29" s="409"/>
      <c r="R29" s="400" t="str">
        <f>NeoBerInfB!Z24</f>
        <v/>
      </c>
    </row>
    <row r="30" spans="1:18" ht="20.100000000000001" customHeight="1" thickTop="1" thickBot="1" x14ac:dyDescent="0.25">
      <c r="A30" s="782" t="str">
        <f>NeoBerInfB!AI25</f>
        <v/>
      </c>
      <c r="B30" s="411" t="str">
        <f>NeoBerInfB!AJ25</f>
        <v/>
      </c>
      <c r="C30" s="638">
        <v>3</v>
      </c>
      <c r="G30" s="478" t="str">
        <f>NeoBerInfB!M25</f>
        <v/>
      </c>
      <c r="H30" s="478" t="str">
        <f>NeoBerInfB!O25</f>
        <v/>
      </c>
      <c r="K30" s="562" t="str">
        <f>NeoBerInfB!Q25</f>
        <v/>
      </c>
      <c r="L30" s="407" t="str">
        <f>IF(NeoBerInfB!G25&gt;0,NeoBerInfB!G25,"")</f>
        <v/>
      </c>
      <c r="M30" s="407" t="str">
        <f>NeoBerInfB!R25</f>
        <v/>
      </c>
      <c r="O30" s="400" t="str">
        <f>NeoBerInfB!S25</f>
        <v/>
      </c>
      <c r="P30" s="400"/>
      <c r="Q30" s="409"/>
      <c r="R30" s="400" t="str">
        <f>NeoBerInfB!Z25</f>
        <v/>
      </c>
    </row>
    <row r="31" spans="1:18" ht="20.100000000000001" customHeight="1" thickTop="1" thickBot="1" x14ac:dyDescent="0.25">
      <c r="A31" s="782" t="str">
        <f>NeoBerInfB!AI26</f>
        <v/>
      </c>
      <c r="B31" s="411" t="str">
        <f>NeoBerInfB!AJ26</f>
        <v/>
      </c>
      <c r="C31" s="638">
        <v>4</v>
      </c>
      <c r="G31" s="478" t="str">
        <f>NeoBerInfB!M26</f>
        <v/>
      </c>
      <c r="H31" s="478" t="str">
        <f>NeoBerInfB!O26</f>
        <v/>
      </c>
      <c r="K31" s="562" t="str">
        <f>NeoBerInfB!Q26</f>
        <v/>
      </c>
      <c r="L31" s="407" t="str">
        <f>IF(NeoBerInfB!G26&gt;0,NeoBerInfB!G26,"")</f>
        <v/>
      </c>
      <c r="M31" s="407" t="str">
        <f>NeoBerInfB!R26</f>
        <v/>
      </c>
      <c r="O31" s="400" t="str">
        <f>NeoBerInfB!S26</f>
        <v/>
      </c>
      <c r="P31" s="400"/>
      <c r="Q31" s="409"/>
      <c r="R31" s="400" t="str">
        <f>NeoBerInfB!Z26</f>
        <v/>
      </c>
    </row>
    <row r="32" spans="1:18" ht="20.100000000000001" customHeight="1" thickTop="1" thickBot="1" x14ac:dyDescent="0.25">
      <c r="A32" s="782" t="str">
        <f>NeoBerInfB!AI27</f>
        <v/>
      </c>
      <c r="B32" s="411" t="str">
        <f>NeoBerInfB!AJ27</f>
        <v/>
      </c>
      <c r="C32" s="638">
        <v>5</v>
      </c>
      <c r="G32" s="478" t="str">
        <f>NeoBerInfB!M27</f>
        <v/>
      </c>
      <c r="H32" s="478" t="str">
        <f>NeoBerInfB!O27</f>
        <v/>
      </c>
      <c r="K32" s="562" t="str">
        <f>NeoBerInfB!Q27</f>
        <v/>
      </c>
      <c r="L32" s="407" t="str">
        <f>IF(NeoBerInfB!G27&gt;0,NeoBerInfB!G27,"")</f>
        <v/>
      </c>
      <c r="M32" s="407" t="str">
        <f>NeoBerInfB!R27</f>
        <v/>
      </c>
      <c r="O32" s="400" t="str">
        <f>NeoBerInfB!S27</f>
        <v/>
      </c>
      <c r="P32" s="400"/>
      <c r="Q32" s="409"/>
      <c r="R32" s="400" t="str">
        <f>NeoBerInfB!Z27</f>
        <v/>
      </c>
    </row>
    <row r="33" spans="1:18" ht="20.100000000000001" customHeight="1" thickTop="1" thickBot="1" x14ac:dyDescent="0.25">
      <c r="A33" s="782" t="str">
        <f>NeoBerInfB!AI28</f>
        <v/>
      </c>
      <c r="B33" s="411" t="str">
        <f>NeoBerInfB!AJ28</f>
        <v/>
      </c>
      <c r="C33" s="638">
        <v>6</v>
      </c>
      <c r="G33" s="478" t="str">
        <f>NeoBerInfB!M28</f>
        <v/>
      </c>
      <c r="H33" s="478" t="str">
        <f>NeoBerInfB!O28</f>
        <v/>
      </c>
      <c r="K33" s="562" t="str">
        <f>NeoBerInfB!Q28</f>
        <v/>
      </c>
      <c r="L33" s="407" t="str">
        <f>IF(NeoBerInfB!G28&gt;0,NeoBerInfB!G28,"")</f>
        <v/>
      </c>
      <c r="M33" s="407" t="str">
        <f>NeoBerInfB!R28</f>
        <v/>
      </c>
      <c r="O33" s="400" t="str">
        <f>NeoBerInfB!S28</f>
        <v/>
      </c>
      <c r="P33" s="400"/>
      <c r="Q33" s="409"/>
      <c r="R33" s="400" t="str">
        <f>NeoBerInfB!Z28</f>
        <v/>
      </c>
    </row>
    <row r="34" spans="1:18" ht="20.100000000000001" customHeight="1" thickTop="1" thickBot="1" x14ac:dyDescent="0.25">
      <c r="A34" s="782" t="str">
        <f>NeoBerInfB!AI29</f>
        <v/>
      </c>
      <c r="B34" s="411" t="str">
        <f>NeoBerInfB!AJ29</f>
        <v/>
      </c>
      <c r="C34" s="638">
        <v>7</v>
      </c>
      <c r="G34" s="478" t="str">
        <f>NeoBerInfB!M29</f>
        <v/>
      </c>
      <c r="H34" s="478" t="str">
        <f>NeoBerInfB!O29</f>
        <v/>
      </c>
      <c r="K34" s="562" t="str">
        <f>NeoBerInfB!Q29</f>
        <v/>
      </c>
      <c r="L34" s="407" t="str">
        <f>IF(NeoBerInfB!G29&gt;0,NeoBerInfB!G29,"")</f>
        <v/>
      </c>
      <c r="M34" s="407" t="str">
        <f>NeoBerInfB!R29</f>
        <v/>
      </c>
      <c r="O34" s="400" t="str">
        <f>NeoBerInfB!S29</f>
        <v/>
      </c>
      <c r="P34" s="400"/>
      <c r="Q34" s="409"/>
      <c r="R34" s="400" t="str">
        <f>NeoBerInfB!Z29</f>
        <v/>
      </c>
    </row>
    <row r="35" spans="1:18" ht="20.100000000000001" customHeight="1" thickTop="1" thickBot="1" x14ac:dyDescent="0.25">
      <c r="A35" s="782" t="str">
        <f>NeoBerInfB!AI30</f>
        <v/>
      </c>
      <c r="B35" s="411" t="str">
        <f>NeoBerInfB!AJ30</f>
        <v/>
      </c>
      <c r="C35" s="638">
        <v>8</v>
      </c>
      <c r="G35" s="478" t="str">
        <f>NeoBerInfB!M30</f>
        <v/>
      </c>
      <c r="H35" s="478" t="str">
        <f>NeoBerInfB!O30</f>
        <v/>
      </c>
      <c r="K35" s="562" t="str">
        <f>NeoBerInfB!Q30</f>
        <v/>
      </c>
      <c r="L35" s="407" t="str">
        <f>IF(NeoBerInfB!G30&gt;0,NeoBerInfB!G30,"")</f>
        <v/>
      </c>
      <c r="M35" s="407" t="str">
        <f>NeoBerInfB!R30</f>
        <v/>
      </c>
      <c r="O35" s="400" t="str">
        <f>NeoBerInfB!S30</f>
        <v/>
      </c>
      <c r="P35" s="400"/>
      <c r="Q35" s="409"/>
      <c r="R35" s="400" t="str">
        <f>NeoBerInfB!Z30</f>
        <v/>
      </c>
    </row>
    <row r="36" spans="1:18" ht="20.100000000000001" customHeight="1" thickTop="1" thickBot="1" x14ac:dyDescent="0.25">
      <c r="A36" s="782" t="str">
        <f>NeoBerInfB!AI31</f>
        <v/>
      </c>
      <c r="B36" s="411" t="str">
        <f>NeoBerInfB!AJ31</f>
        <v/>
      </c>
      <c r="C36" s="638">
        <v>9</v>
      </c>
      <c r="G36" s="478" t="str">
        <f>NeoBerInfB!M31</f>
        <v/>
      </c>
      <c r="H36" s="478" t="str">
        <f>NeoBerInfB!O31</f>
        <v/>
      </c>
      <c r="K36" s="562" t="str">
        <f>NeoBerInfB!Q31</f>
        <v/>
      </c>
      <c r="L36" s="407" t="str">
        <f>IF(NeoBerInfB!G31&gt;0,NeoBerInfB!G31,"")</f>
        <v/>
      </c>
      <c r="M36" s="407" t="str">
        <f>NeoBerInfB!R31</f>
        <v/>
      </c>
      <c r="O36" s="400" t="str">
        <f>NeoBerInfB!S31</f>
        <v/>
      </c>
      <c r="P36" s="400"/>
      <c r="Q36" s="409"/>
      <c r="R36" s="400" t="str">
        <f>NeoBerInfB!Z31</f>
        <v/>
      </c>
    </row>
    <row r="37" spans="1:18" ht="20.100000000000001" customHeight="1" thickTop="1" thickBot="1" x14ac:dyDescent="0.25">
      <c r="A37" s="782" t="str">
        <f>NeoBerInfB!AI32</f>
        <v/>
      </c>
      <c r="B37" s="411" t="str">
        <f>NeoBerInfB!AJ32</f>
        <v/>
      </c>
      <c r="C37" s="638">
        <v>10</v>
      </c>
      <c r="G37" s="479" t="str">
        <f>NeoBerInfB!M32</f>
        <v/>
      </c>
      <c r="H37" s="479" t="str">
        <f>NeoBerInfB!O32</f>
        <v/>
      </c>
      <c r="K37" s="563" t="str">
        <f>NeoBerInfB!Q32</f>
        <v/>
      </c>
      <c r="L37" s="407" t="str">
        <f>IF(NeoBerInfB!G32&gt;0,NeoBerInfB!G32,"")</f>
        <v/>
      </c>
      <c r="M37" s="407" t="str">
        <f>NeoBerInfB!R32</f>
        <v/>
      </c>
      <c r="O37" s="400" t="str">
        <f>NeoBerInfB!S32</f>
        <v/>
      </c>
      <c r="P37" s="400"/>
      <c r="Q37" s="409"/>
      <c r="R37" s="400" t="str">
        <f>NeoBerInfB!Z32</f>
        <v/>
      </c>
    </row>
    <row r="38" spans="1:18" ht="9.75" customHeight="1" thickTop="1" x14ac:dyDescent="0.2">
      <c r="E38" s="407"/>
      <c r="F38" s="407"/>
      <c r="I38" s="400"/>
      <c r="J38" s="407"/>
      <c r="M38" s="400"/>
      <c r="N38" s="400"/>
      <c r="O38" s="409"/>
      <c r="P38" s="400"/>
    </row>
    <row r="39" spans="1:18" ht="20.100000000000001" customHeight="1" thickBot="1" x14ac:dyDescent="0.25">
      <c r="A39" s="781" t="str">
        <f>NeoBerInfB!AI33</f>
        <v/>
      </c>
      <c r="C39" s="638">
        <v>11</v>
      </c>
      <c r="D39" s="640" t="s">
        <v>430</v>
      </c>
      <c r="E39" s="407"/>
      <c r="F39" s="407"/>
      <c r="I39" s="407"/>
      <c r="J39" s="407"/>
      <c r="K39" s="561" t="str">
        <f>IF(NeoBerInfB!F33/10&gt;0,NeoBerInfB!F33/10&amp;" ml/uur","")</f>
        <v/>
      </c>
      <c r="L39" s="407" t="str">
        <f>IF(NeoBerInfB!G36&gt;0,"= "&amp;ROUND(NeoBerInfB!G36,2),"")</f>
        <v/>
      </c>
      <c r="M39" s="407"/>
      <c r="O39" s="409"/>
      <c r="P39" s="400"/>
    </row>
    <row r="40" spans="1:18" ht="20.100000000000001" customHeight="1" thickTop="1" thickBot="1" x14ac:dyDescent="0.25">
      <c r="A40" s="781" t="str">
        <f>NeoBerInfB!AI34</f>
        <v/>
      </c>
      <c r="C40" s="638">
        <v>12</v>
      </c>
      <c r="D40" s="640" t="s">
        <v>431</v>
      </c>
      <c r="E40" s="407"/>
      <c r="F40" s="407"/>
      <c r="I40" s="407"/>
      <c r="J40" s="407"/>
      <c r="K40" s="562" t="str">
        <f>IF(NeoBerInfB!F34/10&gt;0,NeoBerInfB!F34/10&amp;" ml/uur","")</f>
        <v/>
      </c>
      <c r="L40" s="407" t="str">
        <f>IF(NeoBerInfB!G37&gt;0,"= "&amp;ROUND(NeoBerInfB!G37,2),"")</f>
        <v/>
      </c>
      <c r="M40" s="407"/>
      <c r="O40" s="409"/>
      <c r="P40" s="400"/>
    </row>
    <row r="41" spans="1:18" ht="20.100000000000001" customHeight="1" thickTop="1" thickBot="1" x14ac:dyDescent="0.25">
      <c r="A41" s="781" t="str">
        <f>NeoBerInfB!AI35</f>
        <v/>
      </c>
      <c r="C41" s="638">
        <v>13</v>
      </c>
      <c r="D41" s="640" t="s">
        <v>432</v>
      </c>
      <c r="E41" s="407"/>
      <c r="F41" s="407"/>
      <c r="I41" s="407"/>
      <c r="J41" s="407"/>
      <c r="K41" s="562" t="str">
        <f>IF(NeoBerInfB!F35/10&gt;0,NeoBerInfB!F35/10&amp;" ml/uur","")</f>
        <v/>
      </c>
      <c r="L41" s="407" t="str">
        <f>IF(NeoBerInfB!G39&gt;0,"= "&amp;ROUND(NeoBerInfB!G39,2),"")</f>
        <v/>
      </c>
      <c r="M41" s="407"/>
      <c r="O41" s="409"/>
      <c r="P41" s="400"/>
    </row>
    <row r="42" spans="1:18" ht="20.100000000000001" customHeight="1" thickTop="1" thickBot="1" x14ac:dyDescent="0.25">
      <c r="A42" s="781" t="str">
        <f>NeoBerInfB!AI36</f>
        <v/>
      </c>
      <c r="C42" s="638">
        <v>14</v>
      </c>
      <c r="D42" s="887" t="str">
        <f>IF(Var_Neo_InfB_Cont_MedTekst_1="","",Var_Neo_InfB_Cont_MedTekst_1)</f>
        <v/>
      </c>
      <c r="E42" s="887"/>
      <c r="F42" s="887"/>
      <c r="G42" s="887"/>
      <c r="H42" s="887"/>
      <c r="I42" s="887"/>
      <c r="J42" s="887"/>
      <c r="K42" s="888"/>
      <c r="L42" s="887"/>
      <c r="M42" s="887"/>
      <c r="N42" s="433"/>
      <c r="O42" s="433"/>
      <c r="P42" s="433"/>
      <c r="Q42" s="433"/>
      <c r="R42" s="433"/>
    </row>
    <row r="43" spans="1:18" ht="20.100000000000001" customHeight="1" thickTop="1" thickBot="1" x14ac:dyDescent="0.25">
      <c r="A43" s="781" t="str">
        <f>NeoBerInfB!AI37</f>
        <v/>
      </c>
      <c r="C43" s="638">
        <v>15</v>
      </c>
      <c r="D43" s="889" t="str">
        <f>IF(Var_Neo_InfB_Cont_MedTekst_2="","",Var_Neo_InfB_Cont_MedTekst_2)</f>
        <v/>
      </c>
      <c r="E43" s="889"/>
      <c r="F43" s="889"/>
      <c r="G43" s="889"/>
      <c r="H43" s="889"/>
      <c r="I43" s="889"/>
      <c r="J43" s="889"/>
      <c r="K43" s="889"/>
      <c r="L43" s="889"/>
      <c r="M43" s="889"/>
      <c r="N43" s="433"/>
      <c r="O43" s="433"/>
      <c r="P43" s="433"/>
      <c r="Q43" s="433"/>
      <c r="R43" s="433"/>
    </row>
    <row r="44" spans="1:18" ht="8.1" customHeight="1" thickTop="1" x14ac:dyDescent="0.2">
      <c r="D44" s="400"/>
      <c r="E44" s="407"/>
      <c r="F44" s="407"/>
      <c r="I44" s="407"/>
      <c r="J44" s="407"/>
      <c r="K44" s="407"/>
      <c r="L44" s="407"/>
      <c r="M44" s="407"/>
      <c r="O44" s="409"/>
      <c r="P44" s="400"/>
    </row>
    <row r="45" spans="1:18" ht="20.100000000000001" customHeight="1" x14ac:dyDescent="0.2">
      <c r="C45" s="654" t="s">
        <v>4258</v>
      </c>
      <c r="D45" s="655"/>
      <c r="E45" s="656"/>
      <c r="F45" s="656"/>
      <c r="G45" s="654"/>
      <c r="H45" s="654"/>
      <c r="I45" s="656"/>
      <c r="J45" s="656"/>
      <c r="K45" s="656"/>
      <c r="L45" s="656"/>
      <c r="M45" s="656"/>
      <c r="N45" s="654"/>
      <c r="O45" s="657"/>
      <c r="P45" s="655"/>
      <c r="Q45" s="654"/>
      <c r="R45" s="654"/>
    </row>
    <row r="46" spans="1:18" ht="8.1" customHeight="1" x14ac:dyDescent="0.2">
      <c r="H46" s="400"/>
    </row>
    <row r="47" spans="1:18" ht="20.100000000000001" customHeight="1" x14ac:dyDescent="0.2">
      <c r="A47" s="782" t="str">
        <f>NeoBerInfB!AI40</f>
        <v/>
      </c>
      <c r="B47" s="411" t="str">
        <f>NeoBerInfB!AJ40</f>
        <v/>
      </c>
      <c r="C47" s="638"/>
      <c r="F47" s="639"/>
      <c r="G47" s="561" t="str">
        <f>IF(NeoBerInfB!C40&gt;0,NeoBerInfB!C40&amp;" ml","")</f>
        <v/>
      </c>
      <c r="I47" s="402" t="str">
        <f>IF(NeoBerInfB!C40&gt;0,ROUND(NeoBerInfB!C40/(_Pat_Gewicht),0)&amp;" ml/ kg (advies "&amp;ROUND(NeoBerInfB!B40/_Pat_Gewicht,0)&amp;" ml/kg)","")</f>
        <v/>
      </c>
      <c r="M47" s="638" t="s">
        <v>418</v>
      </c>
      <c r="N47" s="400"/>
    </row>
    <row r="48" spans="1:18" ht="20.100000000000001" customHeight="1" x14ac:dyDescent="0.2">
      <c r="C48" s="410"/>
      <c r="D48" s="410"/>
      <c r="E48" s="410"/>
      <c r="F48" s="407"/>
      <c r="G48" s="400"/>
    </row>
    <row r="49" spans="1:18" ht="20.100000000000001" customHeight="1" x14ac:dyDescent="0.2">
      <c r="A49" s="782" t="str">
        <f>NeoBerInfB!AI39</f>
        <v/>
      </c>
      <c r="B49" s="403" t="str">
        <f>NeoBerInfB!AJ39</f>
        <v/>
      </c>
      <c r="C49" s="638"/>
      <c r="D49" s="638" t="s">
        <v>4260</v>
      </c>
      <c r="E49" s="638"/>
    </row>
    <row r="50" spans="1:18" ht="20.100000000000001" customHeight="1" x14ac:dyDescent="0.2">
      <c r="C50" s="638"/>
      <c r="D50" s="638"/>
      <c r="E50" s="638"/>
    </row>
    <row r="51" spans="1:18" ht="20.100000000000001" customHeight="1" thickBot="1" x14ac:dyDescent="0.25">
      <c r="A51" s="781" t="str">
        <f>NeoBerInfB!AI42</f>
        <v/>
      </c>
      <c r="C51" s="638"/>
      <c r="D51" s="638" t="s">
        <v>7890</v>
      </c>
      <c r="E51" s="638"/>
      <c r="I51" s="561" t="str">
        <f>IF(NeoBerInfB!$D$41=2,NeoBerInfB!C42&amp;" ml","")</f>
        <v/>
      </c>
      <c r="K51" s="561" t="str">
        <f>IF(NeoBerInfB!$D$41=3,NeoBerInfB!C42&amp;" ml","")</f>
        <v/>
      </c>
      <c r="M51" s="400" t="str">
        <f ca="1">IF(NeoBerInfB!B42&gt;0,NeoBerInfB!B42&amp;" ml","")</f>
        <v/>
      </c>
      <c r="N51" s="400"/>
    </row>
    <row r="52" spans="1:18" ht="20.100000000000001" customHeight="1" thickTop="1" thickBot="1" x14ac:dyDescent="0.25">
      <c r="A52" s="781" t="str">
        <f>NeoBerInfB!AI43</f>
        <v/>
      </c>
      <c r="C52" s="638"/>
      <c r="D52" s="638" t="s">
        <v>434</v>
      </c>
      <c r="E52" s="638"/>
      <c r="I52" s="563" t="str">
        <f>IF(NeoBerInfB!$D$41=2,NeoBerInfB!C43&amp;" ml","")</f>
        <v/>
      </c>
      <c r="K52" s="562" t="str">
        <f>IF(NeoBerInfB!$D$41=3,NeoBerInfB!C43&amp;" ml","")</f>
        <v/>
      </c>
      <c r="M52" s="400" t="str">
        <f ca="1">IF(NeoBerInfB!B43&gt;0,NeoBerInfB!B43&amp;" ml","")</f>
        <v/>
      </c>
      <c r="N52" s="400"/>
    </row>
    <row r="53" spans="1:18" ht="20.100000000000001" customHeight="1" thickTop="1" thickBot="1" x14ac:dyDescent="0.25">
      <c r="A53" s="781" t="str">
        <f>NeoBerInfB!AI44</f>
        <v/>
      </c>
      <c r="C53" s="638"/>
      <c r="D53" s="638" t="s">
        <v>7426</v>
      </c>
      <c r="E53" s="638"/>
      <c r="K53" s="562" t="str">
        <f>IF(NeoBerInfB!$D$41=3,NeoBerInfB!C44&amp;" ml","")</f>
        <v/>
      </c>
      <c r="M53" s="400" t="str">
        <f ca="1">IF(NeoBerInfB!B44&gt;0,NeoBerInfB!B44&amp;" ml","")</f>
        <v/>
      </c>
      <c r="N53" s="400"/>
    </row>
    <row r="54" spans="1:18" ht="20.100000000000001" customHeight="1" thickTop="1" thickBot="1" x14ac:dyDescent="0.25">
      <c r="A54" s="781" t="str">
        <f>NeoBerInfB!AI45</f>
        <v/>
      </c>
      <c r="C54" s="638"/>
      <c r="D54" s="638" t="s">
        <v>7427</v>
      </c>
      <c r="E54" s="638"/>
      <c r="K54" s="562" t="str">
        <f>IF(NeoBerInfB!$D$41=3,NeoBerInfB!C45&amp;" ml","")</f>
        <v/>
      </c>
      <c r="M54" s="400" t="str">
        <f ca="1">IF(NeoBerInfB!B45&gt;0,NeoBerInfB!B45&amp;" ml","")</f>
        <v/>
      </c>
      <c r="N54" s="400"/>
    </row>
    <row r="55" spans="1:18" ht="20.100000000000001" customHeight="1" thickTop="1" thickBot="1" x14ac:dyDescent="0.25">
      <c r="A55" s="781" t="str">
        <f>NeoBerInfB!AI46</f>
        <v/>
      </c>
      <c r="C55" s="638"/>
      <c r="D55" s="638" t="s">
        <v>149</v>
      </c>
      <c r="E55" s="638"/>
      <c r="K55" s="562" t="str">
        <f>IF(NeoBerInfB!$D$41=3,NeoBerInfB!C46&amp;" ml","")</f>
        <v/>
      </c>
      <c r="M55" s="400" t="str">
        <f ca="1">IF(NeoBerInfB!B46&gt;0,NeoBerInfB!B46&amp;" ml","")</f>
        <v/>
      </c>
      <c r="N55" s="400"/>
    </row>
    <row r="56" spans="1:18" ht="20.100000000000001" customHeight="1" thickTop="1" thickBot="1" x14ac:dyDescent="0.25">
      <c r="A56" s="781" t="str">
        <f>NeoBerInfB!AI47</f>
        <v/>
      </c>
      <c r="C56" s="638"/>
      <c r="D56" s="638" t="s">
        <v>403</v>
      </c>
      <c r="E56" s="638"/>
      <c r="G56" s="713" t="str">
        <f>IF(NeoBerInfB!D41=1,NeoBerInfB!C47&amp;" ml","")</f>
        <v>0 ml</v>
      </c>
      <c r="I56" s="713" t="str">
        <f>IF(NeoBerInfB!$D$41=2,NeoBerInfB!C47&amp;" ml","")</f>
        <v/>
      </c>
      <c r="K56" s="563" t="str">
        <f>IF(NeoBerInfB!$D$41=3,NeoBerInfB!C47&amp;" ml","")</f>
        <v/>
      </c>
      <c r="M56" s="400" t="str">
        <f ca="1">IF(NeoBerInfB!B47&gt;0,NeoBerInfB!B47&amp;" ml","")</f>
        <v/>
      </c>
      <c r="N56" s="400"/>
    </row>
    <row r="57" spans="1:18" ht="20.100000000000001" customHeight="1" thickTop="1" x14ac:dyDescent="0.2">
      <c r="A57" s="781" t="str">
        <f>NeoBerInfB!AI48</f>
        <v/>
      </c>
      <c r="C57" s="638"/>
      <c r="D57" s="638" t="s">
        <v>404</v>
      </c>
      <c r="E57" s="638"/>
      <c r="G57" s="561" t="str">
        <f>IF(NeoBerInfB!D41=1,NeoBerInfB!C48&amp;" ml","")</f>
        <v>0 ml</v>
      </c>
      <c r="H57" s="405" t="e">
        <f>IF(G57&lt;&gt;"","("&amp;ROUND(NeoBerInfB!C48/(_Pat_Gewicht),0)&amp;" ml/kg)","")</f>
        <v>#DIV/0!</v>
      </c>
      <c r="M57" s="400" t="str">
        <f ca="1">IF(NeoBerInfB!B48&gt;0,NeoBerInfB!B48&amp;" ml","")</f>
        <v/>
      </c>
      <c r="N57" s="400"/>
    </row>
    <row r="58" spans="1:18" ht="20.100000000000001" customHeight="1" x14ac:dyDescent="0.2">
      <c r="C58" s="638"/>
      <c r="D58" s="638" t="s">
        <v>256</v>
      </c>
      <c r="E58" s="638"/>
      <c r="I58" s="561" t="str">
        <f>IF(NeoBerInfB!$D$41=2,NeoBerInfB!C49&amp;" ml","")</f>
        <v/>
      </c>
      <c r="J58" s="407" t="str">
        <f>IF(I58&lt;&gt;"","("&amp;ROUND(NeoBerInfB!C49/(_Pat_Gewicht),0)&amp;" ml/kg)","")</f>
        <v/>
      </c>
      <c r="M58" s="400" t="str">
        <f ca="1">IF(NeoBerInfB!B49&gt;0,NeoBerInfB!B49&amp;" ml","")</f>
        <v/>
      </c>
      <c r="N58" s="400"/>
    </row>
    <row r="59" spans="1:18" ht="20.100000000000001" customHeight="1" x14ac:dyDescent="0.2">
      <c r="C59" s="638"/>
      <c r="G59" s="405">
        <f>IF(NeoBerInfB!D41=1,NeoBerInfB!AL50,"")</f>
        <v>0</v>
      </c>
      <c r="H59" s="402" t="str">
        <f>IF(G59&lt;&gt;"","ml","")</f>
        <v>ml</v>
      </c>
      <c r="I59" s="405" t="str">
        <f>IF(NeoBerInfB!D41=2,NeoBerInfB!AL50,"")</f>
        <v/>
      </c>
      <c r="J59" s="402" t="str">
        <f>IF(I59&lt;&gt;"","ml","")</f>
        <v/>
      </c>
      <c r="K59" s="405" t="str">
        <f>IF(NeoBerInfB!D41=3,NeoBerInfB!AL50,"")</f>
        <v/>
      </c>
      <c r="L59" s="402" t="str">
        <f>IF(K59&lt;&gt;"","ml","")</f>
        <v/>
      </c>
      <c r="M59" s="400"/>
      <c r="N59" s="400"/>
    </row>
    <row r="60" spans="1:18" ht="20.100000000000001" customHeight="1" x14ac:dyDescent="0.2"/>
    <row r="61" spans="1:18" ht="20.100000000000001" customHeight="1" x14ac:dyDescent="0.2">
      <c r="C61" s="654"/>
      <c r="D61" s="654" t="s">
        <v>4259</v>
      </c>
      <c r="E61" s="658"/>
      <c r="F61" s="658"/>
      <c r="G61" s="658"/>
      <c r="H61" s="658"/>
      <c r="I61" s="658"/>
      <c r="J61" s="658"/>
      <c r="K61" s="658"/>
      <c r="L61" s="658"/>
      <c r="M61" s="654"/>
      <c r="N61" s="654"/>
      <c r="O61" s="654"/>
      <c r="P61" s="654"/>
      <c r="Q61" s="654"/>
      <c r="R61" s="654"/>
    </row>
    <row r="62" spans="1:18" ht="20.100000000000001" customHeight="1" x14ac:dyDescent="0.2">
      <c r="C62" s="644"/>
      <c r="D62" s="642" t="s">
        <v>88</v>
      </c>
      <c r="E62" s="643" t="s">
        <v>293</v>
      </c>
      <c r="F62" s="406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06"/>
      <c r="H62" s="406"/>
      <c r="I62" s="406"/>
      <c r="J62" s="406"/>
      <c r="K62" s="406"/>
      <c r="L62" s="406"/>
    </row>
    <row r="63" spans="1:18" ht="20.100000000000001" customHeight="1" x14ac:dyDescent="0.2">
      <c r="C63" s="644"/>
      <c r="D63" s="644"/>
      <c r="E63" s="643" t="s">
        <v>556</v>
      </c>
      <c r="F63" s="406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06"/>
      <c r="H63" s="406"/>
      <c r="I63" s="406"/>
      <c r="J63" s="406"/>
      <c r="K63" s="406"/>
      <c r="L63" s="406"/>
    </row>
    <row r="64" spans="1:18" ht="20.100000000000001" customHeight="1" x14ac:dyDescent="0.2">
      <c r="C64" s="644"/>
      <c r="D64" s="644"/>
      <c r="E64" s="643" t="s">
        <v>557</v>
      </c>
      <c r="F64" s="406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06"/>
      <c r="H64" s="406"/>
      <c r="I64" s="406"/>
      <c r="J64" s="406"/>
      <c r="K64" s="406"/>
      <c r="L64" s="406"/>
    </row>
    <row r="65" spans="1:18" ht="20.100000000000001" customHeight="1" x14ac:dyDescent="0.2">
      <c r="C65" s="644"/>
      <c r="D65" s="644"/>
      <c r="E65" s="643" t="s">
        <v>558</v>
      </c>
      <c r="F65" s="406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06"/>
      <c r="H65" s="406"/>
      <c r="I65" s="406"/>
      <c r="J65" s="406"/>
      <c r="K65" s="406"/>
      <c r="L65" s="406"/>
    </row>
    <row r="66" spans="1:18" ht="20.100000000000001" customHeight="1" x14ac:dyDescent="0.2">
      <c r="C66" s="644"/>
      <c r="D66" s="644"/>
      <c r="E66" s="643" t="s">
        <v>108</v>
      </c>
      <c r="F66" s="406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06"/>
      <c r="H66" s="406"/>
      <c r="I66" s="406"/>
      <c r="J66" s="406"/>
      <c r="K66" s="406"/>
      <c r="L66" s="406"/>
    </row>
    <row r="67" spans="1:18" ht="20.100000000000001" customHeight="1" x14ac:dyDescent="0.2">
      <c r="C67" s="644"/>
      <c r="D67" s="644"/>
      <c r="E67" s="643" t="s">
        <v>559</v>
      </c>
      <c r="F67" s="406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06"/>
      <c r="H67" s="406"/>
      <c r="I67" s="406"/>
      <c r="J67" s="406"/>
      <c r="K67" s="406"/>
      <c r="L67" s="406"/>
    </row>
    <row r="68" spans="1:18" ht="20.100000000000001" customHeight="1" x14ac:dyDescent="0.2">
      <c r="C68" s="644"/>
      <c r="D68" s="644"/>
      <c r="E68" s="643" t="s">
        <v>4251</v>
      </c>
      <c r="F68" s="406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06"/>
      <c r="H68" s="406"/>
      <c r="I68" s="406"/>
      <c r="J68" s="406"/>
      <c r="K68" s="406"/>
      <c r="L68" s="406"/>
    </row>
    <row r="69" spans="1:18" ht="20.100000000000001" customHeight="1" x14ac:dyDescent="0.2">
      <c r="C69" s="644"/>
      <c r="D69" s="644"/>
      <c r="E69" s="643" t="s">
        <v>4252</v>
      </c>
      <c r="F69" s="406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06"/>
      <c r="H69" s="406"/>
      <c r="I69" s="406"/>
      <c r="J69" s="406"/>
      <c r="K69" s="406"/>
      <c r="L69" s="406"/>
    </row>
    <row r="70" spans="1:18" ht="20.100000000000001" customHeight="1" x14ac:dyDescent="0.2">
      <c r="C70" s="644"/>
      <c r="D70" s="644"/>
      <c r="E70" s="643" t="s">
        <v>4253</v>
      </c>
      <c r="F70" s="406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06"/>
      <c r="H70" s="406"/>
      <c r="I70" s="406"/>
      <c r="J70" s="406"/>
      <c r="K70" s="406"/>
      <c r="L70" s="406"/>
    </row>
    <row r="71" spans="1:18" ht="20.100000000000001" customHeight="1" x14ac:dyDescent="0.2">
      <c r="A71" s="781" t="s">
        <v>4254</v>
      </c>
      <c r="C71" s="644"/>
      <c r="D71" s="644"/>
      <c r="E71" s="643" t="s">
        <v>219</v>
      </c>
      <c r="F71" s="884" t="str">
        <f>IF(_Neo_Lab_Opm=0,"",_Neo_Lab_Opm)</f>
        <v/>
      </c>
      <c r="G71" s="885"/>
      <c r="H71" s="885"/>
      <c r="I71" s="885"/>
      <c r="J71" s="885"/>
      <c r="K71" s="885"/>
      <c r="L71" s="885"/>
      <c r="M71" s="885"/>
      <c r="N71" s="885"/>
      <c r="O71" s="885"/>
      <c r="P71" s="885"/>
      <c r="Q71" s="885"/>
      <c r="R71" s="885"/>
    </row>
    <row r="72" spans="1:18" ht="20.100000000000001" customHeight="1" x14ac:dyDescent="0.2">
      <c r="C72" s="644"/>
      <c r="D72" s="644"/>
      <c r="E72" s="645"/>
      <c r="F72" s="885"/>
      <c r="G72" s="885"/>
      <c r="H72" s="885"/>
      <c r="I72" s="885"/>
      <c r="J72" s="885"/>
      <c r="K72" s="885"/>
      <c r="L72" s="885"/>
      <c r="M72" s="885"/>
      <c r="N72" s="885"/>
      <c r="O72" s="885"/>
      <c r="P72" s="885"/>
      <c r="Q72" s="885"/>
      <c r="R72" s="885"/>
    </row>
    <row r="73" spans="1:18" ht="20.100000000000001" customHeight="1" x14ac:dyDescent="0.2">
      <c r="C73" s="404"/>
      <c r="D73" s="404"/>
    </row>
  </sheetData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809625</xdr:colOff>
                    <xdr:row>16</xdr:row>
                    <xdr:rowOff>9525</xdr:rowOff>
                  </from>
                  <to>
                    <xdr:col>7</xdr:col>
                    <xdr:colOff>933450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800100</xdr:colOff>
                    <xdr:row>16</xdr:row>
                    <xdr:rowOff>9525</xdr:rowOff>
                  </from>
                  <to>
                    <xdr:col>9</xdr:col>
                    <xdr:colOff>923925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800100</xdr:colOff>
                    <xdr:row>14</xdr:row>
                    <xdr:rowOff>9525</xdr:rowOff>
                  </from>
                  <to>
                    <xdr:col>5</xdr:col>
                    <xdr:colOff>923925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0</xdr:rowOff>
                  </from>
                  <to>
                    <xdr:col>10</xdr:col>
                    <xdr:colOff>942975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0</xdr:rowOff>
                  </from>
                  <to>
                    <xdr:col>10</xdr:col>
                    <xdr:colOff>942975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0</xdr:rowOff>
                  </from>
                  <to>
                    <xdr:col>10</xdr:col>
                    <xdr:colOff>942975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54</xdr:row>
                    <xdr:rowOff>0</xdr:rowOff>
                  </from>
                  <to>
                    <xdr:col>10</xdr:col>
                    <xdr:colOff>942975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 macro="[0]!NeoInfB_CheckOplVlst_01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 macro="[0]!NeoInfB_CheckOplVlst_02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 macro="[0]!NeoInfB_CheckOplVlst_03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 macro="[0]!NeoInfB_CheckOplVlst_04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 macro="[0]!NeoInfB_CheckOplVlst_05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 macro="[0]!NeoInfB_CheckOplVlst_06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 macro="[0]!NeoInfB_ChangeOplVol_01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 macro="[0]!NeoInfB_ChangeOplVol_02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 macro="[0]!NeoInfB_ChangeOplVol_03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 macro="[0]!NeoInfB_ChangeOplVol_04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 macro="[0]!NeoInfB_ChangeOplVol_05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 macro="[0]!NeoInfB_ChangeOplVol_06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 macro="[0]!NeoInfB_ChangeOplVol_07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49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0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1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2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53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54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55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56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57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58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59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0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1" name="Drop Down 69">
              <controlPr defaultSize="0" autoLine="0" autoPict="0" macro="[0]!NeoInfB_CheckOplVlst_07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2" name="Spinner 70">
              <controlPr defaultSize="0" autoPict="0" macro="[0]!NeoInfB_ChangeOplVol_0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63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64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65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66" name="Drop Down 75">
              <controlPr defaultSize="0" autoLine="0" autoPict="0" macro="[0]!NeoInfB_CheckOplVlst_08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67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68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69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0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1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72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73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74" name="Spinner 91">
              <controlPr defaultSize="0" autoPict="0">
                <anchor moveWithCells="1" sizeWithCells="1">
                  <from>
                    <xdr:col>7</xdr:col>
                    <xdr:colOff>809625</xdr:colOff>
                    <xdr:row>17</xdr:row>
                    <xdr:rowOff>9525</xdr:rowOff>
                  </from>
                  <to>
                    <xdr:col>7</xdr:col>
                    <xdr:colOff>933450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75" name="Spinner 92">
              <controlPr defaultSize="0" autoPict="0">
                <anchor moveWithCells="1" sizeWithCells="1">
                  <from>
                    <xdr:col>9</xdr:col>
                    <xdr:colOff>800100</xdr:colOff>
                    <xdr:row>17</xdr:row>
                    <xdr:rowOff>9525</xdr:rowOff>
                  </from>
                  <to>
                    <xdr:col>9</xdr:col>
                    <xdr:colOff>923925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76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77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78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79" name="Spinner 98">
              <controlPr defaultSize="0" autoPict="0" macro="[0]!NeoInfB_ChangeOplVol_09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0" name="Drop Down 100">
              <controlPr defaultSize="0" autoLine="0" autoPict="0" macro="[0]!NeoInfB_CheckOplVlst_09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81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82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83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84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85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86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87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88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89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0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91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92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93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94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95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96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97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98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99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0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01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02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03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04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05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06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07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08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09" name="Spinner 154">
              <controlPr defaultSize="0" autoPict="0" macro="[0]!NeoInfB_ChangeOplVol_1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10" name="Drop Down 156">
              <controlPr defaultSize="0" autoLine="0" autoPict="0" macro="[0]!NeoInfB_CheckOplVlst_1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1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1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1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1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1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1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17" name="Spinner 166">
              <controlPr defaultSize="0" autoPict="0">
                <anchor moveWithCells="1" sizeWithCells="1">
                  <from>
                    <xdr:col>17</xdr:col>
                    <xdr:colOff>790575</xdr:colOff>
                    <xdr:row>21</xdr:row>
                    <xdr:rowOff>0</xdr:rowOff>
                  </from>
                  <to>
                    <xdr:col>17</xdr:col>
                    <xdr:colOff>914400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18" name="Spinner 167">
              <controlPr defaultSize="0" autoPict="0">
                <anchor moveWithCells="1" sizeWithCells="1">
                  <from>
                    <xdr:col>17</xdr:col>
                    <xdr:colOff>790575</xdr:colOff>
                    <xdr:row>18</xdr:row>
                    <xdr:rowOff>9525</xdr:rowOff>
                  </from>
                  <to>
                    <xdr:col>17</xdr:col>
                    <xdr:colOff>914400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19" name="Spinner 168">
              <controlPr defaultSize="0" autoPict="0">
                <anchor moveWithCells="1" sizeWithCells="1">
                  <from>
                    <xdr:col>17</xdr:col>
                    <xdr:colOff>790575</xdr:colOff>
                    <xdr:row>19</xdr:row>
                    <xdr:rowOff>9525</xdr:rowOff>
                  </from>
                  <to>
                    <xdr:col>17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20" name="Spinner 169">
              <controlPr defaultSize="0" autoPict="0">
                <anchor moveWithCells="1" sizeWithCells="1">
                  <from>
                    <xdr:col>17</xdr:col>
                    <xdr:colOff>790575</xdr:colOff>
                    <xdr:row>20</xdr:row>
                    <xdr:rowOff>9525</xdr:rowOff>
                  </from>
                  <to>
                    <xdr:col>17</xdr:col>
                    <xdr:colOff>914400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2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2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2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2" r:id="rId124" name="Spinner 174">
              <controlPr defaultSize="0" autoPict="0">
                <anchor moveWithCells="1" sizeWithCells="1">
                  <from>
                    <xdr:col>6</xdr:col>
                    <xdr:colOff>847725</xdr:colOff>
                    <xdr:row>55</xdr:row>
                    <xdr:rowOff>9525</xdr:rowOff>
                  </from>
                  <to>
                    <xdr:col>7</xdr:col>
                    <xdr:colOff>19050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3" r:id="rId125" name="Spinner 175">
              <controlPr defaultSize="0" autoPict="0">
                <anchor moveWithCells="1" sizeWithCells="1">
                  <from>
                    <xdr:col>8</xdr:col>
                    <xdr:colOff>819150</xdr:colOff>
                    <xdr:row>54</xdr:row>
                    <xdr:rowOff>228600</xdr:rowOff>
                  </from>
                  <to>
                    <xdr:col>9</xdr:col>
                    <xdr:colOff>95250</xdr:colOff>
                    <xdr:row>55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  <x14:conditionalFormatting xmlns:xm="http://schemas.microsoft.com/office/excel/2006/main">
          <x14:cfRule type="expression" priority="42" stopIfTrue="1" id="{00000000-0000-0000-0000-000000000000}">
            <xm:f>NeoBerInfB!AE50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G59</xm:sqref>
        </x14:conditionalFormatting>
        <x14:conditionalFormatting xmlns:xm="http://schemas.microsoft.com/office/excel/2006/main">
          <x14:cfRule type="expression" priority="44" stopIfTrue="1" id="{00000000-0000-0000-0000-000000000000}">
            <xm:f>NeoBerInfB!AE3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C9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  <outlinePr showOutlineSymbols="0"/>
  </sheetPr>
  <dimension ref="A1:BJ80"/>
  <sheetViews>
    <sheetView showOutlineSymbols="0" workbookViewId="0">
      <pane xSplit="1" ySplit="2" topLeftCell="N3" activePane="bottomRight" state="frozenSplit"/>
      <selection activeCell="J34" sqref="J34"/>
      <selection pane="topRight" activeCell="J34" sqref="J34"/>
      <selection pane="bottomLeft" activeCell="J34" sqref="J34"/>
      <selection pane="bottomRight" activeCell="AB23" sqref="AB23"/>
    </sheetView>
  </sheetViews>
  <sheetFormatPr defaultColWidth="9.140625" defaultRowHeight="12.75" x14ac:dyDescent="0.2"/>
  <cols>
    <col min="1" max="1" width="24.85546875" style="54" customWidth="1"/>
    <col min="2" max="2" width="9.28515625" style="54" customWidth="1"/>
    <col min="3" max="8" width="8.42578125" style="54" customWidth="1"/>
    <col min="9" max="9" width="10" style="54" customWidth="1"/>
    <col min="10" max="10" width="12" style="261" customWidth="1"/>
    <col min="11" max="12" width="8.5703125" style="261" customWidth="1"/>
    <col min="13" max="13" width="11.5703125" style="261" customWidth="1"/>
    <col min="14" max="14" width="5.7109375" style="261" customWidth="1"/>
    <col min="15" max="15" width="9" style="261" customWidth="1"/>
    <col min="16" max="16" width="19.5703125" style="261" customWidth="1"/>
    <col min="17" max="17" width="10" style="261" customWidth="1"/>
    <col min="18" max="18" width="14.140625" style="261" customWidth="1"/>
    <col min="19" max="19" width="20.28515625" style="261" customWidth="1"/>
    <col min="20" max="20" width="16.140625" style="261" customWidth="1"/>
    <col min="21" max="22" width="6.28515625" style="261" customWidth="1"/>
    <col min="23" max="23" width="11.5703125" style="261" customWidth="1"/>
    <col min="24" max="25" width="8.28515625" style="261" customWidth="1"/>
    <col min="26" max="26" width="8.42578125" style="261" customWidth="1"/>
    <col min="27" max="34" width="11.5703125" style="261" customWidth="1"/>
    <col min="35" max="35" width="6.5703125" style="261" customWidth="1"/>
    <col min="36" max="37" width="9.28515625" style="261" customWidth="1"/>
    <col min="38" max="38" width="8.28515625" style="54" customWidth="1"/>
    <col min="39" max="39" width="9.140625" style="54" customWidth="1"/>
    <col min="40" max="44" width="8.140625" style="54" customWidth="1"/>
    <col min="45" max="45" width="8.85546875" style="54" customWidth="1"/>
    <col min="46" max="49" width="8.140625" style="54" customWidth="1"/>
    <col min="50" max="50" width="8.140625" style="261" customWidth="1"/>
    <col min="51" max="52" width="9" style="54" customWidth="1"/>
    <col min="53" max="53" width="6" style="54" customWidth="1"/>
    <col min="54" max="54" width="81.85546875" style="54" customWidth="1"/>
    <col min="55" max="55" width="13.42578125" style="54" customWidth="1"/>
    <col min="56" max="56" width="9.140625" style="54"/>
    <col min="57" max="57" width="14.28515625" style="54" customWidth="1"/>
    <col min="58" max="58" width="19.28515625" style="54" customWidth="1"/>
    <col min="59" max="59" width="12.42578125" style="54" customWidth="1"/>
    <col min="60" max="16384" width="9.140625" style="54"/>
  </cols>
  <sheetData>
    <row r="1" spans="1:56" s="261" customFormat="1" x14ac:dyDescent="0.2">
      <c r="A1" s="261" t="s">
        <v>4234</v>
      </c>
      <c r="H1" s="261">
        <v>20</v>
      </c>
      <c r="J1" s="367">
        <v>1</v>
      </c>
      <c r="K1" s="551"/>
      <c r="L1" s="551"/>
      <c r="M1" s="367">
        <v>2</v>
      </c>
      <c r="N1" s="551"/>
      <c r="O1" s="367"/>
      <c r="P1" s="367"/>
      <c r="Q1" s="367"/>
      <c r="R1" s="367">
        <v>3</v>
      </c>
      <c r="S1" s="54">
        <v>19</v>
      </c>
      <c r="T1" s="261">
        <v>15</v>
      </c>
      <c r="U1" s="261">
        <v>16</v>
      </c>
      <c r="V1" s="261">
        <v>17</v>
      </c>
      <c r="W1" s="261">
        <v>18</v>
      </c>
      <c r="X1" s="261">
        <v>13</v>
      </c>
      <c r="Y1" s="261">
        <v>14</v>
      </c>
      <c r="Z1" s="54"/>
      <c r="AM1" s="367">
        <v>6</v>
      </c>
      <c r="AN1" s="367">
        <v>7</v>
      </c>
      <c r="AO1" s="367">
        <v>8</v>
      </c>
      <c r="AP1" s="367">
        <v>10</v>
      </c>
      <c r="AQ1" s="367">
        <v>9</v>
      </c>
      <c r="AR1" s="367">
        <v>3</v>
      </c>
      <c r="AS1" s="367">
        <v>4</v>
      </c>
      <c r="AT1" s="367">
        <v>5</v>
      </c>
      <c r="AU1" s="367">
        <v>2</v>
      </c>
      <c r="AV1" s="367">
        <v>13</v>
      </c>
      <c r="AW1" s="367">
        <v>12</v>
      </c>
      <c r="AX1" s="367">
        <v>11</v>
      </c>
    </row>
    <row r="2" spans="1:56" s="365" customFormat="1" ht="25.5" x14ac:dyDescent="0.2">
      <c r="A2" s="377" t="s">
        <v>27</v>
      </c>
      <c r="C2" s="365" t="s">
        <v>4083</v>
      </c>
      <c r="D2" s="365" t="s">
        <v>3286</v>
      </c>
      <c r="E2" s="365" t="s">
        <v>4066</v>
      </c>
      <c r="F2" s="365" t="s">
        <v>4238</v>
      </c>
      <c r="G2" s="365" t="s">
        <v>860</v>
      </c>
      <c r="H2" s="365" t="s">
        <v>4240</v>
      </c>
      <c r="I2" s="365" t="s">
        <v>392</v>
      </c>
      <c r="J2" s="365" t="s">
        <v>254</v>
      </c>
      <c r="K2" s="365" t="s">
        <v>3292</v>
      </c>
      <c r="L2" s="365" t="s">
        <v>4083</v>
      </c>
      <c r="M2" s="365" t="s">
        <v>153</v>
      </c>
      <c r="N2" s="365" t="s">
        <v>3285</v>
      </c>
      <c r="O2" s="365" t="s">
        <v>3286</v>
      </c>
      <c r="P2" s="365" t="s">
        <v>4239</v>
      </c>
      <c r="Q2" s="365" t="s">
        <v>4232</v>
      </c>
      <c r="R2" s="365" t="s">
        <v>4235</v>
      </c>
      <c r="S2" s="365" t="s">
        <v>418</v>
      </c>
      <c r="T2" s="365" t="s">
        <v>4876</v>
      </c>
      <c r="U2" s="365" t="s">
        <v>4901</v>
      </c>
      <c r="V2" s="365" t="s">
        <v>4879</v>
      </c>
      <c r="W2" s="365" t="s">
        <v>4902</v>
      </c>
      <c r="X2" s="365" t="s">
        <v>4916</v>
      </c>
      <c r="Y2" s="365" t="s">
        <v>4917</v>
      </c>
      <c r="Z2" s="365" t="s">
        <v>291</v>
      </c>
      <c r="AA2" s="365" t="s">
        <v>4491</v>
      </c>
      <c r="AB2" s="365" t="s">
        <v>4489</v>
      </c>
      <c r="AC2" s="365" t="s">
        <v>4490</v>
      </c>
      <c r="AD2" s="365" t="s">
        <v>4487</v>
      </c>
      <c r="AE2" s="365" t="s">
        <v>4488</v>
      </c>
      <c r="AF2" s="365" t="s">
        <v>4860</v>
      </c>
      <c r="AG2" s="365" t="s">
        <v>4861</v>
      </c>
      <c r="AH2" s="365" t="s">
        <v>4862</v>
      </c>
      <c r="AI2" s="365" t="s">
        <v>4249</v>
      </c>
      <c r="AJ2" s="365" t="s">
        <v>4250</v>
      </c>
      <c r="AK2" s="365" t="s">
        <v>4936</v>
      </c>
      <c r="AL2" s="365" t="s">
        <v>235</v>
      </c>
      <c r="AM2" s="365" t="s">
        <v>170</v>
      </c>
      <c r="AN2" s="365" t="s">
        <v>171</v>
      </c>
      <c r="AO2" s="365" t="s">
        <v>172</v>
      </c>
      <c r="AP2" s="365" t="s">
        <v>173</v>
      </c>
      <c r="AQ2" s="365" t="s">
        <v>406</v>
      </c>
      <c r="AR2" s="365" t="s">
        <v>169</v>
      </c>
      <c r="AS2" s="365" t="s">
        <v>407</v>
      </c>
      <c r="AT2" s="365" t="s">
        <v>408</v>
      </c>
      <c r="AU2" s="365" t="s">
        <v>409</v>
      </c>
      <c r="AV2" s="365" t="s">
        <v>449</v>
      </c>
      <c r="AW2" s="365" t="s">
        <v>417</v>
      </c>
      <c r="AX2" s="365" t="s">
        <v>723</v>
      </c>
      <c r="AY2" s="365" t="s">
        <v>429</v>
      </c>
      <c r="AZ2" s="365" t="s">
        <v>465</v>
      </c>
      <c r="BB2" s="365" t="s">
        <v>4242</v>
      </c>
      <c r="BC2" s="365" t="s">
        <v>6921</v>
      </c>
      <c r="BD2" s="365" t="s">
        <v>3292</v>
      </c>
    </row>
    <row r="3" spans="1:56" s="261" customFormat="1" x14ac:dyDescent="0.2">
      <c r="A3" s="178" t="s">
        <v>3709</v>
      </c>
      <c r="B3" s="261" t="s">
        <v>7892</v>
      </c>
      <c r="AE3" s="261" t="b">
        <f>B3="17:00 uur Afspraken"</f>
        <v>0</v>
      </c>
      <c r="AJ3" s="261" t="b">
        <f>NOT(B3="Actuele Afspraken")</f>
        <v>0</v>
      </c>
    </row>
    <row r="4" spans="1:56" x14ac:dyDescent="0.2">
      <c r="A4" s="178" t="s">
        <v>466</v>
      </c>
      <c r="B4" s="147">
        <f ca="1">TODAY()-__4_GebDatum+1</f>
        <v>41957</v>
      </c>
      <c r="C4" s="54">
        <f ca="1">IF(B4&lt;7,B4,6)</f>
        <v>6</v>
      </c>
    </row>
    <row r="5" spans="1:56" x14ac:dyDescent="0.2">
      <c r="AM5" s="205"/>
      <c r="AN5" s="205"/>
      <c r="AO5" s="205"/>
      <c r="AP5" s="205"/>
      <c r="AQ5" s="205"/>
      <c r="AR5" s="205"/>
      <c r="AS5" s="205"/>
      <c r="AT5" s="205"/>
      <c r="AU5" s="205"/>
      <c r="AV5" s="205"/>
      <c r="AW5" s="205"/>
      <c r="AX5" s="205"/>
    </row>
    <row r="6" spans="1:56" x14ac:dyDescent="0.2">
      <c r="A6" s="54" t="s">
        <v>421</v>
      </c>
      <c r="B6" s="54">
        <v>2</v>
      </c>
      <c r="BB6" s="54" t="str">
        <f>CONCATENATE(A6,": ",IF(B6=1,"Ja","Nee"))</f>
        <v>Fototherapie: Nee</v>
      </c>
    </row>
    <row r="7" spans="1:56" x14ac:dyDescent="0.2">
      <c r="A7" s="54" t="s">
        <v>467</v>
      </c>
      <c r="B7" s="147">
        <f ca="1">IF(AND(_Pat_GestWeken&lt;37,(_Pat_Gewicht)&gt;=1),INDEX(NeoBerAdvies!B3:G3,1,C4),IF((_Pat_Gewicht)&lt;1,INDEX(NeoBerAdvies!B4:G4,1,C4),INDEX(NeoBerAdvies!B5:G5,1,C4)))+IF(B6=1,20,0)</f>
        <v>160</v>
      </c>
      <c r="C7" s="54">
        <f>D7</f>
        <v>0</v>
      </c>
      <c r="D7" s="54">
        <v>0</v>
      </c>
      <c r="Q7" s="261" t="str">
        <f>IF(_Pat_Gewicht&gt;0,IF(B21,C7,ROUND(AL54/(_Pat_Gewicht),1)),"")</f>
        <v/>
      </c>
      <c r="AI7" s="261" t="str">
        <f>IF(AND(D7=0,B12),"","verw")</f>
        <v/>
      </c>
      <c r="BB7" s="54" t="str">
        <f>IF(AND(_Pat_Gewicht&gt;0,AL54&gt;0),CONCATENATE("Vochtintake: ",AL54/(_Pat_Gewicht)," ","ml/kg/dag"," ","(= ",AL54," ml/dag)"),"")</f>
        <v/>
      </c>
    </row>
    <row r="8" spans="1:56" s="261" customFormat="1" x14ac:dyDescent="0.2">
      <c r="BB8" s="54"/>
      <c r="BC8" s="54"/>
      <c r="BD8" s="54"/>
    </row>
    <row r="9" spans="1:56" s="261" customFormat="1" x14ac:dyDescent="0.2">
      <c r="A9" s="54" t="s">
        <v>212</v>
      </c>
      <c r="B9" s="54">
        <v>1</v>
      </c>
      <c r="C9" s="54">
        <v>0</v>
      </c>
      <c r="F9" s="54">
        <v>0</v>
      </c>
      <c r="G9" s="261">
        <v>0</v>
      </c>
      <c r="I9" s="54">
        <v>2</v>
      </c>
      <c r="O9" s="261" t="str">
        <f>IF($B9&gt;1,(G9/10)&amp;" ml","")</f>
        <v/>
      </c>
      <c r="P9" s="261" t="str">
        <f>IF($B9&gt;1,INDEX(Tbl_Neo_Voed,$B9,1),"")</f>
        <v/>
      </c>
      <c r="AI9" s="261" t="str">
        <f>IF(Var_Neo_InfB_Ent_Voeding=1,"","verw")</f>
        <v/>
      </c>
      <c r="AL9" s="54">
        <f>IF(AND(Var_Neo_InfB_Ent_Extra=2,Var_Neo_InfB_Ent_Voeding&gt;1),(F9*G9+F10*G10)/10,0)</f>
        <v>0</v>
      </c>
      <c r="AM9" s="205">
        <f t="shared" ref="AM9:AX9" si="0">INDEX(Tbl_Neo_Voed,$B9,AM$1)*$AL9</f>
        <v>0</v>
      </c>
      <c r="AN9" s="205">
        <f t="shared" si="0"/>
        <v>0</v>
      </c>
      <c r="AO9" s="205">
        <f t="shared" si="0"/>
        <v>0</v>
      </c>
      <c r="AP9" s="205">
        <f t="shared" si="0"/>
        <v>0</v>
      </c>
      <c r="AQ9" s="205">
        <f t="shared" si="0"/>
        <v>0</v>
      </c>
      <c r="AR9" s="205">
        <f t="shared" si="0"/>
        <v>0</v>
      </c>
      <c r="AS9" s="205">
        <f t="shared" si="0"/>
        <v>0</v>
      </c>
      <c r="AT9" s="205">
        <f t="shared" si="0"/>
        <v>0</v>
      </c>
      <c r="AU9" s="205">
        <f t="shared" si="0"/>
        <v>0</v>
      </c>
      <c r="AV9" s="205">
        <f t="shared" si="0"/>
        <v>0</v>
      </c>
      <c r="AW9" s="205">
        <f t="shared" si="0"/>
        <v>0</v>
      </c>
      <c r="AX9" s="205">
        <f t="shared" si="0"/>
        <v>0</v>
      </c>
      <c r="BB9" s="206" t="str">
        <f>IF(P9="","",CONCATENATE(P9," ",IF(F9&gt;0,F9&amp;" x "&amp;O9,""), IF(F10&gt;0," en "&amp;F10&amp;" x "&amp;O10,"")," ","(= ",AL9," ml)"))</f>
        <v/>
      </c>
      <c r="BC9" s="54"/>
      <c r="BD9" s="54"/>
    </row>
    <row r="10" spans="1:56" s="261" customFormat="1" x14ac:dyDescent="0.2">
      <c r="B10" s="261">
        <v>1</v>
      </c>
      <c r="C10" s="54">
        <v>0</v>
      </c>
      <c r="F10" s="54">
        <v>0</v>
      </c>
      <c r="G10" s="261">
        <v>0</v>
      </c>
      <c r="O10" s="261" t="str">
        <f>IF($B9&gt;1,(G10/10)&amp;" ml","")</f>
        <v/>
      </c>
      <c r="BB10" s="54"/>
      <c r="BC10" s="54"/>
      <c r="BD10" s="54"/>
    </row>
    <row r="11" spans="1:56" s="261" customFormat="1" x14ac:dyDescent="0.2">
      <c r="A11" s="54" t="s">
        <v>722</v>
      </c>
      <c r="B11" s="54">
        <v>2</v>
      </c>
      <c r="C11" s="54"/>
      <c r="D11" s="54"/>
      <c r="E11" s="54"/>
      <c r="F11" s="54">
        <v>1</v>
      </c>
      <c r="G11" s="54">
        <f>IF(Var_Neo_InfB_Ent_Voeding&lt;=8,(H11/100)*$AL$9,0)</f>
        <v>0</v>
      </c>
      <c r="H11" s="244">
        <f>INDEX(Tbl_Neo_NutrBMFWaard,F11)</f>
        <v>0</v>
      </c>
      <c r="M11" s="261" t="str">
        <f>IF(H11&gt;0,H11&amp;" %","")</f>
        <v/>
      </c>
      <c r="O11" s="261" t="str">
        <f t="shared" ref="O11:O19" si="1">IF($B11&gt;1,ROUND(G11,2)&amp;" gram","")</f>
        <v>0 gram</v>
      </c>
      <c r="P11" s="261" t="str">
        <f>IF(F11&gt;1,INDEX(Tbl_Neo_PoedMM,$B11,1),"")</f>
        <v/>
      </c>
      <c r="AM11" s="205">
        <f t="shared" ref="AM11:AX15" si="2">INDEX(Tbl_Neo_PoedMM,$B11,AM$1)*$G11</f>
        <v>0</v>
      </c>
      <c r="AN11" s="205">
        <f t="shared" si="2"/>
        <v>0</v>
      </c>
      <c r="AO11" s="205">
        <f t="shared" si="2"/>
        <v>0</v>
      </c>
      <c r="AP11" s="205">
        <f t="shared" si="2"/>
        <v>0</v>
      </c>
      <c r="AQ11" s="205">
        <f t="shared" si="2"/>
        <v>0</v>
      </c>
      <c r="AR11" s="205">
        <f t="shared" si="2"/>
        <v>0</v>
      </c>
      <c r="AS11" s="205">
        <f t="shared" si="2"/>
        <v>0</v>
      </c>
      <c r="AT11" s="205">
        <f t="shared" si="2"/>
        <v>0</v>
      </c>
      <c r="AU11" s="205">
        <f t="shared" si="2"/>
        <v>0</v>
      </c>
      <c r="AV11" s="205">
        <f t="shared" si="2"/>
        <v>0</v>
      </c>
      <c r="AW11" s="205">
        <f t="shared" si="2"/>
        <v>0</v>
      </c>
      <c r="AX11" s="205">
        <f t="shared" si="2"/>
        <v>0</v>
      </c>
      <c r="BB11" s="206" t="str">
        <f t="shared" ref="BB11:BB19" si="3">IF(M11="","", CONCATENATE(P11," ",M11," = (",O11,")"))</f>
        <v/>
      </c>
      <c r="BC11" s="54"/>
      <c r="BD11" s="54"/>
    </row>
    <row r="12" spans="1:56" s="261" customFormat="1" x14ac:dyDescent="0.2">
      <c r="A12" s="54" t="s">
        <v>713</v>
      </c>
      <c r="B12" s="54">
        <v>1</v>
      </c>
      <c r="C12" s="54"/>
      <c r="D12" s="54"/>
      <c r="E12" s="54"/>
      <c r="F12" s="54">
        <v>1</v>
      </c>
      <c r="G12" s="261">
        <f>IF(Var_Neo_InfB_Ent_Voeding&lt;=8,(H12/100)*$AL$9,0)</f>
        <v>0</v>
      </c>
      <c r="H12" s="244">
        <f t="shared" ref="H12:H19" si="4">INDEX(Tbl_Neo_NutrToevWaard,F12)</f>
        <v>0</v>
      </c>
      <c r="M12" s="261" t="str">
        <f t="shared" ref="M12:M19" si="5">IF(H12&gt;0,H12&amp;" %","")</f>
        <v/>
      </c>
      <c r="O12" s="261" t="str">
        <f t="shared" si="1"/>
        <v/>
      </c>
      <c r="P12" s="261" t="str">
        <f>IF(B12&gt;1,INDEX(Tbl_Neo_PoedMM,$B12,1),"")</f>
        <v/>
      </c>
      <c r="AM12" s="205">
        <f t="shared" si="2"/>
        <v>0</v>
      </c>
      <c r="AN12" s="205">
        <f t="shared" si="2"/>
        <v>0</v>
      </c>
      <c r="AO12" s="205">
        <f t="shared" si="2"/>
        <v>0</v>
      </c>
      <c r="AP12" s="205">
        <f t="shared" si="2"/>
        <v>0</v>
      </c>
      <c r="AQ12" s="205">
        <f t="shared" si="2"/>
        <v>0</v>
      </c>
      <c r="AR12" s="205">
        <f t="shared" si="2"/>
        <v>0</v>
      </c>
      <c r="AS12" s="205">
        <f t="shared" si="2"/>
        <v>0</v>
      </c>
      <c r="AT12" s="205">
        <f t="shared" si="2"/>
        <v>0</v>
      </c>
      <c r="AU12" s="205">
        <f t="shared" si="2"/>
        <v>0</v>
      </c>
      <c r="AV12" s="205">
        <f t="shared" si="2"/>
        <v>0</v>
      </c>
      <c r="AW12" s="205">
        <f t="shared" si="2"/>
        <v>0</v>
      </c>
      <c r="AX12" s="205">
        <f t="shared" si="2"/>
        <v>0</v>
      </c>
      <c r="BB12" s="261" t="str">
        <f t="shared" si="3"/>
        <v/>
      </c>
      <c r="BC12" s="54"/>
      <c r="BD12" s="54"/>
    </row>
    <row r="13" spans="1:56" s="261" customFormat="1" x14ac:dyDescent="0.2">
      <c r="A13" s="54" t="s">
        <v>714</v>
      </c>
      <c r="B13" s="54">
        <v>1</v>
      </c>
      <c r="C13" s="203"/>
      <c r="D13" s="54"/>
      <c r="E13" s="54"/>
      <c r="F13" s="54">
        <v>1</v>
      </c>
      <c r="G13" s="261">
        <f>IF(Var_Neo_InfB_Ent_Voeding&lt;=8,(H13/100)*$AL$9,0)</f>
        <v>0</v>
      </c>
      <c r="H13" s="244">
        <f t="shared" si="4"/>
        <v>0</v>
      </c>
      <c r="M13" s="261" t="str">
        <f t="shared" si="5"/>
        <v/>
      </c>
      <c r="O13" s="261" t="str">
        <f t="shared" si="1"/>
        <v/>
      </c>
      <c r="P13" s="261" t="str">
        <f>IF(B13&gt;1,INDEX(Tbl_Neo_PoedMM,$B13,1),"")</f>
        <v/>
      </c>
      <c r="AM13" s="205">
        <f t="shared" si="2"/>
        <v>0</v>
      </c>
      <c r="AN13" s="205">
        <f t="shared" si="2"/>
        <v>0</v>
      </c>
      <c r="AO13" s="205">
        <f t="shared" si="2"/>
        <v>0</v>
      </c>
      <c r="AP13" s="205">
        <f t="shared" si="2"/>
        <v>0</v>
      </c>
      <c r="AQ13" s="205">
        <f t="shared" si="2"/>
        <v>0</v>
      </c>
      <c r="AR13" s="205">
        <f t="shared" si="2"/>
        <v>0</v>
      </c>
      <c r="AS13" s="205">
        <f t="shared" si="2"/>
        <v>0</v>
      </c>
      <c r="AT13" s="205">
        <f t="shared" si="2"/>
        <v>0</v>
      </c>
      <c r="AU13" s="205">
        <f t="shared" si="2"/>
        <v>0</v>
      </c>
      <c r="AV13" s="205">
        <f t="shared" si="2"/>
        <v>0</v>
      </c>
      <c r="AW13" s="205">
        <f t="shared" si="2"/>
        <v>0</v>
      </c>
      <c r="AX13" s="205">
        <f t="shared" si="2"/>
        <v>0</v>
      </c>
      <c r="BB13" s="261" t="str">
        <f t="shared" si="3"/>
        <v/>
      </c>
      <c r="BC13" s="54"/>
      <c r="BD13" s="54"/>
    </row>
    <row r="14" spans="1:56" s="261" customFormat="1" x14ac:dyDescent="0.2">
      <c r="A14" s="54" t="s">
        <v>715</v>
      </c>
      <c r="B14" s="54">
        <v>1</v>
      </c>
      <c r="C14" s="203"/>
      <c r="D14" s="54"/>
      <c r="E14" s="54"/>
      <c r="F14" s="54">
        <v>1</v>
      </c>
      <c r="G14" s="261">
        <f>IF(Var_Neo_InfB_Ent_Voeding&lt;=8,(H14/100)*$AL$9,0)</f>
        <v>0</v>
      </c>
      <c r="H14" s="244">
        <f t="shared" si="4"/>
        <v>0</v>
      </c>
      <c r="M14" s="261" t="str">
        <f t="shared" si="5"/>
        <v/>
      </c>
      <c r="O14" s="261" t="str">
        <f t="shared" si="1"/>
        <v/>
      </c>
      <c r="P14" s="261" t="str">
        <f>IF(B14&gt;1,INDEX(Tbl_Neo_PoedMM,$B14,1),"")</f>
        <v/>
      </c>
      <c r="AM14" s="205">
        <f t="shared" si="2"/>
        <v>0</v>
      </c>
      <c r="AN14" s="205">
        <f t="shared" si="2"/>
        <v>0</v>
      </c>
      <c r="AO14" s="205">
        <f t="shared" si="2"/>
        <v>0</v>
      </c>
      <c r="AP14" s="205">
        <f t="shared" si="2"/>
        <v>0</v>
      </c>
      <c r="AQ14" s="205">
        <f t="shared" si="2"/>
        <v>0</v>
      </c>
      <c r="AR14" s="205">
        <f t="shared" si="2"/>
        <v>0</v>
      </c>
      <c r="AS14" s="205">
        <f t="shared" si="2"/>
        <v>0</v>
      </c>
      <c r="AT14" s="205">
        <f t="shared" si="2"/>
        <v>0</v>
      </c>
      <c r="AU14" s="205">
        <f t="shared" si="2"/>
        <v>0</v>
      </c>
      <c r="AV14" s="205">
        <f t="shared" si="2"/>
        <v>0</v>
      </c>
      <c r="AW14" s="205">
        <f t="shared" si="2"/>
        <v>0</v>
      </c>
      <c r="AX14" s="205">
        <f t="shared" si="2"/>
        <v>0</v>
      </c>
      <c r="BB14" s="261" t="str">
        <f t="shared" si="3"/>
        <v/>
      </c>
      <c r="BC14" s="54"/>
      <c r="BD14" s="54"/>
    </row>
    <row r="15" spans="1:56" s="261" customFormat="1" x14ac:dyDescent="0.2">
      <c r="A15" s="54" t="s">
        <v>716</v>
      </c>
      <c r="B15" s="54">
        <v>1</v>
      </c>
      <c r="C15" s="203"/>
      <c r="D15" s="54"/>
      <c r="E15" s="54"/>
      <c r="F15" s="54">
        <v>1</v>
      </c>
      <c r="G15" s="261">
        <f>IF(Var_Neo_InfB_Ent_Voeding&lt;=8,(H15/100)*$AL$9,0)</f>
        <v>0</v>
      </c>
      <c r="H15" s="244">
        <f t="shared" si="4"/>
        <v>0</v>
      </c>
      <c r="M15" s="261" t="str">
        <f t="shared" si="5"/>
        <v/>
      </c>
      <c r="O15" s="261" t="str">
        <f t="shared" si="1"/>
        <v/>
      </c>
      <c r="P15" s="261" t="str">
        <f>IF(B15&gt;1,INDEX(Tbl_Neo_PoedMM,$B15,1),"")</f>
        <v/>
      </c>
      <c r="AM15" s="205">
        <f t="shared" si="2"/>
        <v>0</v>
      </c>
      <c r="AN15" s="205">
        <f t="shared" si="2"/>
        <v>0</v>
      </c>
      <c r="AO15" s="205">
        <f t="shared" si="2"/>
        <v>0</v>
      </c>
      <c r="AP15" s="205">
        <f t="shared" si="2"/>
        <v>0</v>
      </c>
      <c r="AQ15" s="205">
        <f t="shared" si="2"/>
        <v>0</v>
      </c>
      <c r="AR15" s="205">
        <f t="shared" si="2"/>
        <v>0</v>
      </c>
      <c r="AS15" s="205">
        <f t="shared" si="2"/>
        <v>0</v>
      </c>
      <c r="AT15" s="205">
        <f t="shared" si="2"/>
        <v>0</v>
      </c>
      <c r="AU15" s="205">
        <f t="shared" si="2"/>
        <v>0</v>
      </c>
      <c r="AV15" s="205">
        <f t="shared" si="2"/>
        <v>0</v>
      </c>
      <c r="AW15" s="205">
        <f t="shared" si="2"/>
        <v>0</v>
      </c>
      <c r="AX15" s="205">
        <f t="shared" si="2"/>
        <v>0</v>
      </c>
      <c r="BB15" s="261" t="str">
        <f t="shared" si="3"/>
        <v/>
      </c>
      <c r="BC15" s="54"/>
      <c r="BD15" s="54"/>
    </row>
    <row r="16" spans="1:56" s="261" customFormat="1" x14ac:dyDescent="0.2">
      <c r="A16" s="54" t="s">
        <v>717</v>
      </c>
      <c r="B16" s="54">
        <v>1</v>
      </c>
      <c r="C16" s="203"/>
      <c r="D16" s="54"/>
      <c r="E16" s="54"/>
      <c r="F16" s="54">
        <v>1</v>
      </c>
      <c r="G16" s="261">
        <f>IF(Var_Neo_InfB_Ent_Voeding&gt;8,(H16/100)*$AL$9,0)</f>
        <v>0</v>
      </c>
      <c r="H16" s="244">
        <f t="shared" si="4"/>
        <v>0</v>
      </c>
      <c r="M16" s="261" t="str">
        <f t="shared" si="5"/>
        <v/>
      </c>
      <c r="O16" s="261" t="str">
        <f t="shared" si="1"/>
        <v/>
      </c>
      <c r="P16" s="261" t="str">
        <f>IF(B16&gt;1,INDEX(Tbl_Neo_PoedKV,$B16,1),"")</f>
        <v/>
      </c>
      <c r="AM16" s="205">
        <f t="shared" ref="AM16:AX19" si="6">INDEX(Tbl_Neo_PoedKV,$B16,AM$1)*$G16</f>
        <v>0</v>
      </c>
      <c r="AN16" s="205">
        <f t="shared" si="6"/>
        <v>0</v>
      </c>
      <c r="AO16" s="205">
        <f t="shared" si="6"/>
        <v>0</v>
      </c>
      <c r="AP16" s="205">
        <f t="shared" si="6"/>
        <v>0</v>
      </c>
      <c r="AQ16" s="205">
        <f t="shared" si="6"/>
        <v>0</v>
      </c>
      <c r="AR16" s="205">
        <f t="shared" si="6"/>
        <v>0</v>
      </c>
      <c r="AS16" s="205">
        <f t="shared" si="6"/>
        <v>0</v>
      </c>
      <c r="AT16" s="205">
        <f t="shared" si="6"/>
        <v>0</v>
      </c>
      <c r="AU16" s="205">
        <f t="shared" si="6"/>
        <v>0</v>
      </c>
      <c r="AV16" s="205">
        <f t="shared" si="6"/>
        <v>0</v>
      </c>
      <c r="AW16" s="205">
        <f t="shared" si="6"/>
        <v>0</v>
      </c>
      <c r="AX16" s="205">
        <f t="shared" si="6"/>
        <v>0</v>
      </c>
      <c r="BB16" s="261" t="str">
        <f t="shared" si="3"/>
        <v/>
      </c>
      <c r="BC16" s="54"/>
      <c r="BD16" s="54"/>
    </row>
    <row r="17" spans="1:56" s="261" customFormat="1" x14ac:dyDescent="0.2">
      <c r="A17" s="54" t="s">
        <v>718</v>
      </c>
      <c r="B17" s="54">
        <v>1</v>
      </c>
      <c r="C17" s="203"/>
      <c r="D17" s="54"/>
      <c r="E17" s="54"/>
      <c r="F17" s="54">
        <v>1</v>
      </c>
      <c r="G17" s="261">
        <f>IF(Var_Neo_InfB_Ent_Voeding&gt;8,(H17/100)*$AL$9,0)</f>
        <v>0</v>
      </c>
      <c r="H17" s="244">
        <f t="shared" si="4"/>
        <v>0</v>
      </c>
      <c r="M17" s="261" t="str">
        <f t="shared" si="5"/>
        <v/>
      </c>
      <c r="O17" s="261" t="str">
        <f t="shared" si="1"/>
        <v/>
      </c>
      <c r="P17" s="261" t="str">
        <f>IF(B17&gt;1,INDEX(Tbl_Neo_PoedKV,$B17,1),"")</f>
        <v/>
      </c>
      <c r="AM17" s="205">
        <f t="shared" si="6"/>
        <v>0</v>
      </c>
      <c r="AN17" s="205">
        <f t="shared" si="6"/>
        <v>0</v>
      </c>
      <c r="AO17" s="205">
        <f t="shared" si="6"/>
        <v>0</v>
      </c>
      <c r="AP17" s="205">
        <f t="shared" si="6"/>
        <v>0</v>
      </c>
      <c r="AQ17" s="205">
        <f t="shared" si="6"/>
        <v>0</v>
      </c>
      <c r="AR17" s="205">
        <f t="shared" si="6"/>
        <v>0</v>
      </c>
      <c r="AS17" s="205">
        <f t="shared" si="6"/>
        <v>0</v>
      </c>
      <c r="AT17" s="205">
        <f t="shared" si="6"/>
        <v>0</v>
      </c>
      <c r="AU17" s="205">
        <f t="shared" si="6"/>
        <v>0</v>
      </c>
      <c r="AV17" s="205">
        <f t="shared" si="6"/>
        <v>0</v>
      </c>
      <c r="AW17" s="205">
        <f t="shared" si="6"/>
        <v>0</v>
      </c>
      <c r="AX17" s="205">
        <f t="shared" si="6"/>
        <v>0</v>
      </c>
      <c r="BB17" s="261" t="str">
        <f t="shared" si="3"/>
        <v/>
      </c>
      <c r="BC17" s="54"/>
      <c r="BD17" s="54"/>
    </row>
    <row r="18" spans="1:56" s="261" customFormat="1" x14ac:dyDescent="0.2">
      <c r="A18" s="54" t="s">
        <v>719</v>
      </c>
      <c r="B18" s="54">
        <v>1</v>
      </c>
      <c r="C18" s="203"/>
      <c r="D18" s="54"/>
      <c r="E18" s="54"/>
      <c r="F18" s="54">
        <v>1</v>
      </c>
      <c r="G18" s="261">
        <f>IF(Var_Neo_InfB_Ent_Voeding&gt;8,(H18/100)*$AL$9,0)</f>
        <v>0</v>
      </c>
      <c r="H18" s="244">
        <f t="shared" si="4"/>
        <v>0</v>
      </c>
      <c r="M18" s="261" t="str">
        <f t="shared" si="5"/>
        <v/>
      </c>
      <c r="O18" s="261" t="str">
        <f t="shared" si="1"/>
        <v/>
      </c>
      <c r="P18" s="261" t="str">
        <f>IF(B18&gt;1,INDEX(Tbl_Neo_PoedKV,$B18,1),"")</f>
        <v/>
      </c>
      <c r="AM18" s="205">
        <f t="shared" si="6"/>
        <v>0</v>
      </c>
      <c r="AN18" s="205">
        <f t="shared" si="6"/>
        <v>0</v>
      </c>
      <c r="AO18" s="205">
        <f t="shared" si="6"/>
        <v>0</v>
      </c>
      <c r="AP18" s="205">
        <f t="shared" si="6"/>
        <v>0</v>
      </c>
      <c r="AQ18" s="205">
        <f t="shared" si="6"/>
        <v>0</v>
      </c>
      <c r="AR18" s="205">
        <f t="shared" si="6"/>
        <v>0</v>
      </c>
      <c r="AS18" s="205">
        <f t="shared" si="6"/>
        <v>0</v>
      </c>
      <c r="AT18" s="205">
        <f t="shared" si="6"/>
        <v>0</v>
      </c>
      <c r="AU18" s="205">
        <f t="shared" si="6"/>
        <v>0</v>
      </c>
      <c r="AV18" s="205">
        <f t="shared" si="6"/>
        <v>0</v>
      </c>
      <c r="AW18" s="205">
        <f t="shared" si="6"/>
        <v>0</v>
      </c>
      <c r="AX18" s="205">
        <f t="shared" si="6"/>
        <v>0</v>
      </c>
      <c r="BB18" s="261" t="str">
        <f t="shared" si="3"/>
        <v/>
      </c>
      <c r="BC18" s="54"/>
      <c r="BD18" s="54"/>
    </row>
    <row r="19" spans="1:56" s="261" customFormat="1" x14ac:dyDescent="0.2">
      <c r="A19" s="54" t="s">
        <v>720</v>
      </c>
      <c r="B19" s="54">
        <v>1</v>
      </c>
      <c r="C19" s="203"/>
      <c r="D19" s="54"/>
      <c r="E19" s="54"/>
      <c r="F19" s="54">
        <v>1</v>
      </c>
      <c r="G19" s="261">
        <f>IF(Var_Neo_InfB_Ent_Voeding&gt;8,(H19/100)*$AL$9,0)</f>
        <v>0</v>
      </c>
      <c r="H19" s="244">
        <f t="shared" si="4"/>
        <v>0</v>
      </c>
      <c r="M19" s="261" t="str">
        <f t="shared" si="5"/>
        <v/>
      </c>
      <c r="O19" s="261" t="str">
        <f t="shared" si="1"/>
        <v/>
      </c>
      <c r="P19" s="261" t="str">
        <f>IF(B19&gt;1,INDEX(Tbl_Neo_PoedKV,$B19,1),"")</f>
        <v/>
      </c>
      <c r="AM19" s="205">
        <f t="shared" si="6"/>
        <v>0</v>
      </c>
      <c r="AN19" s="205">
        <f t="shared" si="6"/>
        <v>0</v>
      </c>
      <c r="AO19" s="205">
        <f t="shared" si="6"/>
        <v>0</v>
      </c>
      <c r="AP19" s="205">
        <f t="shared" si="6"/>
        <v>0</v>
      </c>
      <c r="AQ19" s="205">
        <f t="shared" si="6"/>
        <v>0</v>
      </c>
      <c r="AR19" s="205">
        <f t="shared" si="6"/>
        <v>0</v>
      </c>
      <c r="AS19" s="205">
        <f t="shared" si="6"/>
        <v>0</v>
      </c>
      <c r="AT19" s="205">
        <f t="shared" si="6"/>
        <v>0</v>
      </c>
      <c r="AU19" s="205">
        <f t="shared" si="6"/>
        <v>0</v>
      </c>
      <c r="AV19" s="205">
        <f t="shared" si="6"/>
        <v>0</v>
      </c>
      <c r="AW19" s="205">
        <f t="shared" si="6"/>
        <v>0</v>
      </c>
      <c r="AX19" s="205">
        <f t="shared" si="6"/>
        <v>0</v>
      </c>
      <c r="BB19" s="261" t="str">
        <f t="shared" si="3"/>
        <v/>
      </c>
      <c r="BC19" s="54"/>
      <c r="BD19" s="54"/>
    </row>
    <row r="20" spans="1:56" s="261" customFormat="1" x14ac:dyDescent="0.2">
      <c r="BC20" s="54"/>
      <c r="BD20" s="54"/>
    </row>
    <row r="21" spans="1:56" x14ac:dyDescent="0.2">
      <c r="A21" s="54" t="s">
        <v>468</v>
      </c>
      <c r="B21" s="54" t="b">
        <v>0</v>
      </c>
      <c r="C21" s="54">
        <f>ROUND(C7*(_Pat_Gewicht)-AL9,0)</f>
        <v>0</v>
      </c>
    </row>
    <row r="22" spans="1:56" x14ac:dyDescent="0.2">
      <c r="A22" s="54" t="s">
        <v>564</v>
      </c>
      <c r="B22" s="54">
        <v>0</v>
      </c>
      <c r="I22" s="54" t="b">
        <v>0</v>
      </c>
      <c r="J22" s="54"/>
      <c r="M22" s="54"/>
      <c r="O22" s="54"/>
      <c r="P22" s="54" t="s">
        <v>4237</v>
      </c>
      <c r="Q22" s="261" t="str">
        <f>IF(B22&gt;0,(B22/10)&amp;" ml/uur","")</f>
        <v/>
      </c>
      <c r="R22" s="54"/>
      <c r="S22" s="54"/>
      <c r="Z22" s="54"/>
      <c r="AI22" s="261" t="str">
        <f>IF(B22&gt;0,"verw","")</f>
        <v/>
      </c>
      <c r="AL22" s="54">
        <f>IF(I22,0,B22*2.4)</f>
        <v>0</v>
      </c>
      <c r="AM22" s="261">
        <f t="shared" ref="AM22:AX22" si="7">IF($B22&gt;0,VLOOKUP($P22,Tbl_Glob_ParEnt,AM$1,FALSE),0)*$AL22</f>
        <v>0</v>
      </c>
      <c r="AN22" s="261">
        <f t="shared" si="7"/>
        <v>0</v>
      </c>
      <c r="AO22" s="261">
        <f t="shared" si="7"/>
        <v>0</v>
      </c>
      <c r="AP22" s="261">
        <f t="shared" si="7"/>
        <v>0</v>
      </c>
      <c r="AQ22" s="261">
        <f t="shared" si="7"/>
        <v>0</v>
      </c>
      <c r="AR22" s="261">
        <f t="shared" si="7"/>
        <v>0</v>
      </c>
      <c r="AS22" s="261">
        <f t="shared" si="7"/>
        <v>0</v>
      </c>
      <c r="AT22" s="261">
        <f t="shared" si="7"/>
        <v>0</v>
      </c>
      <c r="AU22" s="261">
        <f t="shared" si="7"/>
        <v>0</v>
      </c>
      <c r="AV22" s="261">
        <f t="shared" si="7"/>
        <v>0</v>
      </c>
      <c r="AW22" s="261">
        <f t="shared" si="7"/>
        <v>0</v>
      </c>
      <c r="AX22" s="261">
        <f t="shared" si="7"/>
        <v>0</v>
      </c>
      <c r="BB22" s="54" t="str">
        <f>IF(B22&gt;0,CONCATENATE(A22," ",B22/10," ml/uur"),"")</f>
        <v/>
      </c>
    </row>
    <row r="23" spans="1:56" x14ac:dyDescent="0.2">
      <c r="A23" s="54" t="s">
        <v>470</v>
      </c>
      <c r="B23" s="54">
        <v>1</v>
      </c>
      <c r="C23" s="54">
        <v>0</v>
      </c>
      <c r="D23" s="54">
        <v>0</v>
      </c>
      <c r="E23" s="54">
        <v>1</v>
      </c>
      <c r="F23" s="54">
        <v>0</v>
      </c>
      <c r="G23" s="71">
        <f t="shared" ref="G23:G32" si="8">IF(AND(_Pat_Gewicht&gt;0,D23&gt;0),FixPrecision( ((C23/10)/D23)*(F23/10)*H23/(_Pat_Gewicht),2),0)</f>
        <v>0</v>
      </c>
      <c r="H23" s="54">
        <f t="shared" ref="H23:H32" si="9">IF(B23&gt;1,INDEX(Tbl_Neo_MedIV,B23,H$1),1)</f>
        <v>1</v>
      </c>
      <c r="I23" s="54" t="b">
        <v>0</v>
      </c>
      <c r="J23" s="54" t="str">
        <f t="shared" ref="J23:J32" si="10">IF($B23&gt;1,INDEX(Tbl_Neo_MedIV,$B23,J$1),"")</f>
        <v/>
      </c>
      <c r="K23" s="261">
        <f>INDEX(Tbl_Neo_MedIV,NeoBerInfB!B23,4)</f>
        <v>0</v>
      </c>
      <c r="L23" s="261">
        <f>INDEX(Tbl_Neo_MedIV,NeoBerInfB!B23,5)</f>
        <v>0</v>
      </c>
      <c r="M23" s="54" t="str">
        <f t="shared" ref="M23:M31" si="11">IF($B23&gt;1,(C23/10)&amp;" "&amp;INDEX(Tbl_Neo_MedIV,$B23,M$1),"")</f>
        <v/>
      </c>
      <c r="N23" s="261" t="str">
        <f t="shared" ref="N23:N32" si="12">IF($B23&gt;1,INDEX(Tbl_Neo_MedIV,$B23,M$1),"")</f>
        <v/>
      </c>
      <c r="O23" s="261" t="str">
        <f t="shared" ref="O23:O32" si="13">IF($B23&gt;1,(D23)&amp;" ml","")</f>
        <v/>
      </c>
      <c r="P23" s="741" t="str">
        <f>IF(AND(E23&gt;1,D23&gt;0,B23&gt;1,NeoPrtWerkbr!M$25&gt;0),INDEX(Tbl_Neo_OplVlst,E23,1),"")</f>
        <v/>
      </c>
      <c r="Q23" s="54" t="str">
        <f t="shared" ref="Q23:Q32" si="14">IF(B23&gt;1,(F23/10)&amp;" ml/uur","")</f>
        <v/>
      </c>
      <c r="R23" s="54" t="str">
        <f t="shared" ref="R23:R32" si="15">IF(B23&gt;1,INDEX(Tbl_Neo_MedIV,B23,R$1),"")</f>
        <v/>
      </c>
      <c r="S23" s="54" t="str">
        <f t="shared" ref="S23:S32" si="16">IF(B23&gt;1,INDEX(Tbl_Neo_MedIV,B23,S$1),"")</f>
        <v/>
      </c>
      <c r="T23" s="261" t="str">
        <f t="shared" ref="T23:X32" si="17">IF($B23&gt;1,INDEX(Tbl_Neo_MedIV,$B23,T$1),"")</f>
        <v/>
      </c>
      <c r="U23" s="261" t="str">
        <f t="shared" si="17"/>
        <v/>
      </c>
      <c r="V23" s="261" t="str">
        <f t="shared" si="17"/>
        <v/>
      </c>
      <c r="W23" s="261" t="str">
        <f t="shared" si="17"/>
        <v/>
      </c>
      <c r="X23" s="261" t="str">
        <f t="shared" si="17"/>
        <v/>
      </c>
      <c r="Y23" s="261">
        <f>IF($B23&gt;1,INDEX(Tbl_Neo_MedIV,$B23,Y$1),0)</f>
        <v>0</v>
      </c>
      <c r="Z23" s="54" t="str">
        <f t="shared" ref="Z23:Z32" si="18">IF(B23&gt;1,IF(AZ23*10&gt;1,AY23&amp;" uren",AY23&amp;" minuten"),"")</f>
        <v/>
      </c>
      <c r="AA23" s="261" t="b">
        <f>NOT(OR(B23=1,F23=10*IF(Y23&lt;&gt;"",Y23,0)))</f>
        <v>0</v>
      </c>
      <c r="AB23" s="261" t="b">
        <f>NOT(OR(B23=1,D23=IF(X23&lt;&gt;"",X23,0)))</f>
        <v>0</v>
      </c>
      <c r="AC23" s="261" t="b">
        <f t="shared" ref="AC23:AC32" si="19">NOT(OR(B23=1,E23=INDEX(Tbl_Neo_MedIV,B23,11)))</f>
        <v>0</v>
      </c>
      <c r="AD23" s="261" t="b">
        <f t="shared" ref="AD23:AD32" si="20">AND(B23&gt;1,NOT(AND(G23&gt;=INDEX(Tbl_Neo_MedIV,B23,6),G23&lt;=INDEX(Tbl_Neo_MedIV,B23,7))))</f>
        <v>0</v>
      </c>
      <c r="AE23" s="261" t="b">
        <f t="shared" ref="AE23:AE32" si="21">AND(B23&gt;1,AND(G23&gt;0,G23&gt;INDEX(Tbl_Neo_MedIV,B23,8)))</f>
        <v>0</v>
      </c>
      <c r="AF23" s="261" t="b">
        <f>OR(AG23,AH23)</f>
        <v>0</v>
      </c>
      <c r="AG23" s="261" t="b">
        <f t="shared" ref="AG23:AG32" si="22">IF(D23&gt;0,(C23/10)/D23&lt;INDEX(Tbl_Neo_MedIV,B23,9),FALSE)</f>
        <v>0</v>
      </c>
      <c r="AH23" s="806" t="b">
        <f>IF(Medicatie_IsEpiduraal(J23),C23/10&gt;Medicatie_CalcEpiQty( _Pat_Gewicht),IF(D23&gt;0,AND(INDEX(Tbl_Neo_MedIV,B23,10)&lt;&gt;0,(C23/10)/D23&gt;INDEX(Tbl_Neo_MedIV,B23,10)),FALSE))</f>
        <v>0</v>
      </c>
      <c r="AI23" s="261" t="str">
        <f t="shared" ref="AI23:AI32" si="23">IF(B23&gt;1,"verw","")</f>
        <v/>
      </c>
      <c r="AJ23" s="261" t="str">
        <f>IF(OR(AA23,AB23,AC23,AF23),"stand","")</f>
        <v/>
      </c>
      <c r="AK23" s="70" t="str">
        <f>IF(AND(F23&gt;0,D23&gt;0), _xlfn.CEILING.PRECISE( 24/(D23/(F23/10)),1),"")</f>
        <v/>
      </c>
      <c r="AL23" s="54">
        <f t="shared" ref="AL23:AL35" si="24">IF(I23,0,F23*2.4)</f>
        <v>0</v>
      </c>
      <c r="AM23" s="54">
        <f t="shared" ref="AM23:AX35" si="25">IF(AND($E23&gt;1,$P23&lt;&gt;""),VLOOKUP($P23,Tbl_Glob_ParEnt,AM$1,FALSE),0)*$AL23</f>
        <v>0</v>
      </c>
      <c r="AN23" s="807">
        <f t="shared" si="25"/>
        <v>0</v>
      </c>
      <c r="AO23" s="807">
        <f t="shared" si="25"/>
        <v>0</v>
      </c>
      <c r="AP23" s="807">
        <f t="shared" si="25"/>
        <v>0</v>
      </c>
      <c r="AQ23" s="807">
        <f t="shared" si="25"/>
        <v>0</v>
      </c>
      <c r="AR23" s="807">
        <f t="shared" si="25"/>
        <v>0</v>
      </c>
      <c r="AS23" s="807">
        <f t="shared" si="25"/>
        <v>0</v>
      </c>
      <c r="AT23" s="807">
        <f t="shared" si="25"/>
        <v>0</v>
      </c>
      <c r="AU23" s="807">
        <f t="shared" si="25"/>
        <v>0</v>
      </c>
      <c r="AV23" s="807">
        <f t="shared" si="25"/>
        <v>0</v>
      </c>
      <c r="AW23" s="807">
        <f t="shared" si="25"/>
        <v>0</v>
      </c>
      <c r="AX23" s="807">
        <f t="shared" si="25"/>
        <v>0</v>
      </c>
      <c r="AY23" s="54">
        <f>ROUND(IF(AZ23*10&gt;1,AZ23*10,AZ23*600),0)</f>
        <v>0</v>
      </c>
      <c r="AZ23" s="54">
        <f t="shared" ref="AZ23:AZ35" si="26">IF(F23&gt;0,D23/F23,0)</f>
        <v>0</v>
      </c>
      <c r="BB23" s="54" t="str">
        <f t="shared" ref="BB23:BB32" si="27">IF(B23&gt;1,CONCATENATE(J23," ",M23," in ",O23," ",P23,", ",Q23," = ",G23," ",R23," (in ",Z23, ")"),"")</f>
        <v/>
      </c>
      <c r="BC23" s="54" t="b">
        <f>AND(B23&gt;1,C23/10/BD23&lt;0.1)</f>
        <v>0</v>
      </c>
      <c r="BD23" s="54">
        <f t="shared" ref="BD23:BD32" si="28">IF(B23&gt;1,INDEX(Tbl_Neo_MedIV,B23,4),1)</f>
        <v>1</v>
      </c>
    </row>
    <row r="24" spans="1:56" x14ac:dyDescent="0.2">
      <c r="A24" s="54" t="s">
        <v>471</v>
      </c>
      <c r="B24" s="54">
        <v>1</v>
      </c>
      <c r="C24" s="54">
        <v>0</v>
      </c>
      <c r="D24" s="54">
        <v>0</v>
      </c>
      <c r="E24" s="54">
        <v>1</v>
      </c>
      <c r="F24" s="54">
        <v>0</v>
      </c>
      <c r="G24" s="71">
        <f t="shared" si="8"/>
        <v>0</v>
      </c>
      <c r="H24" s="261">
        <f t="shared" si="9"/>
        <v>1</v>
      </c>
      <c r="I24" s="54" t="b">
        <v>0</v>
      </c>
      <c r="J24" s="261" t="str">
        <f t="shared" si="10"/>
        <v/>
      </c>
      <c r="K24" s="261">
        <f>INDEX(Tbl_Neo_MedIV,NeoBerInfB!B24,4)</f>
        <v>0</v>
      </c>
      <c r="L24" s="261">
        <f>INDEX(Tbl_Neo_MedIV,NeoBerInfB!B24,5)</f>
        <v>0</v>
      </c>
      <c r="M24" s="261" t="str">
        <f t="shared" si="11"/>
        <v/>
      </c>
      <c r="N24" s="261" t="str">
        <f t="shared" si="12"/>
        <v/>
      </c>
      <c r="O24" s="261" t="str">
        <f t="shared" si="13"/>
        <v/>
      </c>
      <c r="P24" s="742" t="str">
        <f>IF(AND(E24&gt;1,D24&gt;0,B24&gt;1,NeoPrtWerkbr!M$28&gt;0),INDEX(Tbl_Neo_OplVlst,E24,1),"")</f>
        <v/>
      </c>
      <c r="Q24" s="261" t="str">
        <f t="shared" si="14"/>
        <v/>
      </c>
      <c r="R24" s="261" t="str">
        <f t="shared" si="15"/>
        <v/>
      </c>
      <c r="S24" s="261" t="str">
        <f t="shared" si="16"/>
        <v/>
      </c>
      <c r="T24" s="261" t="str">
        <f t="shared" si="17"/>
        <v/>
      </c>
      <c r="U24" s="261" t="str">
        <f t="shared" si="17"/>
        <v/>
      </c>
      <c r="V24" s="261" t="str">
        <f t="shared" si="17"/>
        <v/>
      </c>
      <c r="W24" s="261" t="str">
        <f t="shared" si="17"/>
        <v/>
      </c>
      <c r="X24" s="261" t="str">
        <f t="shared" si="17"/>
        <v/>
      </c>
      <c r="Y24" s="261" t="str">
        <f t="shared" ref="Y24:Y32" si="29">IF($B24&gt;1,INDEX(Tbl_Neo_MedIV,$B24,Y$1),"")</f>
        <v/>
      </c>
      <c r="Z24" s="261" t="str">
        <f t="shared" si="18"/>
        <v/>
      </c>
      <c r="AA24" s="261" t="b">
        <f t="shared" ref="AA24:AA32" si="30">NOT(OR(B24=1,F24=10*IF(Y24&lt;&gt;"",Y24,0)))</f>
        <v>0</v>
      </c>
      <c r="AB24" s="261" t="b">
        <f t="shared" ref="AB24:AB32" si="31">NOT(OR(B24=1,D24=IF(X24&lt;&gt;"",X24,0)))</f>
        <v>0</v>
      </c>
      <c r="AC24" s="261" t="b">
        <f t="shared" si="19"/>
        <v>0</v>
      </c>
      <c r="AD24" s="261" t="b">
        <f t="shared" si="20"/>
        <v>0</v>
      </c>
      <c r="AE24" s="808" t="b">
        <f t="shared" si="21"/>
        <v>0</v>
      </c>
      <c r="AF24" s="261" t="b">
        <f t="shared" ref="AF24:AF32" si="32">OR(AG24,AH24)</f>
        <v>0</v>
      </c>
      <c r="AG24" s="703" t="b">
        <f t="shared" si="22"/>
        <v>0</v>
      </c>
      <c r="AH24" s="806" t="b">
        <f>IF(Medicatie_IsEpiduraal(J24),C24/10&gt;Medicatie_CalcEpiQty( _Pat_Gewicht),IF(D24&gt;0,AND(INDEX(Tbl_Neo_MedIV,B24,10)&lt;&gt;0,(C24/10)/D24&gt;INDEX(Tbl_Neo_MedIV,B24,10)),FALSE))</f>
        <v>0</v>
      </c>
      <c r="AI24" s="261" t="str">
        <f t="shared" si="23"/>
        <v/>
      </c>
      <c r="AJ24" s="261" t="str">
        <f t="shared" ref="AJ24:AJ32" si="33">IF(OR(AA24,AB24,AC24,AF24),"stand","")</f>
        <v/>
      </c>
      <c r="AK24" s="70" t="str">
        <f t="shared" ref="AK24:AK32" si="34">IF(AND(F24&gt;0,D24&gt;0), _xlfn.CEILING.PRECISE( 24/(D24/(F24/10)),1),"")</f>
        <v/>
      </c>
      <c r="AL24" s="54">
        <f t="shared" si="24"/>
        <v>0</v>
      </c>
      <c r="AM24" s="807">
        <f t="shared" si="25"/>
        <v>0</v>
      </c>
      <c r="AN24" s="807">
        <f t="shared" si="25"/>
        <v>0</v>
      </c>
      <c r="AO24" s="807">
        <f t="shared" si="25"/>
        <v>0</v>
      </c>
      <c r="AP24" s="807">
        <f t="shared" si="25"/>
        <v>0</v>
      </c>
      <c r="AQ24" s="807">
        <f t="shared" si="25"/>
        <v>0</v>
      </c>
      <c r="AR24" s="807">
        <f t="shared" si="25"/>
        <v>0</v>
      </c>
      <c r="AS24" s="807">
        <f t="shared" si="25"/>
        <v>0</v>
      </c>
      <c r="AT24" s="807">
        <f t="shared" si="25"/>
        <v>0</v>
      </c>
      <c r="AU24" s="807">
        <f t="shared" si="25"/>
        <v>0</v>
      </c>
      <c r="AV24" s="807">
        <f t="shared" si="25"/>
        <v>0</v>
      </c>
      <c r="AW24" s="807">
        <f t="shared" si="25"/>
        <v>0</v>
      </c>
      <c r="AX24" s="807">
        <f t="shared" si="25"/>
        <v>0</v>
      </c>
      <c r="AY24" s="54">
        <f t="shared" ref="AY24:AY31" si="35">ROUND(IF(AZ24*10&gt;1,AZ24*10,AZ24*600),0)</f>
        <v>0</v>
      </c>
      <c r="AZ24" s="54">
        <f t="shared" si="26"/>
        <v>0</v>
      </c>
      <c r="BB24" s="261" t="str">
        <f t="shared" si="27"/>
        <v/>
      </c>
      <c r="BC24" s="717" t="b">
        <f t="shared" ref="BC24:BC32" si="36">AND(B24&gt;1,C24/10/BD24&lt;0.1)</f>
        <v>0</v>
      </c>
      <c r="BD24" s="717">
        <f t="shared" si="28"/>
        <v>1</v>
      </c>
    </row>
    <row r="25" spans="1:56" x14ac:dyDescent="0.2">
      <c r="A25" s="54" t="s">
        <v>472</v>
      </c>
      <c r="B25" s="54">
        <v>1</v>
      </c>
      <c r="C25" s="54">
        <v>0</v>
      </c>
      <c r="D25" s="54">
        <v>0</v>
      </c>
      <c r="E25" s="54">
        <v>1</v>
      </c>
      <c r="F25" s="54">
        <v>0</v>
      </c>
      <c r="G25" s="71">
        <f t="shared" si="8"/>
        <v>0</v>
      </c>
      <c r="H25" s="261">
        <f t="shared" si="9"/>
        <v>1</v>
      </c>
      <c r="I25" s="54" t="b">
        <v>0</v>
      </c>
      <c r="J25" s="261" t="str">
        <f t="shared" si="10"/>
        <v/>
      </c>
      <c r="K25" s="261">
        <f>INDEX(Tbl_Neo_MedIV,NeoBerInfB!B25,4)</f>
        <v>0</v>
      </c>
      <c r="L25" s="261">
        <f>INDEX(Tbl_Neo_MedIV,NeoBerInfB!B25,5)</f>
        <v>0</v>
      </c>
      <c r="M25" s="261" t="str">
        <f t="shared" si="11"/>
        <v/>
      </c>
      <c r="N25" s="261" t="str">
        <f t="shared" si="12"/>
        <v/>
      </c>
      <c r="O25" s="261" t="str">
        <f t="shared" si="13"/>
        <v/>
      </c>
      <c r="P25" s="742" t="str">
        <f>IF(AND(E25&gt;1,D25&gt;0,B25&gt;1,NeoPrtWerkbr!M$31&gt;0),INDEX(Tbl_Neo_OplVlst,E25,1),"")</f>
        <v/>
      </c>
      <c r="Q25" s="261" t="str">
        <f t="shared" si="14"/>
        <v/>
      </c>
      <c r="R25" s="261" t="str">
        <f t="shared" si="15"/>
        <v/>
      </c>
      <c r="S25" s="261" t="str">
        <f t="shared" si="16"/>
        <v/>
      </c>
      <c r="T25" s="261" t="str">
        <f t="shared" si="17"/>
        <v/>
      </c>
      <c r="U25" s="261" t="str">
        <f t="shared" si="17"/>
        <v/>
      </c>
      <c r="V25" s="261" t="str">
        <f t="shared" si="17"/>
        <v/>
      </c>
      <c r="W25" s="261" t="str">
        <f t="shared" si="17"/>
        <v/>
      </c>
      <c r="X25" s="261" t="str">
        <f t="shared" si="17"/>
        <v/>
      </c>
      <c r="Y25" s="261" t="str">
        <f t="shared" si="29"/>
        <v/>
      </c>
      <c r="Z25" s="261" t="str">
        <f t="shared" si="18"/>
        <v/>
      </c>
      <c r="AA25" s="261" t="b">
        <f t="shared" si="30"/>
        <v>0</v>
      </c>
      <c r="AB25" s="261" t="b">
        <f t="shared" si="31"/>
        <v>0</v>
      </c>
      <c r="AC25" s="261" t="b">
        <f t="shared" si="19"/>
        <v>0</v>
      </c>
      <c r="AD25" s="261" t="b">
        <f t="shared" si="20"/>
        <v>0</v>
      </c>
      <c r="AE25" s="808" t="b">
        <f t="shared" si="21"/>
        <v>0</v>
      </c>
      <c r="AF25" s="261" t="b">
        <f t="shared" si="32"/>
        <v>0</v>
      </c>
      <c r="AG25" s="703" t="b">
        <f t="shared" si="22"/>
        <v>0</v>
      </c>
      <c r="AH25" s="806" t="b">
        <f>IF(Medicatie_IsEpiduraal(J25),C25/10&gt;Medicatie_CalcEpiQty( _Pat_Gewicht),IF(D25&gt;0,AND(INDEX(Tbl_Neo_MedIV,B25,10)&lt;&gt;0,(C25/10)/D25&gt;INDEX(Tbl_Neo_MedIV,B25,10)),FALSE))</f>
        <v>0</v>
      </c>
      <c r="AI25" s="261" t="str">
        <f t="shared" si="23"/>
        <v/>
      </c>
      <c r="AJ25" s="261" t="str">
        <f t="shared" si="33"/>
        <v/>
      </c>
      <c r="AK25" s="70" t="str">
        <f t="shared" si="34"/>
        <v/>
      </c>
      <c r="AL25" s="54">
        <f t="shared" si="24"/>
        <v>0</v>
      </c>
      <c r="AM25" s="807">
        <f t="shared" si="25"/>
        <v>0</v>
      </c>
      <c r="AN25" s="807">
        <f t="shared" si="25"/>
        <v>0</v>
      </c>
      <c r="AO25" s="807">
        <f t="shared" si="25"/>
        <v>0</v>
      </c>
      <c r="AP25" s="807">
        <f t="shared" si="25"/>
        <v>0</v>
      </c>
      <c r="AQ25" s="807">
        <f t="shared" si="25"/>
        <v>0</v>
      </c>
      <c r="AR25" s="807">
        <f t="shared" si="25"/>
        <v>0</v>
      </c>
      <c r="AS25" s="807">
        <f t="shared" si="25"/>
        <v>0</v>
      </c>
      <c r="AT25" s="807">
        <f t="shared" si="25"/>
        <v>0</v>
      </c>
      <c r="AU25" s="807">
        <f t="shared" si="25"/>
        <v>0</v>
      </c>
      <c r="AV25" s="807">
        <f t="shared" si="25"/>
        <v>0</v>
      </c>
      <c r="AW25" s="807">
        <f t="shared" si="25"/>
        <v>0</v>
      </c>
      <c r="AX25" s="807">
        <f t="shared" si="25"/>
        <v>0</v>
      </c>
      <c r="AY25" s="54">
        <f t="shared" si="35"/>
        <v>0</v>
      </c>
      <c r="AZ25" s="54">
        <f t="shared" si="26"/>
        <v>0</v>
      </c>
      <c r="BB25" s="261" t="str">
        <f t="shared" si="27"/>
        <v/>
      </c>
      <c r="BC25" s="717" t="b">
        <f t="shared" si="36"/>
        <v>0</v>
      </c>
      <c r="BD25" s="717">
        <f t="shared" si="28"/>
        <v>1</v>
      </c>
    </row>
    <row r="26" spans="1:56" x14ac:dyDescent="0.2">
      <c r="A26" s="54" t="s">
        <v>473</v>
      </c>
      <c r="B26" s="54">
        <v>1</v>
      </c>
      <c r="C26" s="54">
        <v>0</v>
      </c>
      <c r="D26" s="54">
        <v>0</v>
      </c>
      <c r="E26" s="54">
        <v>1</v>
      </c>
      <c r="F26" s="54">
        <v>0</v>
      </c>
      <c r="G26" s="71">
        <f t="shared" si="8"/>
        <v>0</v>
      </c>
      <c r="H26" s="261">
        <f t="shared" si="9"/>
        <v>1</v>
      </c>
      <c r="I26" s="54" t="b">
        <v>0</v>
      </c>
      <c r="J26" s="261" t="str">
        <f t="shared" si="10"/>
        <v/>
      </c>
      <c r="K26" s="261">
        <f>INDEX(Tbl_Neo_MedIV,NeoBerInfB!B26,4)</f>
        <v>0</v>
      </c>
      <c r="L26" s="261">
        <f>INDEX(Tbl_Neo_MedIV,NeoBerInfB!B26,5)</f>
        <v>0</v>
      </c>
      <c r="M26" s="261" t="str">
        <f t="shared" si="11"/>
        <v/>
      </c>
      <c r="N26" s="261" t="str">
        <f t="shared" si="12"/>
        <v/>
      </c>
      <c r="O26" s="261" t="str">
        <f t="shared" si="13"/>
        <v/>
      </c>
      <c r="P26" s="742" t="str">
        <f>IF(AND(E26&gt;1,D26&gt;0,B26&gt;1,NeoPrtWerkbr!M$34&gt;0),INDEX(Tbl_Neo_OplVlst,E26,1),"")</f>
        <v/>
      </c>
      <c r="Q26" s="261" t="str">
        <f t="shared" si="14"/>
        <v/>
      </c>
      <c r="R26" s="261" t="str">
        <f t="shared" si="15"/>
        <v/>
      </c>
      <c r="S26" s="261" t="str">
        <f t="shared" si="16"/>
        <v/>
      </c>
      <c r="T26" s="261" t="str">
        <f t="shared" si="17"/>
        <v/>
      </c>
      <c r="U26" s="261" t="str">
        <f t="shared" si="17"/>
        <v/>
      </c>
      <c r="V26" s="261" t="str">
        <f t="shared" si="17"/>
        <v/>
      </c>
      <c r="W26" s="261" t="str">
        <f t="shared" si="17"/>
        <v/>
      </c>
      <c r="X26" s="261" t="str">
        <f t="shared" si="17"/>
        <v/>
      </c>
      <c r="Y26" s="261" t="str">
        <f t="shared" si="29"/>
        <v/>
      </c>
      <c r="Z26" s="261" t="str">
        <f t="shared" si="18"/>
        <v/>
      </c>
      <c r="AA26" s="261" t="b">
        <f t="shared" si="30"/>
        <v>0</v>
      </c>
      <c r="AB26" s="261" t="b">
        <f t="shared" si="31"/>
        <v>0</v>
      </c>
      <c r="AC26" s="261" t="b">
        <f t="shared" si="19"/>
        <v>0</v>
      </c>
      <c r="AD26" s="261" t="b">
        <f t="shared" si="20"/>
        <v>0</v>
      </c>
      <c r="AE26" s="808" t="b">
        <f t="shared" si="21"/>
        <v>0</v>
      </c>
      <c r="AF26" s="261" t="b">
        <f t="shared" si="32"/>
        <v>0</v>
      </c>
      <c r="AG26" s="703" t="b">
        <f t="shared" si="22"/>
        <v>0</v>
      </c>
      <c r="AH26" s="806" t="b">
        <f>IF(Medicatie_IsEpiduraal(J26),C26/10&gt;Medicatie_CalcEpiQty( _Pat_Gewicht),IF(D26&gt;0,AND(INDEX(Tbl_Neo_MedIV,B26,10)&lt;&gt;0,(C26/10)/D26&gt;INDEX(Tbl_Neo_MedIV,B26,10)),FALSE))</f>
        <v>0</v>
      </c>
      <c r="AI26" s="261" t="str">
        <f t="shared" si="23"/>
        <v/>
      </c>
      <c r="AJ26" s="261" t="str">
        <f t="shared" si="33"/>
        <v/>
      </c>
      <c r="AK26" s="70" t="str">
        <f t="shared" si="34"/>
        <v/>
      </c>
      <c r="AL26" s="54">
        <f t="shared" si="24"/>
        <v>0</v>
      </c>
      <c r="AM26" s="807">
        <f t="shared" si="25"/>
        <v>0</v>
      </c>
      <c r="AN26" s="807">
        <f t="shared" si="25"/>
        <v>0</v>
      </c>
      <c r="AO26" s="807">
        <f t="shared" si="25"/>
        <v>0</v>
      </c>
      <c r="AP26" s="807">
        <f t="shared" si="25"/>
        <v>0</v>
      </c>
      <c r="AQ26" s="807">
        <f t="shared" si="25"/>
        <v>0</v>
      </c>
      <c r="AR26" s="807">
        <f t="shared" si="25"/>
        <v>0</v>
      </c>
      <c r="AS26" s="807">
        <f t="shared" si="25"/>
        <v>0</v>
      </c>
      <c r="AT26" s="807">
        <f t="shared" si="25"/>
        <v>0</v>
      </c>
      <c r="AU26" s="807">
        <f t="shared" si="25"/>
        <v>0</v>
      </c>
      <c r="AV26" s="807">
        <f t="shared" si="25"/>
        <v>0</v>
      </c>
      <c r="AW26" s="807">
        <f t="shared" si="25"/>
        <v>0</v>
      </c>
      <c r="AX26" s="807">
        <f t="shared" si="25"/>
        <v>0</v>
      </c>
      <c r="AY26" s="54">
        <f t="shared" si="35"/>
        <v>0</v>
      </c>
      <c r="AZ26" s="54">
        <f t="shared" si="26"/>
        <v>0</v>
      </c>
      <c r="BB26" s="261" t="str">
        <f t="shared" si="27"/>
        <v/>
      </c>
      <c r="BC26" s="717" t="b">
        <f t="shared" si="36"/>
        <v>0</v>
      </c>
      <c r="BD26" s="717">
        <f t="shared" si="28"/>
        <v>1</v>
      </c>
    </row>
    <row r="27" spans="1:56" x14ac:dyDescent="0.2">
      <c r="A27" s="54" t="s">
        <v>474</v>
      </c>
      <c r="B27" s="54">
        <v>1</v>
      </c>
      <c r="C27" s="54">
        <v>0</v>
      </c>
      <c r="D27" s="54">
        <v>0</v>
      </c>
      <c r="E27" s="54">
        <v>1</v>
      </c>
      <c r="F27" s="54">
        <v>0</v>
      </c>
      <c r="G27" s="71">
        <f t="shared" si="8"/>
        <v>0</v>
      </c>
      <c r="H27" s="261">
        <f t="shared" si="9"/>
        <v>1</v>
      </c>
      <c r="I27" s="54" t="b">
        <v>0</v>
      </c>
      <c r="J27" s="261" t="str">
        <f t="shared" si="10"/>
        <v/>
      </c>
      <c r="K27" s="261">
        <f>INDEX(Tbl_Neo_MedIV,NeoBerInfB!B27,4)</f>
        <v>0</v>
      </c>
      <c r="L27" s="261">
        <f>INDEX(Tbl_Neo_MedIV,NeoBerInfB!B27,5)</f>
        <v>0</v>
      </c>
      <c r="M27" s="261" t="str">
        <f t="shared" si="11"/>
        <v/>
      </c>
      <c r="N27" s="261" t="str">
        <f t="shared" si="12"/>
        <v/>
      </c>
      <c r="O27" s="261" t="str">
        <f t="shared" si="13"/>
        <v/>
      </c>
      <c r="P27" s="742" t="str">
        <f>IF(AND(E27&gt;1,D27&gt;0,B27&gt;1,NeoPrtWerkbr!M$37&gt;0),INDEX(Tbl_Neo_OplVlst,E27,1),"")</f>
        <v/>
      </c>
      <c r="Q27" s="261" t="str">
        <f t="shared" si="14"/>
        <v/>
      </c>
      <c r="R27" s="261" t="str">
        <f t="shared" si="15"/>
        <v/>
      </c>
      <c r="S27" s="261" t="str">
        <f t="shared" si="16"/>
        <v/>
      </c>
      <c r="T27" s="261" t="str">
        <f t="shared" si="17"/>
        <v/>
      </c>
      <c r="U27" s="261" t="str">
        <f t="shared" si="17"/>
        <v/>
      </c>
      <c r="V27" s="261" t="str">
        <f t="shared" si="17"/>
        <v/>
      </c>
      <c r="W27" s="261" t="str">
        <f t="shared" si="17"/>
        <v/>
      </c>
      <c r="X27" s="261" t="str">
        <f t="shared" si="17"/>
        <v/>
      </c>
      <c r="Y27" s="261" t="str">
        <f t="shared" si="29"/>
        <v/>
      </c>
      <c r="Z27" s="261" t="str">
        <f t="shared" si="18"/>
        <v/>
      </c>
      <c r="AA27" s="261" t="b">
        <f t="shared" si="30"/>
        <v>0</v>
      </c>
      <c r="AB27" s="261" t="b">
        <f t="shared" si="31"/>
        <v>0</v>
      </c>
      <c r="AC27" s="261" t="b">
        <f t="shared" si="19"/>
        <v>0</v>
      </c>
      <c r="AD27" s="261" t="b">
        <f t="shared" si="20"/>
        <v>0</v>
      </c>
      <c r="AE27" s="808" t="b">
        <f t="shared" si="21"/>
        <v>0</v>
      </c>
      <c r="AF27" s="261" t="b">
        <f t="shared" si="32"/>
        <v>0</v>
      </c>
      <c r="AG27" s="703" t="b">
        <f t="shared" si="22"/>
        <v>0</v>
      </c>
      <c r="AH27" s="806" t="b">
        <f>IF(Medicatie_IsEpiduraal(J27),C27/10&gt;Medicatie_CalcEpiQty( _Pat_Gewicht),IF(D27&gt;0,AND(INDEX(Tbl_Neo_MedIV,B27,10)&lt;&gt;0,(C27/10)/D27&gt;INDEX(Tbl_Neo_MedIV,B27,10)),FALSE))</f>
        <v>0</v>
      </c>
      <c r="AI27" s="261" t="str">
        <f t="shared" si="23"/>
        <v/>
      </c>
      <c r="AJ27" s="261" t="str">
        <f t="shared" si="33"/>
        <v/>
      </c>
      <c r="AK27" s="70" t="str">
        <f t="shared" si="34"/>
        <v/>
      </c>
      <c r="AL27" s="54">
        <f t="shared" si="24"/>
        <v>0</v>
      </c>
      <c r="AM27" s="807">
        <f t="shared" si="25"/>
        <v>0</v>
      </c>
      <c r="AN27" s="807">
        <f t="shared" si="25"/>
        <v>0</v>
      </c>
      <c r="AO27" s="807">
        <f t="shared" si="25"/>
        <v>0</v>
      </c>
      <c r="AP27" s="807">
        <f t="shared" si="25"/>
        <v>0</v>
      </c>
      <c r="AQ27" s="807">
        <f t="shared" si="25"/>
        <v>0</v>
      </c>
      <c r="AR27" s="807">
        <f t="shared" si="25"/>
        <v>0</v>
      </c>
      <c r="AS27" s="807">
        <f t="shared" si="25"/>
        <v>0</v>
      </c>
      <c r="AT27" s="807">
        <f t="shared" si="25"/>
        <v>0</v>
      </c>
      <c r="AU27" s="807">
        <f t="shared" si="25"/>
        <v>0</v>
      </c>
      <c r="AV27" s="807">
        <f t="shared" si="25"/>
        <v>0</v>
      </c>
      <c r="AW27" s="807">
        <f t="shared" si="25"/>
        <v>0</v>
      </c>
      <c r="AX27" s="807">
        <f t="shared" si="25"/>
        <v>0</v>
      </c>
      <c r="AY27" s="54">
        <f t="shared" si="35"/>
        <v>0</v>
      </c>
      <c r="AZ27" s="54">
        <f t="shared" si="26"/>
        <v>0</v>
      </c>
      <c r="BB27" s="261" t="str">
        <f t="shared" si="27"/>
        <v/>
      </c>
      <c r="BC27" s="717" t="b">
        <f t="shared" si="36"/>
        <v>0</v>
      </c>
      <c r="BD27" s="717">
        <f t="shared" si="28"/>
        <v>1</v>
      </c>
    </row>
    <row r="28" spans="1:56" x14ac:dyDescent="0.2">
      <c r="A28" s="54" t="s">
        <v>475</v>
      </c>
      <c r="B28" s="54">
        <v>1</v>
      </c>
      <c r="C28" s="54">
        <v>0</v>
      </c>
      <c r="D28" s="54">
        <v>0</v>
      </c>
      <c r="E28" s="54">
        <v>1</v>
      </c>
      <c r="F28" s="54">
        <v>0</v>
      </c>
      <c r="G28" s="71">
        <f t="shared" si="8"/>
        <v>0</v>
      </c>
      <c r="H28" s="261">
        <f t="shared" si="9"/>
        <v>1</v>
      </c>
      <c r="I28" s="54" t="b">
        <v>0</v>
      </c>
      <c r="J28" s="261" t="str">
        <f t="shared" si="10"/>
        <v/>
      </c>
      <c r="K28" s="261">
        <f>INDEX(Tbl_Neo_MedIV,NeoBerInfB!B28,4)</f>
        <v>0</v>
      </c>
      <c r="L28" s="261">
        <f>INDEX(Tbl_Neo_MedIV,NeoBerInfB!B28,5)</f>
        <v>0</v>
      </c>
      <c r="M28" s="261" t="str">
        <f t="shared" si="11"/>
        <v/>
      </c>
      <c r="N28" s="261" t="str">
        <f t="shared" si="12"/>
        <v/>
      </c>
      <c r="O28" s="261" t="str">
        <f t="shared" si="13"/>
        <v/>
      </c>
      <c r="P28" s="742" t="str">
        <f>IF(AND(E28&gt;1,D28&gt;0,B28&gt;1,NeoPrtWerkbr!M$40&gt;0),INDEX(Tbl_Neo_OplVlst,E28,1),"")</f>
        <v/>
      </c>
      <c r="Q28" s="261" t="str">
        <f t="shared" si="14"/>
        <v/>
      </c>
      <c r="R28" s="261" t="str">
        <f t="shared" si="15"/>
        <v/>
      </c>
      <c r="S28" s="261" t="str">
        <f t="shared" si="16"/>
        <v/>
      </c>
      <c r="T28" s="261" t="str">
        <f t="shared" si="17"/>
        <v/>
      </c>
      <c r="U28" s="261" t="str">
        <f t="shared" si="17"/>
        <v/>
      </c>
      <c r="V28" s="261" t="str">
        <f t="shared" si="17"/>
        <v/>
      </c>
      <c r="W28" s="261" t="str">
        <f t="shared" si="17"/>
        <v/>
      </c>
      <c r="X28" s="261" t="str">
        <f t="shared" si="17"/>
        <v/>
      </c>
      <c r="Y28" s="261" t="str">
        <f t="shared" si="29"/>
        <v/>
      </c>
      <c r="Z28" s="261" t="str">
        <f t="shared" si="18"/>
        <v/>
      </c>
      <c r="AA28" s="261" t="b">
        <f t="shared" si="30"/>
        <v>0</v>
      </c>
      <c r="AB28" s="261" t="b">
        <f t="shared" si="31"/>
        <v>0</v>
      </c>
      <c r="AC28" s="261" t="b">
        <f t="shared" si="19"/>
        <v>0</v>
      </c>
      <c r="AD28" s="261" t="b">
        <f t="shared" si="20"/>
        <v>0</v>
      </c>
      <c r="AE28" s="808" t="b">
        <f t="shared" si="21"/>
        <v>0</v>
      </c>
      <c r="AF28" s="261" t="b">
        <f t="shared" si="32"/>
        <v>0</v>
      </c>
      <c r="AG28" s="703" t="b">
        <f t="shared" si="22"/>
        <v>0</v>
      </c>
      <c r="AH28" s="806" t="b">
        <f>IF(Medicatie_IsEpiduraal(J28),C28/10&gt;Medicatie_CalcEpiQty( _Pat_Gewicht),IF(D28&gt;0,AND(INDEX(Tbl_Neo_MedIV,B28,10)&lt;&gt;0,(C28/10)/D28&gt;INDEX(Tbl_Neo_MedIV,B28,10)),FALSE))</f>
        <v>0</v>
      </c>
      <c r="AI28" s="261" t="str">
        <f t="shared" si="23"/>
        <v/>
      </c>
      <c r="AJ28" s="261" t="str">
        <f t="shared" si="33"/>
        <v/>
      </c>
      <c r="AK28" s="70" t="str">
        <f t="shared" si="34"/>
        <v/>
      </c>
      <c r="AL28" s="54">
        <f t="shared" si="24"/>
        <v>0</v>
      </c>
      <c r="AM28" s="807">
        <f t="shared" si="25"/>
        <v>0</v>
      </c>
      <c r="AN28" s="807">
        <f t="shared" si="25"/>
        <v>0</v>
      </c>
      <c r="AO28" s="807">
        <f t="shared" si="25"/>
        <v>0</v>
      </c>
      <c r="AP28" s="807">
        <f t="shared" si="25"/>
        <v>0</v>
      </c>
      <c r="AQ28" s="807">
        <f t="shared" si="25"/>
        <v>0</v>
      </c>
      <c r="AR28" s="807">
        <f t="shared" si="25"/>
        <v>0</v>
      </c>
      <c r="AS28" s="807">
        <f t="shared" si="25"/>
        <v>0</v>
      </c>
      <c r="AT28" s="807">
        <f t="shared" si="25"/>
        <v>0</v>
      </c>
      <c r="AU28" s="807">
        <f t="shared" si="25"/>
        <v>0</v>
      </c>
      <c r="AV28" s="807">
        <f t="shared" si="25"/>
        <v>0</v>
      </c>
      <c r="AW28" s="807">
        <f t="shared" si="25"/>
        <v>0</v>
      </c>
      <c r="AX28" s="807">
        <f t="shared" si="25"/>
        <v>0</v>
      </c>
      <c r="AY28" s="54">
        <f t="shared" si="35"/>
        <v>0</v>
      </c>
      <c r="AZ28" s="54">
        <f t="shared" si="26"/>
        <v>0</v>
      </c>
      <c r="BB28" s="261" t="str">
        <f t="shared" si="27"/>
        <v/>
      </c>
      <c r="BC28" s="717" t="b">
        <f t="shared" si="36"/>
        <v>0</v>
      </c>
      <c r="BD28" s="717">
        <f t="shared" si="28"/>
        <v>1</v>
      </c>
    </row>
    <row r="29" spans="1:56" x14ac:dyDescent="0.2">
      <c r="A29" s="54" t="s">
        <v>476</v>
      </c>
      <c r="B29" s="54">
        <v>1</v>
      </c>
      <c r="C29" s="54">
        <v>0</v>
      </c>
      <c r="D29" s="54">
        <v>0</v>
      </c>
      <c r="E29" s="54">
        <v>1</v>
      </c>
      <c r="F29" s="54">
        <v>0</v>
      </c>
      <c r="G29" s="71">
        <f t="shared" si="8"/>
        <v>0</v>
      </c>
      <c r="H29" s="261">
        <f t="shared" si="9"/>
        <v>1</v>
      </c>
      <c r="I29" s="54" t="b">
        <v>0</v>
      </c>
      <c r="J29" s="261" t="str">
        <f t="shared" si="10"/>
        <v/>
      </c>
      <c r="K29" s="261">
        <f>INDEX(Tbl_Neo_MedIV,NeoBerInfB!B29,4)</f>
        <v>0</v>
      </c>
      <c r="L29" s="261">
        <f>INDEX(Tbl_Neo_MedIV,NeoBerInfB!B29,5)</f>
        <v>0</v>
      </c>
      <c r="M29" s="261" t="str">
        <f t="shared" si="11"/>
        <v/>
      </c>
      <c r="N29" s="261" t="str">
        <f t="shared" si="12"/>
        <v/>
      </c>
      <c r="O29" s="261" t="str">
        <f t="shared" si="13"/>
        <v/>
      </c>
      <c r="P29" s="742" t="str">
        <f>IF(AND(E29&gt;1,D29&gt;0,B29&gt;1,NeoPrtWerkbr!M$43&gt;0),INDEX(Tbl_Neo_OplVlst,E29,1),"")</f>
        <v/>
      </c>
      <c r="Q29" s="261" t="str">
        <f t="shared" si="14"/>
        <v/>
      </c>
      <c r="R29" s="261" t="str">
        <f t="shared" si="15"/>
        <v/>
      </c>
      <c r="S29" s="261" t="str">
        <f t="shared" si="16"/>
        <v/>
      </c>
      <c r="T29" s="261" t="str">
        <f t="shared" si="17"/>
        <v/>
      </c>
      <c r="U29" s="261" t="str">
        <f t="shared" si="17"/>
        <v/>
      </c>
      <c r="V29" s="261" t="str">
        <f t="shared" si="17"/>
        <v/>
      </c>
      <c r="W29" s="261" t="str">
        <f t="shared" si="17"/>
        <v/>
      </c>
      <c r="X29" s="261" t="str">
        <f t="shared" si="17"/>
        <v/>
      </c>
      <c r="Y29" s="261" t="str">
        <f t="shared" si="29"/>
        <v/>
      </c>
      <c r="Z29" s="261" t="str">
        <f t="shared" si="18"/>
        <v/>
      </c>
      <c r="AA29" s="261" t="b">
        <f t="shared" si="30"/>
        <v>0</v>
      </c>
      <c r="AB29" s="261" t="b">
        <f t="shared" si="31"/>
        <v>0</v>
      </c>
      <c r="AC29" s="261" t="b">
        <f t="shared" si="19"/>
        <v>0</v>
      </c>
      <c r="AD29" s="261" t="b">
        <f t="shared" si="20"/>
        <v>0</v>
      </c>
      <c r="AE29" s="808" t="b">
        <f t="shared" si="21"/>
        <v>0</v>
      </c>
      <c r="AF29" s="261" t="b">
        <f t="shared" si="32"/>
        <v>0</v>
      </c>
      <c r="AG29" s="703" t="b">
        <f t="shared" si="22"/>
        <v>0</v>
      </c>
      <c r="AH29" s="806" t="b">
        <f>IF(Medicatie_IsEpiduraal(J29),C29/10&gt;Medicatie_CalcEpiQty( _Pat_Gewicht),IF(D29&gt;0,AND(INDEX(Tbl_Neo_MedIV,B29,10)&lt;&gt;0,(C29/10)/D29&gt;INDEX(Tbl_Neo_MedIV,B29,10)),FALSE))</f>
        <v>0</v>
      </c>
      <c r="AI29" s="261" t="str">
        <f t="shared" si="23"/>
        <v/>
      </c>
      <c r="AJ29" s="261" t="str">
        <f t="shared" si="33"/>
        <v/>
      </c>
      <c r="AK29" s="70" t="str">
        <f t="shared" si="34"/>
        <v/>
      </c>
      <c r="AL29" s="54">
        <f t="shared" si="24"/>
        <v>0</v>
      </c>
      <c r="AM29" s="807">
        <f t="shared" si="25"/>
        <v>0</v>
      </c>
      <c r="AN29" s="807">
        <f t="shared" si="25"/>
        <v>0</v>
      </c>
      <c r="AO29" s="807">
        <f t="shared" si="25"/>
        <v>0</v>
      </c>
      <c r="AP29" s="807">
        <f t="shared" si="25"/>
        <v>0</v>
      </c>
      <c r="AQ29" s="807">
        <f t="shared" si="25"/>
        <v>0</v>
      </c>
      <c r="AR29" s="807">
        <f t="shared" si="25"/>
        <v>0</v>
      </c>
      <c r="AS29" s="807">
        <f t="shared" si="25"/>
        <v>0</v>
      </c>
      <c r="AT29" s="807">
        <f t="shared" si="25"/>
        <v>0</v>
      </c>
      <c r="AU29" s="807">
        <f t="shared" si="25"/>
        <v>0</v>
      </c>
      <c r="AV29" s="807">
        <f t="shared" si="25"/>
        <v>0</v>
      </c>
      <c r="AW29" s="807">
        <f t="shared" si="25"/>
        <v>0</v>
      </c>
      <c r="AX29" s="807">
        <f t="shared" si="25"/>
        <v>0</v>
      </c>
      <c r="AY29" s="54">
        <f t="shared" si="35"/>
        <v>0</v>
      </c>
      <c r="AZ29" s="54">
        <f t="shared" si="26"/>
        <v>0</v>
      </c>
      <c r="BB29" s="261" t="str">
        <f t="shared" si="27"/>
        <v/>
      </c>
      <c r="BC29" s="717" t="b">
        <f t="shared" si="36"/>
        <v>0</v>
      </c>
      <c r="BD29" s="717">
        <f t="shared" si="28"/>
        <v>1</v>
      </c>
    </row>
    <row r="30" spans="1:56" x14ac:dyDescent="0.2">
      <c r="A30" s="54" t="s">
        <v>477</v>
      </c>
      <c r="B30" s="54">
        <v>1</v>
      </c>
      <c r="C30" s="54">
        <v>0</v>
      </c>
      <c r="D30" s="54">
        <v>0</v>
      </c>
      <c r="E30" s="54">
        <v>1</v>
      </c>
      <c r="F30" s="54">
        <v>0</v>
      </c>
      <c r="G30" s="71">
        <f t="shared" si="8"/>
        <v>0</v>
      </c>
      <c r="H30" s="261">
        <f t="shared" si="9"/>
        <v>1</v>
      </c>
      <c r="I30" s="54" t="b">
        <v>0</v>
      </c>
      <c r="J30" s="261" t="str">
        <f t="shared" si="10"/>
        <v/>
      </c>
      <c r="K30" s="261">
        <f>INDEX(Tbl_Neo_MedIV,NeoBerInfB!B30,4)</f>
        <v>0</v>
      </c>
      <c r="L30" s="261">
        <f>INDEX(Tbl_Neo_MedIV,NeoBerInfB!B30,5)</f>
        <v>0</v>
      </c>
      <c r="M30" s="261" t="str">
        <f t="shared" si="11"/>
        <v/>
      </c>
      <c r="N30" s="261" t="str">
        <f t="shared" si="12"/>
        <v/>
      </c>
      <c r="O30" s="261" t="str">
        <f t="shared" si="13"/>
        <v/>
      </c>
      <c r="P30" s="742" t="str">
        <f>IF(AND(E30&gt;1,D30&gt;0,B30&gt;1,NeoPrtWerkbr!M$46&gt;0),INDEX(Tbl_Neo_OplVlst,E30,1),"")</f>
        <v/>
      </c>
      <c r="Q30" s="261" t="str">
        <f t="shared" si="14"/>
        <v/>
      </c>
      <c r="R30" s="261" t="str">
        <f t="shared" si="15"/>
        <v/>
      </c>
      <c r="S30" s="261" t="str">
        <f t="shared" si="16"/>
        <v/>
      </c>
      <c r="T30" s="261" t="str">
        <f t="shared" si="17"/>
        <v/>
      </c>
      <c r="U30" s="261" t="str">
        <f t="shared" si="17"/>
        <v/>
      </c>
      <c r="V30" s="261" t="str">
        <f t="shared" si="17"/>
        <v/>
      </c>
      <c r="W30" s="261" t="str">
        <f t="shared" si="17"/>
        <v/>
      </c>
      <c r="X30" s="261" t="str">
        <f t="shared" si="17"/>
        <v/>
      </c>
      <c r="Y30" s="261" t="str">
        <f t="shared" si="29"/>
        <v/>
      </c>
      <c r="Z30" s="261" t="str">
        <f t="shared" si="18"/>
        <v/>
      </c>
      <c r="AA30" s="261" t="b">
        <f t="shared" si="30"/>
        <v>0</v>
      </c>
      <c r="AB30" s="261" t="b">
        <f t="shared" si="31"/>
        <v>0</v>
      </c>
      <c r="AC30" s="261" t="b">
        <f t="shared" si="19"/>
        <v>0</v>
      </c>
      <c r="AD30" s="261" t="b">
        <f t="shared" si="20"/>
        <v>0</v>
      </c>
      <c r="AE30" s="808" t="b">
        <f t="shared" si="21"/>
        <v>0</v>
      </c>
      <c r="AF30" s="261" t="b">
        <f t="shared" si="32"/>
        <v>0</v>
      </c>
      <c r="AG30" s="703" t="b">
        <f t="shared" si="22"/>
        <v>0</v>
      </c>
      <c r="AH30" s="806" t="b">
        <f>IF(Medicatie_IsEpiduraal(J30),C30/10&gt;Medicatie_CalcEpiQty( _Pat_Gewicht),IF(D30&gt;0,AND(INDEX(Tbl_Neo_MedIV,B30,10)&lt;&gt;0,(C30/10)/D30&gt;INDEX(Tbl_Neo_MedIV,B30,10)),FALSE))</f>
        <v>0</v>
      </c>
      <c r="AI30" s="261" t="str">
        <f t="shared" si="23"/>
        <v/>
      </c>
      <c r="AJ30" s="261" t="str">
        <f t="shared" si="33"/>
        <v/>
      </c>
      <c r="AK30" s="70" t="str">
        <f t="shared" si="34"/>
        <v/>
      </c>
      <c r="AL30" s="54">
        <f t="shared" si="24"/>
        <v>0</v>
      </c>
      <c r="AM30" s="807">
        <f t="shared" si="25"/>
        <v>0</v>
      </c>
      <c r="AN30" s="807">
        <f t="shared" si="25"/>
        <v>0</v>
      </c>
      <c r="AO30" s="807">
        <f t="shared" si="25"/>
        <v>0</v>
      </c>
      <c r="AP30" s="807">
        <f t="shared" si="25"/>
        <v>0</v>
      </c>
      <c r="AQ30" s="807">
        <f t="shared" si="25"/>
        <v>0</v>
      </c>
      <c r="AR30" s="807">
        <f t="shared" si="25"/>
        <v>0</v>
      </c>
      <c r="AS30" s="807">
        <f t="shared" si="25"/>
        <v>0</v>
      </c>
      <c r="AT30" s="807">
        <f t="shared" si="25"/>
        <v>0</v>
      </c>
      <c r="AU30" s="807">
        <f t="shared" si="25"/>
        <v>0</v>
      </c>
      <c r="AV30" s="807">
        <f t="shared" si="25"/>
        <v>0</v>
      </c>
      <c r="AW30" s="807">
        <f t="shared" si="25"/>
        <v>0</v>
      </c>
      <c r="AX30" s="807">
        <f t="shared" si="25"/>
        <v>0</v>
      </c>
      <c r="AY30" s="54">
        <f t="shared" si="35"/>
        <v>0</v>
      </c>
      <c r="AZ30" s="54">
        <f t="shared" si="26"/>
        <v>0</v>
      </c>
      <c r="BB30" s="261" t="str">
        <f t="shared" si="27"/>
        <v/>
      </c>
      <c r="BC30" s="717" t="b">
        <f t="shared" si="36"/>
        <v>0</v>
      </c>
      <c r="BD30" s="717">
        <f t="shared" si="28"/>
        <v>1</v>
      </c>
    </row>
    <row r="31" spans="1:56" x14ac:dyDescent="0.2">
      <c r="A31" s="54" t="s">
        <v>478</v>
      </c>
      <c r="B31" s="54">
        <v>1</v>
      </c>
      <c r="C31" s="54">
        <v>0</v>
      </c>
      <c r="D31" s="54">
        <v>0</v>
      </c>
      <c r="E31" s="54">
        <v>1</v>
      </c>
      <c r="F31" s="54">
        <v>0</v>
      </c>
      <c r="G31" s="71">
        <f t="shared" si="8"/>
        <v>0</v>
      </c>
      <c r="H31" s="261">
        <f t="shared" si="9"/>
        <v>1</v>
      </c>
      <c r="I31" s="54" t="b">
        <v>0</v>
      </c>
      <c r="J31" s="261" t="str">
        <f t="shared" si="10"/>
        <v/>
      </c>
      <c r="K31" s="261">
        <f>INDEX(Tbl_Neo_MedIV,NeoBerInfB!B31,4)</f>
        <v>0</v>
      </c>
      <c r="L31" s="261">
        <f>INDEX(Tbl_Neo_MedIV,NeoBerInfB!B31,5)</f>
        <v>0</v>
      </c>
      <c r="M31" s="261" t="str">
        <f t="shared" si="11"/>
        <v/>
      </c>
      <c r="N31" s="261" t="str">
        <f t="shared" si="12"/>
        <v/>
      </c>
      <c r="O31" s="261" t="str">
        <f t="shared" si="13"/>
        <v/>
      </c>
      <c r="P31" s="742" t="str">
        <f>IF(AND(E31&gt;1,D31&gt;0,B31&gt;1,NeoPrtWerkbr!M$49&gt;0),INDEX(Tbl_Neo_OplVlst,E31,1),"")</f>
        <v/>
      </c>
      <c r="Q31" s="261" t="str">
        <f t="shared" si="14"/>
        <v/>
      </c>
      <c r="R31" s="261" t="str">
        <f t="shared" si="15"/>
        <v/>
      </c>
      <c r="S31" s="261" t="str">
        <f t="shared" si="16"/>
        <v/>
      </c>
      <c r="T31" s="261" t="str">
        <f t="shared" si="17"/>
        <v/>
      </c>
      <c r="U31" s="261" t="str">
        <f t="shared" si="17"/>
        <v/>
      </c>
      <c r="V31" s="261" t="str">
        <f t="shared" si="17"/>
        <v/>
      </c>
      <c r="W31" s="261" t="str">
        <f t="shared" si="17"/>
        <v/>
      </c>
      <c r="X31" s="261" t="str">
        <f t="shared" si="17"/>
        <v/>
      </c>
      <c r="Y31" s="261" t="str">
        <f t="shared" si="29"/>
        <v/>
      </c>
      <c r="Z31" s="261" t="str">
        <f t="shared" si="18"/>
        <v/>
      </c>
      <c r="AA31" s="261" t="b">
        <f t="shared" si="30"/>
        <v>0</v>
      </c>
      <c r="AB31" s="261" t="b">
        <f t="shared" si="31"/>
        <v>0</v>
      </c>
      <c r="AC31" s="261" t="b">
        <f t="shared" si="19"/>
        <v>0</v>
      </c>
      <c r="AD31" s="261" t="b">
        <f t="shared" si="20"/>
        <v>0</v>
      </c>
      <c r="AE31" s="808" t="b">
        <f t="shared" si="21"/>
        <v>0</v>
      </c>
      <c r="AF31" s="261" t="b">
        <f t="shared" si="32"/>
        <v>0</v>
      </c>
      <c r="AG31" s="703" t="b">
        <f t="shared" si="22"/>
        <v>0</v>
      </c>
      <c r="AH31" s="806" t="b">
        <f>IF(Medicatie_IsEpiduraal(J31),C31/10&gt;Medicatie_CalcEpiQty( _Pat_Gewicht),IF(D31&gt;0,AND(INDEX(Tbl_Neo_MedIV,B31,10)&lt;&gt;0,(C31/10)/D31&gt;INDEX(Tbl_Neo_MedIV,B31,10)),FALSE))</f>
        <v>0</v>
      </c>
      <c r="AI31" s="261" t="str">
        <f t="shared" si="23"/>
        <v/>
      </c>
      <c r="AJ31" s="261" t="str">
        <f t="shared" si="33"/>
        <v/>
      </c>
      <c r="AK31" s="70" t="str">
        <f t="shared" si="34"/>
        <v/>
      </c>
      <c r="AL31" s="54">
        <f t="shared" si="24"/>
        <v>0</v>
      </c>
      <c r="AM31" s="807">
        <f t="shared" si="25"/>
        <v>0</v>
      </c>
      <c r="AN31" s="807">
        <f t="shared" si="25"/>
        <v>0</v>
      </c>
      <c r="AO31" s="807">
        <f t="shared" si="25"/>
        <v>0</v>
      </c>
      <c r="AP31" s="807">
        <f t="shared" si="25"/>
        <v>0</v>
      </c>
      <c r="AQ31" s="807">
        <f t="shared" si="25"/>
        <v>0</v>
      </c>
      <c r="AR31" s="807">
        <f t="shared" si="25"/>
        <v>0</v>
      </c>
      <c r="AS31" s="807">
        <f t="shared" si="25"/>
        <v>0</v>
      </c>
      <c r="AT31" s="807">
        <f t="shared" si="25"/>
        <v>0</v>
      </c>
      <c r="AU31" s="807">
        <f t="shared" si="25"/>
        <v>0</v>
      </c>
      <c r="AV31" s="807">
        <f t="shared" si="25"/>
        <v>0</v>
      </c>
      <c r="AW31" s="807">
        <f t="shared" si="25"/>
        <v>0</v>
      </c>
      <c r="AX31" s="807">
        <f t="shared" si="25"/>
        <v>0</v>
      </c>
      <c r="AY31" s="54">
        <f t="shared" si="35"/>
        <v>0</v>
      </c>
      <c r="AZ31" s="54">
        <f t="shared" si="26"/>
        <v>0</v>
      </c>
      <c r="BB31" s="261" t="str">
        <f t="shared" si="27"/>
        <v/>
      </c>
      <c r="BC31" s="717" t="b">
        <f t="shared" si="36"/>
        <v>0</v>
      </c>
      <c r="BD31" s="717">
        <f t="shared" si="28"/>
        <v>1</v>
      </c>
    </row>
    <row r="32" spans="1:56" s="261" customFormat="1" x14ac:dyDescent="0.2">
      <c r="A32" s="261" t="s">
        <v>4261</v>
      </c>
      <c r="B32" s="261">
        <v>1</v>
      </c>
      <c r="C32" s="261">
        <v>0</v>
      </c>
      <c r="D32" s="261">
        <v>0</v>
      </c>
      <c r="E32" s="261">
        <v>1</v>
      </c>
      <c r="F32" s="261">
        <v>0</v>
      </c>
      <c r="G32" s="71">
        <f t="shared" si="8"/>
        <v>0</v>
      </c>
      <c r="H32" s="261">
        <f t="shared" si="9"/>
        <v>1</v>
      </c>
      <c r="I32" s="261" t="b">
        <v>0</v>
      </c>
      <c r="J32" s="261" t="str">
        <f t="shared" si="10"/>
        <v/>
      </c>
      <c r="K32" s="261">
        <f>INDEX(Tbl_Neo_MedIV,NeoBerInfB!B32,4)</f>
        <v>0</v>
      </c>
      <c r="L32" s="261">
        <f>INDEX(Tbl_Neo_MedIV,NeoBerInfB!B32,5)</f>
        <v>0</v>
      </c>
      <c r="M32" s="261" t="str">
        <f t="shared" ref="M32" si="37">IF($B32&gt;1,(C32/10)&amp;" "&amp;INDEX(Tbl_Neo_MedIV,$B32,M$1),"")</f>
        <v/>
      </c>
      <c r="N32" s="261" t="str">
        <f t="shared" si="12"/>
        <v/>
      </c>
      <c r="O32" s="261" t="str">
        <f t="shared" si="13"/>
        <v/>
      </c>
      <c r="P32" s="742" t="str">
        <f>IF(AND(E32&gt;1,D32&gt;0,B32&gt;1,NeoPrtWerkbr!M$52&gt;0),INDEX(Tbl_Neo_OplVlst,E32,1),"")</f>
        <v/>
      </c>
      <c r="Q32" s="261" t="str">
        <f t="shared" si="14"/>
        <v/>
      </c>
      <c r="R32" s="261" t="str">
        <f t="shared" si="15"/>
        <v/>
      </c>
      <c r="S32" s="261" t="str">
        <f t="shared" si="16"/>
        <v/>
      </c>
      <c r="T32" s="261" t="str">
        <f t="shared" si="17"/>
        <v/>
      </c>
      <c r="U32" s="261" t="str">
        <f t="shared" si="17"/>
        <v/>
      </c>
      <c r="V32" s="261" t="str">
        <f t="shared" si="17"/>
        <v/>
      </c>
      <c r="W32" s="261" t="str">
        <f t="shared" si="17"/>
        <v/>
      </c>
      <c r="X32" s="261" t="str">
        <f t="shared" si="17"/>
        <v/>
      </c>
      <c r="Y32" s="261" t="str">
        <f t="shared" si="29"/>
        <v/>
      </c>
      <c r="Z32" s="261" t="str">
        <f t="shared" si="18"/>
        <v/>
      </c>
      <c r="AA32" s="261" t="b">
        <f t="shared" si="30"/>
        <v>0</v>
      </c>
      <c r="AB32" s="261" t="b">
        <f t="shared" si="31"/>
        <v>0</v>
      </c>
      <c r="AC32" s="261" t="b">
        <f t="shared" si="19"/>
        <v>0</v>
      </c>
      <c r="AD32" s="261" t="b">
        <f t="shared" si="20"/>
        <v>0</v>
      </c>
      <c r="AE32" s="808" t="b">
        <f t="shared" si="21"/>
        <v>0</v>
      </c>
      <c r="AF32" s="261" t="b">
        <f t="shared" si="32"/>
        <v>0</v>
      </c>
      <c r="AG32" s="703" t="b">
        <f t="shared" si="22"/>
        <v>0</v>
      </c>
      <c r="AH32" s="806" t="b">
        <f>IF(Medicatie_IsEpiduraal(J32),C32/10&gt;Medicatie_CalcEpiQty( _Pat_Gewicht),IF(D32&gt;0,AND(INDEX(Tbl_Neo_MedIV,B32,10)&lt;&gt;0,(C32/10)/D32&gt;INDEX(Tbl_Neo_MedIV,B32,10)),FALSE))</f>
        <v>0</v>
      </c>
      <c r="AI32" s="261" t="str">
        <f t="shared" si="23"/>
        <v/>
      </c>
      <c r="AJ32" s="261" t="str">
        <f t="shared" si="33"/>
        <v/>
      </c>
      <c r="AK32" s="70" t="str">
        <f t="shared" si="34"/>
        <v/>
      </c>
      <c r="AL32" s="261">
        <f t="shared" si="24"/>
        <v>0</v>
      </c>
      <c r="AM32" s="807">
        <f t="shared" si="25"/>
        <v>0</v>
      </c>
      <c r="AN32" s="807">
        <f t="shared" si="25"/>
        <v>0</v>
      </c>
      <c r="AO32" s="807">
        <f t="shared" si="25"/>
        <v>0</v>
      </c>
      <c r="AP32" s="807">
        <f t="shared" si="25"/>
        <v>0</v>
      </c>
      <c r="AQ32" s="807">
        <f t="shared" si="25"/>
        <v>0</v>
      </c>
      <c r="AR32" s="807">
        <f t="shared" si="25"/>
        <v>0</v>
      </c>
      <c r="AS32" s="807">
        <f t="shared" si="25"/>
        <v>0</v>
      </c>
      <c r="AT32" s="807">
        <f t="shared" si="25"/>
        <v>0</v>
      </c>
      <c r="AU32" s="807">
        <f t="shared" si="25"/>
        <v>0</v>
      </c>
      <c r="AV32" s="807">
        <f t="shared" si="25"/>
        <v>0</v>
      </c>
      <c r="AW32" s="807">
        <f t="shared" si="25"/>
        <v>0</v>
      </c>
      <c r="AX32" s="807">
        <f t="shared" si="25"/>
        <v>0</v>
      </c>
      <c r="AY32" s="261">
        <f t="shared" ref="AY32" si="38">ROUND(IF(AZ32*10&gt;1,AZ32*10,AZ32*600),0)</f>
        <v>0</v>
      </c>
      <c r="AZ32" s="261">
        <f t="shared" si="26"/>
        <v>0</v>
      </c>
      <c r="BB32" s="261" t="str">
        <f t="shared" si="27"/>
        <v/>
      </c>
      <c r="BC32" s="717" t="b">
        <f t="shared" si="36"/>
        <v>0</v>
      </c>
      <c r="BD32" s="717">
        <f t="shared" si="28"/>
        <v>1</v>
      </c>
    </row>
    <row r="33" spans="1:62" x14ac:dyDescent="0.2">
      <c r="A33" s="54" t="s">
        <v>430</v>
      </c>
      <c r="E33" s="54">
        <v>1</v>
      </c>
      <c r="F33" s="54">
        <v>0</v>
      </c>
      <c r="I33" s="54" t="b">
        <v>0</v>
      </c>
      <c r="J33" s="54"/>
      <c r="M33" s="54"/>
      <c r="O33" s="54"/>
      <c r="P33" s="742" t="str">
        <f t="shared" ref="P33:P35" si="39">IF(E33&gt;1,INDEX(Tbl_Neo_OplVlst,E33,1),"")</f>
        <v/>
      </c>
      <c r="Q33" s="261" t="str">
        <f>IF(F33&gt;0,(F33/10)&amp;" ml/uur","")</f>
        <v/>
      </c>
      <c r="R33" s="54"/>
      <c r="S33" s="54"/>
      <c r="Z33" s="54"/>
      <c r="AI33" s="261" t="str">
        <f>IF(E33=1,"","verw")</f>
        <v/>
      </c>
      <c r="AL33" s="54">
        <f t="shared" si="24"/>
        <v>0</v>
      </c>
      <c r="AM33" s="807">
        <f t="shared" si="25"/>
        <v>0</v>
      </c>
      <c r="AN33" s="807">
        <f t="shared" si="25"/>
        <v>0</v>
      </c>
      <c r="AO33" s="807">
        <f t="shared" si="25"/>
        <v>0</v>
      </c>
      <c r="AP33" s="807">
        <f t="shared" si="25"/>
        <v>0</v>
      </c>
      <c r="AQ33" s="807">
        <f t="shared" si="25"/>
        <v>0</v>
      </c>
      <c r="AR33" s="807">
        <f t="shared" si="25"/>
        <v>0</v>
      </c>
      <c r="AS33" s="807">
        <f t="shared" si="25"/>
        <v>0</v>
      </c>
      <c r="AT33" s="807">
        <f t="shared" si="25"/>
        <v>0</v>
      </c>
      <c r="AU33" s="807">
        <f t="shared" si="25"/>
        <v>0</v>
      </c>
      <c r="AV33" s="807">
        <f t="shared" si="25"/>
        <v>0</v>
      </c>
      <c r="AW33" s="807">
        <f t="shared" si="25"/>
        <v>0</v>
      </c>
      <c r="AX33" s="807">
        <f t="shared" si="25"/>
        <v>0</v>
      </c>
      <c r="AY33" s="54">
        <f>ROUND(IF(AZ33*10&gt;1,AZ33*10,AZ33*600),0)</f>
        <v>0</v>
      </c>
      <c r="AZ33" s="54">
        <f t="shared" si="26"/>
        <v>0</v>
      </c>
      <c r="BB33" s="244" t="str">
        <f>IF(P33="","",CONCATENATE(A33," ",P33," ",Q33))</f>
        <v/>
      </c>
    </row>
    <row r="34" spans="1:62" x14ac:dyDescent="0.2">
      <c r="A34" s="54" t="s">
        <v>431</v>
      </c>
      <c r="E34" s="54">
        <v>1</v>
      </c>
      <c r="F34" s="54">
        <v>0</v>
      </c>
      <c r="I34" s="54" t="b">
        <v>0</v>
      </c>
      <c r="J34" s="54"/>
      <c r="M34" s="54"/>
      <c r="O34" s="54"/>
      <c r="P34" s="261" t="str">
        <f t="shared" si="39"/>
        <v/>
      </c>
      <c r="Q34" s="261" t="str">
        <f>IF(F34&gt;0,(F34/10)&amp;" ml/uur","")</f>
        <v/>
      </c>
      <c r="R34" s="54"/>
      <c r="S34" s="54"/>
      <c r="Z34" s="54"/>
      <c r="AI34" s="261" t="str">
        <f>IF(E34=1,"","verw")</f>
        <v/>
      </c>
      <c r="AL34" s="54">
        <f t="shared" si="24"/>
        <v>0</v>
      </c>
      <c r="AM34" s="807">
        <f t="shared" si="25"/>
        <v>0</v>
      </c>
      <c r="AN34" s="807">
        <f t="shared" si="25"/>
        <v>0</v>
      </c>
      <c r="AO34" s="807">
        <f t="shared" si="25"/>
        <v>0</v>
      </c>
      <c r="AP34" s="807">
        <f t="shared" si="25"/>
        <v>0</v>
      </c>
      <c r="AQ34" s="807">
        <f t="shared" si="25"/>
        <v>0</v>
      </c>
      <c r="AR34" s="807">
        <f t="shared" si="25"/>
        <v>0</v>
      </c>
      <c r="AS34" s="807">
        <f t="shared" si="25"/>
        <v>0</v>
      </c>
      <c r="AT34" s="807">
        <f t="shared" si="25"/>
        <v>0</v>
      </c>
      <c r="AU34" s="807">
        <f t="shared" si="25"/>
        <v>0</v>
      </c>
      <c r="AV34" s="807">
        <f t="shared" si="25"/>
        <v>0</v>
      </c>
      <c r="AW34" s="807">
        <f t="shared" si="25"/>
        <v>0</v>
      </c>
      <c r="AX34" s="807">
        <f t="shared" si="25"/>
        <v>0</v>
      </c>
      <c r="AY34" s="54">
        <f>ROUND(IF(AZ34*10&gt;1,AZ34*10,AZ34*600),0)</f>
        <v>0</v>
      </c>
      <c r="AZ34" s="54">
        <f t="shared" si="26"/>
        <v>0</v>
      </c>
      <c r="BB34" s="261" t="str">
        <f>IF(P34="","",CONCATENATE(A34," ",P34," ",Q34))</f>
        <v/>
      </c>
    </row>
    <row r="35" spans="1:62" x14ac:dyDescent="0.2">
      <c r="A35" s="54" t="s">
        <v>432</v>
      </c>
      <c r="E35" s="54">
        <v>1</v>
      </c>
      <c r="F35" s="54">
        <v>0</v>
      </c>
      <c r="I35" s="54" t="b">
        <v>0</v>
      </c>
      <c r="J35" s="54"/>
      <c r="M35" s="54"/>
      <c r="O35" s="54"/>
      <c r="P35" s="261" t="str">
        <f t="shared" si="39"/>
        <v/>
      </c>
      <c r="Q35" s="261" t="str">
        <f>IF(F35&gt;0,(F35/10)&amp;" ml/uur","")</f>
        <v/>
      </c>
      <c r="R35" s="54"/>
      <c r="S35" s="54"/>
      <c r="Z35" s="54"/>
      <c r="AI35" s="261" t="str">
        <f>IF(E35=1,"","verw")</f>
        <v/>
      </c>
      <c r="AL35" s="54">
        <f t="shared" si="24"/>
        <v>0</v>
      </c>
      <c r="AM35" s="807">
        <f t="shared" si="25"/>
        <v>0</v>
      </c>
      <c r="AN35" s="807">
        <f t="shared" si="25"/>
        <v>0</v>
      </c>
      <c r="AO35" s="807">
        <f t="shared" si="25"/>
        <v>0</v>
      </c>
      <c r="AP35" s="807">
        <f t="shared" si="25"/>
        <v>0</v>
      </c>
      <c r="AQ35" s="807">
        <f t="shared" si="25"/>
        <v>0</v>
      </c>
      <c r="AR35" s="807">
        <f t="shared" si="25"/>
        <v>0</v>
      </c>
      <c r="AS35" s="807">
        <f t="shared" si="25"/>
        <v>0</v>
      </c>
      <c r="AT35" s="807">
        <f t="shared" si="25"/>
        <v>0</v>
      </c>
      <c r="AU35" s="807">
        <f t="shared" si="25"/>
        <v>0</v>
      </c>
      <c r="AV35" s="807">
        <f t="shared" si="25"/>
        <v>0</v>
      </c>
      <c r="AW35" s="807">
        <f t="shared" si="25"/>
        <v>0</v>
      </c>
      <c r="AX35" s="807">
        <f t="shared" si="25"/>
        <v>0</v>
      </c>
      <c r="AY35" s="54">
        <f>ROUND(IF(AZ35*10&gt;1,AZ35*10,AZ35*600),0)</f>
        <v>0</v>
      </c>
      <c r="AZ35" s="54">
        <f t="shared" si="26"/>
        <v>0</v>
      </c>
      <c r="BB35" s="261" t="str">
        <f>IF(P35="","",CONCATENATE(A35," ",P35," ",Q35))</f>
        <v/>
      </c>
    </row>
    <row r="36" spans="1:62" x14ac:dyDescent="0.2">
      <c r="A36" s="206" t="s">
        <v>845</v>
      </c>
      <c r="AI36" s="261" t="str">
        <f>IF(B36="","","verw")</f>
        <v/>
      </c>
      <c r="BB36" s="54" t="str">
        <f>IF(B36="","",B36)</f>
        <v/>
      </c>
    </row>
    <row r="37" spans="1:62" x14ac:dyDescent="0.2">
      <c r="A37" s="206" t="s">
        <v>4262</v>
      </c>
      <c r="AI37" s="261" t="str">
        <f>IF(B37="","","verw")</f>
        <v/>
      </c>
      <c r="BB37" s="244" t="str">
        <f>IF(B37="","",B37)</f>
        <v/>
      </c>
    </row>
    <row r="38" spans="1:62" s="261" customFormat="1" x14ac:dyDescent="0.2"/>
    <row r="39" spans="1:62" x14ac:dyDescent="0.2">
      <c r="A39" s="54" t="s">
        <v>174</v>
      </c>
      <c r="B39" s="54" t="s">
        <v>418</v>
      </c>
      <c r="C39" s="54" t="s">
        <v>42</v>
      </c>
      <c r="D39" s="54" t="s">
        <v>4236</v>
      </c>
      <c r="F39" s="54" t="s">
        <v>851</v>
      </c>
      <c r="AI39" s="261" t="str">
        <f>IF(SUM(C42:C49)=0,"","verw")</f>
        <v/>
      </c>
      <c r="AJ39" s="777" t="str">
        <f>IF(AND(Var_Neo_InfB_TPN_Parenteraal),"stand","")</f>
        <v/>
      </c>
      <c r="BC39" s="261"/>
    </row>
    <row r="40" spans="1:62" x14ac:dyDescent="0.2">
      <c r="A40" s="54" t="s">
        <v>146</v>
      </c>
      <c r="B40" s="147">
        <f ca="1">ROUND((_Pat_Gewicht)*INDEX(NeoBerAdvies!$B$8:$G$15,8,$C$4),0)</f>
        <v>0</v>
      </c>
      <c r="C40" s="54">
        <f>ROUND(IF(AND(B21,(D40-5000)&gt;0),(D40-5000),0),0)</f>
        <v>0</v>
      </c>
      <c r="D40" s="54">
        <v>5000</v>
      </c>
      <c r="F40" s="54">
        <v>1</v>
      </c>
      <c r="P40" s="261" t="str">
        <f>INDEX(Tbl_Neo_IntralipidSmof,Var_Neo_InfB_TPN_IntralipidSmof)</f>
        <v>Intralipid 20% (incl vitintra)</v>
      </c>
      <c r="Q40" s="261" t="str">
        <f>IF(C40&gt;0,ROUNDUP(C40/24,1)&amp;" ml/uur","")</f>
        <v/>
      </c>
      <c r="AI40" s="261" t="str">
        <f>IF(AND(Var_Neo_InfB_TPN_Parenteraal,C40&gt;0),"verw","")</f>
        <v/>
      </c>
      <c r="AJ40" s="261" t="str">
        <f>IF(AND(Var_Neo_InfB_TPN_Parenteraal),"stand","")</f>
        <v/>
      </c>
      <c r="AL40" s="54">
        <f>C40</f>
        <v>0</v>
      </c>
      <c r="AM40" s="261">
        <f t="shared" ref="AM40:AX40" si="40">IF($C40&gt;0,VLOOKUP($P40,Tbl_Glob_ParEnt,AM$1,FALSE),0)*$AL40</f>
        <v>0</v>
      </c>
      <c r="AN40" s="261">
        <f t="shared" si="40"/>
        <v>0</v>
      </c>
      <c r="AO40" s="261">
        <f t="shared" si="40"/>
        <v>0</v>
      </c>
      <c r="AP40" s="261">
        <f t="shared" si="40"/>
        <v>0</v>
      </c>
      <c r="AQ40" s="261">
        <f t="shared" si="40"/>
        <v>0</v>
      </c>
      <c r="AR40" s="261">
        <f t="shared" si="40"/>
        <v>0</v>
      </c>
      <c r="AS40" s="261">
        <f t="shared" si="40"/>
        <v>0</v>
      </c>
      <c r="AT40" s="261">
        <f t="shared" si="40"/>
        <v>0</v>
      </c>
      <c r="AU40" s="261">
        <f t="shared" si="40"/>
        <v>0</v>
      </c>
      <c r="AV40" s="261">
        <f t="shared" si="40"/>
        <v>0</v>
      </c>
      <c r="AW40" s="261">
        <f t="shared" si="40"/>
        <v>0</v>
      </c>
      <c r="AX40" s="261">
        <f t="shared" si="40"/>
        <v>0</v>
      </c>
      <c r="BB40" s="54" t="str">
        <f>IF(C40&lt;&gt;0,CONCATENATE("Intralipid 20% (incl.vitintra) ",ROUNDUP(C40/24,1)," ml/uur"),"")</f>
        <v/>
      </c>
      <c r="BC40" s="261"/>
    </row>
    <row r="41" spans="1:62" x14ac:dyDescent="0.2">
      <c r="A41" s="54" t="s">
        <v>4241</v>
      </c>
      <c r="B41" s="147"/>
      <c r="D41" s="54">
        <v>1</v>
      </c>
      <c r="O41" s="261" t="str">
        <f>IF(Var_Neo_InfB_TPN_Parenteraal,ROUND(SUM(AL42:AL50),1)&amp;" ml","")</f>
        <v/>
      </c>
      <c r="Q41" s="261" t="str">
        <f>IF(Var_Neo_InfB_TPN_Parenteraal,ROUNDUP(SUM(AL42:AL50)/24,1)&amp;" ml/uur","")</f>
        <v/>
      </c>
      <c r="AM41" s="261"/>
      <c r="AN41" s="261"/>
      <c r="AO41" s="261"/>
      <c r="AP41" s="261"/>
      <c r="AQ41" s="261"/>
      <c r="AR41" s="261"/>
      <c r="AS41" s="261"/>
      <c r="AT41" s="261"/>
      <c r="AU41" s="261"/>
      <c r="AV41" s="261"/>
      <c r="AW41" s="261"/>
      <c r="BB41" s="54" t="str">
        <f>IF(Q41="","","TPN "&amp;O41&amp;" ("&amp;Q41&amp;")")</f>
        <v/>
      </c>
    </row>
    <row r="42" spans="1:62" x14ac:dyDescent="0.2">
      <c r="A42" s="54" t="s">
        <v>7890</v>
      </c>
      <c r="B42" s="147">
        <f ca="1">ROUND((_Pat_Gewicht)*INDEX(NeoBerAdvies!$B$8:$G$15,2,$C$4),0)</f>
        <v>0</v>
      </c>
      <c r="C42" s="54">
        <f>IF(AND($B$21,(D42-5000)/10&gt;0),ROUND((D42-5000)/10,1),0)</f>
        <v>0</v>
      </c>
      <c r="D42" s="54">
        <v>5000</v>
      </c>
      <c r="O42" s="261" t="str">
        <f>IF(AL42&gt;0,AL42&amp;" ml","")</f>
        <v/>
      </c>
      <c r="P42" s="261" t="str">
        <f t="shared" ref="P42:P47" si="41">A42</f>
        <v>NaCl 3%</v>
      </c>
      <c r="AI42" s="261" t="str">
        <f>IF(AL42=0,"","verw")</f>
        <v/>
      </c>
      <c r="AL42" s="54">
        <f>IF(OR($D$41=2,$D$41=3),C42,0)</f>
        <v>0</v>
      </c>
      <c r="AM42" s="261">
        <f t="shared" ref="AM42:AX50" si="42">IF($C42&gt;0,VLOOKUP($P42,Tbl_Glob_ParEnt,AM$1,FALSE),0)*$AL42</f>
        <v>0</v>
      </c>
      <c r="AN42" s="261">
        <f t="shared" si="42"/>
        <v>0</v>
      </c>
      <c r="AO42" s="261">
        <f t="shared" si="42"/>
        <v>0</v>
      </c>
      <c r="AP42" s="261">
        <f t="shared" si="42"/>
        <v>0</v>
      </c>
      <c r="AQ42" s="261">
        <f t="shared" si="42"/>
        <v>0</v>
      </c>
      <c r="AR42" s="261">
        <f t="shared" si="42"/>
        <v>0</v>
      </c>
      <c r="AS42" s="261">
        <f t="shared" si="42"/>
        <v>0</v>
      </c>
      <c r="AT42" s="261">
        <f t="shared" si="42"/>
        <v>0</v>
      </c>
      <c r="AU42" s="261">
        <f t="shared" si="42"/>
        <v>0</v>
      </c>
      <c r="AV42" s="261">
        <f t="shared" si="42"/>
        <v>0</v>
      </c>
      <c r="AW42" s="261">
        <f t="shared" si="42"/>
        <v>0</v>
      </c>
      <c r="AX42" s="261">
        <f t="shared" si="42"/>
        <v>0</v>
      </c>
      <c r="AZ42" s="367"/>
      <c r="BA42" s="367"/>
      <c r="BB42" s="54" t="str">
        <f>IF(O42="","",P42&amp;" "&amp;O42)</f>
        <v/>
      </c>
      <c r="BD42" s="367"/>
      <c r="BE42" s="367"/>
      <c r="BF42" s="367"/>
      <c r="BG42" s="367"/>
      <c r="BH42" s="367"/>
      <c r="BI42" s="367"/>
      <c r="BJ42" s="367"/>
    </row>
    <row r="43" spans="1:62" x14ac:dyDescent="0.2">
      <c r="A43" s="54" t="s">
        <v>434</v>
      </c>
      <c r="B43" s="147">
        <f ca="1">ROUND((_Pat_Gewicht)*INDEX(NeoBerAdvies!$B$8:$G$15,3,$C$4),0)</f>
        <v>0</v>
      </c>
      <c r="C43" s="54">
        <f>IF(AND($B$21,(D43-5000)/10&gt;0),ROUND((D43-5000)/10,1),0)</f>
        <v>0</v>
      </c>
      <c r="D43" s="54">
        <v>5000</v>
      </c>
      <c r="O43" s="261" t="str">
        <f t="shared" ref="O43:O50" si="43">IF(AL43&gt;0,AL43&amp;" ml","")</f>
        <v/>
      </c>
      <c r="P43" s="261" t="str">
        <f t="shared" si="41"/>
        <v>Kacetaat</v>
      </c>
      <c r="AI43" s="772" t="str">
        <f t="shared" ref="AI43:AI49" si="44">IF(AL43=0,"","verw")</f>
        <v/>
      </c>
      <c r="AL43" s="54">
        <f>IF(OR($D$41=2,$D$41=3),C43,0)</f>
        <v>0</v>
      </c>
      <c r="AM43" s="261">
        <f t="shared" si="42"/>
        <v>0</v>
      </c>
      <c r="AN43" s="261">
        <f t="shared" si="42"/>
        <v>0</v>
      </c>
      <c r="AO43" s="261">
        <f t="shared" si="42"/>
        <v>0</v>
      </c>
      <c r="AP43" s="261">
        <f t="shared" si="42"/>
        <v>0</v>
      </c>
      <c r="AQ43" s="261">
        <f t="shared" si="42"/>
        <v>0</v>
      </c>
      <c r="AR43" s="261">
        <f t="shared" si="42"/>
        <v>0</v>
      </c>
      <c r="AS43" s="261">
        <f t="shared" si="42"/>
        <v>0</v>
      </c>
      <c r="AT43" s="261">
        <f t="shared" si="42"/>
        <v>0</v>
      </c>
      <c r="AU43" s="261">
        <f t="shared" si="42"/>
        <v>0</v>
      </c>
      <c r="AV43" s="261">
        <f t="shared" si="42"/>
        <v>0</v>
      </c>
      <c r="AW43" s="261">
        <f t="shared" si="42"/>
        <v>0</v>
      </c>
      <c r="AX43" s="261">
        <f t="shared" si="42"/>
        <v>0</v>
      </c>
      <c r="BB43" s="261" t="str">
        <f t="shared" ref="BB43:BB50" si="45">IF(O43="","",P43&amp;" "&amp;O43)</f>
        <v/>
      </c>
    </row>
    <row r="44" spans="1:62" x14ac:dyDescent="0.2">
      <c r="A44" s="54" t="s">
        <v>7426</v>
      </c>
      <c r="B44" s="147">
        <f ca="1">ROUND((_Pat_Gewicht)*INDEX(NeoBerAdvies!$B$8:$G$15,4,$C$4),0)</f>
        <v>0</v>
      </c>
      <c r="C44" s="54">
        <f>IF(AND($B$21,(D44-5000)/10&gt;0),ROUND((D44-5000)/10,1),0)</f>
        <v>0</v>
      </c>
      <c r="D44" s="54">
        <v>5000</v>
      </c>
      <c r="O44" s="261" t="str">
        <f t="shared" si="43"/>
        <v/>
      </c>
      <c r="P44" s="261" t="str">
        <f t="shared" si="41"/>
        <v>CaCl2 3,3%</v>
      </c>
      <c r="AI44" s="772" t="str">
        <f t="shared" si="44"/>
        <v/>
      </c>
      <c r="AL44" s="54">
        <f>IF($D$41=3,C44,0)</f>
        <v>0</v>
      </c>
      <c r="AM44" s="261">
        <f t="shared" si="42"/>
        <v>0</v>
      </c>
      <c r="AN44" s="261">
        <f t="shared" si="42"/>
        <v>0</v>
      </c>
      <c r="AO44" s="261">
        <f t="shared" si="42"/>
        <v>0</v>
      </c>
      <c r="AP44" s="261">
        <f t="shared" si="42"/>
        <v>0</v>
      </c>
      <c r="AQ44" s="261">
        <f t="shared" si="42"/>
        <v>0</v>
      </c>
      <c r="AR44" s="261">
        <f t="shared" si="42"/>
        <v>0</v>
      </c>
      <c r="AS44" s="261">
        <f t="shared" si="42"/>
        <v>0</v>
      </c>
      <c r="AT44" s="261">
        <f t="shared" si="42"/>
        <v>0</v>
      </c>
      <c r="AU44" s="261">
        <f t="shared" si="42"/>
        <v>0</v>
      </c>
      <c r="AV44" s="261">
        <f t="shared" si="42"/>
        <v>0</v>
      </c>
      <c r="AW44" s="261">
        <f t="shared" si="42"/>
        <v>0</v>
      </c>
      <c r="AX44" s="261">
        <f t="shared" si="42"/>
        <v>0</v>
      </c>
      <c r="BB44" s="261" t="str">
        <f t="shared" si="45"/>
        <v/>
      </c>
      <c r="BC44" s="367"/>
    </row>
    <row r="45" spans="1:62" x14ac:dyDescent="0.2">
      <c r="A45" s="54" t="s">
        <v>7427</v>
      </c>
      <c r="B45" s="147">
        <f ca="1">ROUND((_Pat_Gewicht)*INDEX(NeoBerAdvies!$B$8:$G$15,5,$C$4),1)</f>
        <v>0</v>
      </c>
      <c r="C45" s="54">
        <f>IF(AND($B$21,(D45-5000)/10&gt;0),ROUND((D45-5000)/10,1),0)</f>
        <v>0</v>
      </c>
      <c r="D45" s="54">
        <v>5000</v>
      </c>
      <c r="O45" s="261" t="str">
        <f t="shared" si="43"/>
        <v/>
      </c>
      <c r="P45" s="261" t="str">
        <f t="shared" si="41"/>
        <v>MgCl2 10%</v>
      </c>
      <c r="AI45" s="772" t="str">
        <f t="shared" si="44"/>
        <v/>
      </c>
      <c r="AL45" s="54">
        <f>IF($D$41=3,C45,0)</f>
        <v>0</v>
      </c>
      <c r="AM45" s="261">
        <f t="shared" si="42"/>
        <v>0</v>
      </c>
      <c r="AN45" s="261">
        <f t="shared" si="42"/>
        <v>0</v>
      </c>
      <c r="AO45" s="261">
        <f t="shared" si="42"/>
        <v>0</v>
      </c>
      <c r="AP45" s="261">
        <f t="shared" si="42"/>
        <v>0</v>
      </c>
      <c r="AQ45" s="261">
        <f t="shared" si="42"/>
        <v>0</v>
      </c>
      <c r="AR45" s="261">
        <f t="shared" si="42"/>
        <v>0</v>
      </c>
      <c r="AS45" s="261">
        <f t="shared" si="42"/>
        <v>0</v>
      </c>
      <c r="AT45" s="261">
        <f t="shared" si="42"/>
        <v>0</v>
      </c>
      <c r="AU45" s="261">
        <f t="shared" si="42"/>
        <v>0</v>
      </c>
      <c r="AV45" s="261">
        <f t="shared" si="42"/>
        <v>0</v>
      </c>
      <c r="AW45" s="261">
        <f t="shared" si="42"/>
        <v>0</v>
      </c>
      <c r="AX45" s="261">
        <f t="shared" si="42"/>
        <v>0</v>
      </c>
      <c r="BB45" s="261" t="str">
        <f t="shared" si="45"/>
        <v/>
      </c>
    </row>
    <row r="46" spans="1:62" x14ac:dyDescent="0.2">
      <c r="A46" s="54" t="s">
        <v>149</v>
      </c>
      <c r="B46" s="147">
        <f ca="1">ROUND((_Pat_Gewicht)*INDEX(NeoBerAdvies!$B$8:$G$15,6,$C$4),1)</f>
        <v>0</v>
      </c>
      <c r="C46" s="54">
        <f>IF(AND($B$21,(D46-5000)/10&gt;0),ROUND((D46-5000)/10,1),0)</f>
        <v>0</v>
      </c>
      <c r="D46" s="54">
        <v>5000</v>
      </c>
      <c r="O46" s="261" t="str">
        <f t="shared" si="43"/>
        <v/>
      </c>
      <c r="P46" s="261" t="str">
        <f t="shared" si="41"/>
        <v>Soluvit</v>
      </c>
      <c r="AI46" s="772" t="str">
        <f t="shared" si="44"/>
        <v/>
      </c>
      <c r="AL46" s="54">
        <f>IF($D$41=3,C46,0)</f>
        <v>0</v>
      </c>
      <c r="AM46" s="261">
        <f t="shared" si="42"/>
        <v>0</v>
      </c>
      <c r="AN46" s="261">
        <f t="shared" si="42"/>
        <v>0</v>
      </c>
      <c r="AO46" s="261">
        <f t="shared" si="42"/>
        <v>0</v>
      </c>
      <c r="AP46" s="261">
        <f t="shared" si="42"/>
        <v>0</v>
      </c>
      <c r="AQ46" s="261">
        <f t="shared" si="42"/>
        <v>0</v>
      </c>
      <c r="AR46" s="261">
        <f t="shared" si="42"/>
        <v>0</v>
      </c>
      <c r="AS46" s="261">
        <f t="shared" si="42"/>
        <v>0</v>
      </c>
      <c r="AT46" s="261">
        <f t="shared" si="42"/>
        <v>0</v>
      </c>
      <c r="AU46" s="261">
        <f t="shared" si="42"/>
        <v>0</v>
      </c>
      <c r="AV46" s="261">
        <f t="shared" si="42"/>
        <v>0</v>
      </c>
      <c r="AW46" s="261">
        <f t="shared" si="42"/>
        <v>0</v>
      </c>
      <c r="AX46" s="261">
        <f t="shared" si="42"/>
        <v>0</v>
      </c>
      <c r="BB46" s="261" t="str">
        <f t="shared" si="45"/>
        <v/>
      </c>
    </row>
    <row r="47" spans="1:62" x14ac:dyDescent="0.2">
      <c r="A47" s="54" t="s">
        <v>403</v>
      </c>
      <c r="B47" s="147">
        <f ca="1">ROUND((_Pat_Gewicht)*INDEX(NeoBerAdvies!$B$8:$G$15,7,$C$4),0)</f>
        <v>0</v>
      </c>
      <c r="C47" s="54">
        <f>IF(AND($B$21,(D47-5000)&gt;0),ROUND((D47-5000),0),0)</f>
        <v>0</v>
      </c>
      <c r="D47" s="54">
        <v>5000</v>
      </c>
      <c r="O47" s="261" t="str">
        <f t="shared" si="43"/>
        <v/>
      </c>
      <c r="P47" s="261" t="str">
        <f t="shared" si="41"/>
        <v>Primene</v>
      </c>
      <c r="AI47" s="772" t="str">
        <f t="shared" si="44"/>
        <v/>
      </c>
      <c r="AL47" s="54">
        <f>C47</f>
        <v>0</v>
      </c>
      <c r="AM47" s="261">
        <f t="shared" si="42"/>
        <v>0</v>
      </c>
      <c r="AN47" s="261">
        <f t="shared" si="42"/>
        <v>0</v>
      </c>
      <c r="AO47" s="261">
        <f t="shared" si="42"/>
        <v>0</v>
      </c>
      <c r="AP47" s="261">
        <f t="shared" si="42"/>
        <v>0</v>
      </c>
      <c r="AQ47" s="261">
        <f t="shared" si="42"/>
        <v>0</v>
      </c>
      <c r="AR47" s="261">
        <f t="shared" si="42"/>
        <v>0</v>
      </c>
      <c r="AS47" s="261">
        <f t="shared" si="42"/>
        <v>0</v>
      </c>
      <c r="AT47" s="261">
        <f t="shared" si="42"/>
        <v>0</v>
      </c>
      <c r="AU47" s="261">
        <f t="shared" si="42"/>
        <v>0</v>
      </c>
      <c r="AV47" s="261">
        <f t="shared" si="42"/>
        <v>0</v>
      </c>
      <c r="AW47" s="261">
        <f t="shared" si="42"/>
        <v>0</v>
      </c>
      <c r="AX47" s="261">
        <f t="shared" si="42"/>
        <v>0</v>
      </c>
      <c r="BB47" s="261" t="str">
        <f t="shared" si="45"/>
        <v/>
      </c>
    </row>
    <row r="48" spans="1:62" x14ac:dyDescent="0.2">
      <c r="A48" s="54" t="s">
        <v>404</v>
      </c>
      <c r="B48" s="147">
        <f ca="1">ROUND((_Pat_Gewicht)*INDEX(NeoBerAdvies!$B$8:$G$15,1,$C$4),1)</f>
        <v>0</v>
      </c>
      <c r="C48" s="54">
        <f>ROUND(IF(AND($B$21,(D48-5000)&gt;0),(D48-5000),0),0)</f>
        <v>0</v>
      </c>
      <c r="D48" s="54">
        <v>5000</v>
      </c>
      <c r="O48" s="261" t="str">
        <f t="shared" si="43"/>
        <v/>
      </c>
      <c r="P48" s="261" t="s">
        <v>464</v>
      </c>
      <c r="AI48" s="772" t="str">
        <f t="shared" si="44"/>
        <v/>
      </c>
      <c r="AL48" s="54">
        <f>IF(D41=1,C48,0)</f>
        <v>0</v>
      </c>
      <c r="AM48" s="261">
        <f t="shared" si="42"/>
        <v>0</v>
      </c>
      <c r="AN48" s="261">
        <f t="shared" si="42"/>
        <v>0</v>
      </c>
      <c r="AO48" s="261">
        <f t="shared" si="42"/>
        <v>0</v>
      </c>
      <c r="AP48" s="261">
        <f t="shared" si="42"/>
        <v>0</v>
      </c>
      <c r="AQ48" s="261">
        <f t="shared" si="42"/>
        <v>0</v>
      </c>
      <c r="AR48" s="261">
        <f t="shared" si="42"/>
        <v>0</v>
      </c>
      <c r="AS48" s="261">
        <f t="shared" si="42"/>
        <v>0</v>
      </c>
      <c r="AT48" s="261">
        <f t="shared" si="42"/>
        <v>0</v>
      </c>
      <c r="AU48" s="261">
        <f t="shared" si="42"/>
        <v>0</v>
      </c>
      <c r="AV48" s="261">
        <f t="shared" si="42"/>
        <v>0</v>
      </c>
      <c r="AW48" s="261">
        <f t="shared" si="42"/>
        <v>0</v>
      </c>
      <c r="AX48" s="261">
        <f t="shared" si="42"/>
        <v>0</v>
      </c>
      <c r="BB48" s="261" t="str">
        <f t="shared" si="45"/>
        <v/>
      </c>
    </row>
    <row r="49" spans="1:55" x14ac:dyDescent="0.2">
      <c r="A49" s="54" t="s">
        <v>256</v>
      </c>
      <c r="B49" s="147">
        <f ca="1">ROUND((_Pat_Gewicht)*INDEX(NeoBerAdvies!$B$8:$G$15,1,$C$4),1)</f>
        <v>0</v>
      </c>
      <c r="C49" s="54">
        <f>ROUND(IF(AND($B$21,(D49-5000)&gt;0),(D49-5000),0),0)</f>
        <v>0</v>
      </c>
      <c r="D49" s="54">
        <v>5000</v>
      </c>
      <c r="O49" s="261" t="str">
        <f t="shared" si="43"/>
        <v/>
      </c>
      <c r="P49" s="261" t="str">
        <f>A49</f>
        <v>Samenstelling B</v>
      </c>
      <c r="AI49" s="772" t="str">
        <f t="shared" si="44"/>
        <v/>
      </c>
      <c r="AL49" s="54">
        <f>IF(D41=2,C49,0)</f>
        <v>0</v>
      </c>
      <c r="AM49" s="261">
        <f t="shared" si="42"/>
        <v>0</v>
      </c>
      <c r="AN49" s="261">
        <f t="shared" si="42"/>
        <v>0</v>
      </c>
      <c r="AO49" s="261">
        <f t="shared" si="42"/>
        <v>0</v>
      </c>
      <c r="AP49" s="261">
        <f t="shared" si="42"/>
        <v>0</v>
      </c>
      <c r="AQ49" s="261">
        <f t="shared" si="42"/>
        <v>0</v>
      </c>
      <c r="AR49" s="261">
        <f t="shared" si="42"/>
        <v>0</v>
      </c>
      <c r="AS49" s="261">
        <f t="shared" si="42"/>
        <v>0</v>
      </c>
      <c r="AT49" s="261">
        <f t="shared" si="42"/>
        <v>0</v>
      </c>
      <c r="AU49" s="261">
        <f t="shared" si="42"/>
        <v>0</v>
      </c>
      <c r="AV49" s="261">
        <f t="shared" si="42"/>
        <v>0</v>
      </c>
      <c r="AW49" s="261">
        <f t="shared" si="42"/>
        <v>0</v>
      </c>
      <c r="AX49" s="261">
        <f t="shared" si="42"/>
        <v>0</v>
      </c>
      <c r="BB49" s="261" t="str">
        <f t="shared" si="45"/>
        <v/>
      </c>
    </row>
    <row r="50" spans="1:55" x14ac:dyDescent="0.2">
      <c r="A50" s="54" t="s">
        <v>479</v>
      </c>
      <c r="C50" s="54">
        <f>AL50</f>
        <v>0</v>
      </c>
      <c r="D50" s="54">
        <v>2</v>
      </c>
      <c r="O50" s="261" t="str">
        <f t="shared" si="43"/>
        <v/>
      </c>
      <c r="P50" s="261" t="str">
        <f>IF(D50&gt;0,INDEX(Tbl_Neo_OplVlst,D50+1,1),"")</f>
        <v>glucose 10%</v>
      </c>
      <c r="AE50" s="261" t="b">
        <f>C50&lt;0</f>
        <v>0</v>
      </c>
      <c r="AL50" s="54">
        <f>IF(B21,ROUND(C21-SUM(AL22:AL49),1),0)</f>
        <v>0</v>
      </c>
      <c r="AM50" s="261">
        <f t="shared" si="42"/>
        <v>0</v>
      </c>
      <c r="AN50" s="261">
        <f t="shared" si="42"/>
        <v>0</v>
      </c>
      <c r="AO50" s="261">
        <f t="shared" si="42"/>
        <v>0</v>
      </c>
      <c r="AP50" s="261">
        <f t="shared" si="42"/>
        <v>0</v>
      </c>
      <c r="AQ50" s="261">
        <f t="shared" si="42"/>
        <v>0</v>
      </c>
      <c r="AR50" s="261">
        <f t="shared" si="42"/>
        <v>0</v>
      </c>
      <c r="AS50" s="261">
        <f t="shared" si="42"/>
        <v>0</v>
      </c>
      <c r="AT50" s="261">
        <f t="shared" si="42"/>
        <v>0</v>
      </c>
      <c r="AU50" s="261">
        <f t="shared" si="42"/>
        <v>0</v>
      </c>
      <c r="AV50" s="261">
        <f t="shared" si="42"/>
        <v>0</v>
      </c>
      <c r="AW50" s="261">
        <f t="shared" si="42"/>
        <v>0</v>
      </c>
      <c r="AX50" s="261">
        <f t="shared" si="42"/>
        <v>0</v>
      </c>
      <c r="BB50" s="261" t="str">
        <f t="shared" si="45"/>
        <v/>
      </c>
    </row>
    <row r="51" spans="1:55" s="261" customFormat="1" x14ac:dyDescent="0.2">
      <c r="BC51" s="54"/>
    </row>
    <row r="52" spans="1:55" s="261" customFormat="1" x14ac:dyDescent="0.2">
      <c r="A52" s="54" t="s">
        <v>151</v>
      </c>
      <c r="B52" s="54"/>
      <c r="C52" s="54"/>
      <c r="D52" s="54"/>
      <c r="E52" s="54"/>
      <c r="F52" s="54"/>
      <c r="G52" s="54"/>
      <c r="H52" s="54"/>
      <c r="I52" s="54"/>
      <c r="AL52" s="54">
        <f>AL9</f>
        <v>0</v>
      </c>
      <c r="AM52" s="378">
        <f t="shared" ref="AM52:AX52" si="46">SUM(AM9:AM19)</f>
        <v>0</v>
      </c>
      <c r="AN52" s="378">
        <f t="shared" si="46"/>
        <v>0</v>
      </c>
      <c r="AO52" s="378">
        <f t="shared" si="46"/>
        <v>0</v>
      </c>
      <c r="AP52" s="378">
        <f t="shared" si="46"/>
        <v>0</v>
      </c>
      <c r="AQ52" s="378">
        <f t="shared" si="46"/>
        <v>0</v>
      </c>
      <c r="AR52" s="378">
        <f t="shared" si="46"/>
        <v>0</v>
      </c>
      <c r="AS52" s="378">
        <f t="shared" si="46"/>
        <v>0</v>
      </c>
      <c r="AT52" s="378">
        <f t="shared" si="46"/>
        <v>0</v>
      </c>
      <c r="AU52" s="378">
        <f t="shared" si="46"/>
        <v>0</v>
      </c>
      <c r="AV52" s="378">
        <f t="shared" si="46"/>
        <v>0</v>
      </c>
      <c r="AW52" s="378">
        <f t="shared" si="46"/>
        <v>0</v>
      </c>
      <c r="AX52" s="378">
        <f t="shared" si="46"/>
        <v>0</v>
      </c>
      <c r="BC52" s="54"/>
    </row>
    <row r="53" spans="1:55" x14ac:dyDescent="0.2">
      <c r="A53" s="54" t="s">
        <v>150</v>
      </c>
      <c r="AL53" s="54">
        <f>SUM(AL22:AL50)</f>
        <v>0</v>
      </c>
      <c r="AM53" s="54">
        <f>SUM(AM22:AM50)</f>
        <v>0</v>
      </c>
      <c r="AN53" s="261">
        <f t="shared" ref="AN53:AX53" si="47">SUM(AN22:AN50)</f>
        <v>0</v>
      </c>
      <c r="AO53" s="261">
        <f t="shared" si="47"/>
        <v>0</v>
      </c>
      <c r="AP53" s="261">
        <f t="shared" si="47"/>
        <v>0</v>
      </c>
      <c r="AQ53" s="261">
        <f t="shared" si="47"/>
        <v>0</v>
      </c>
      <c r="AR53" s="261">
        <f t="shared" si="47"/>
        <v>0</v>
      </c>
      <c r="AS53" s="261">
        <f>SUM(AS22:AS50)</f>
        <v>0</v>
      </c>
      <c r="AT53" s="261">
        <f t="shared" si="47"/>
        <v>0</v>
      </c>
      <c r="AU53" s="261">
        <f t="shared" si="47"/>
        <v>0</v>
      </c>
      <c r="AV53" s="261">
        <f t="shared" si="47"/>
        <v>0</v>
      </c>
      <c r="AW53" s="261">
        <f t="shared" si="47"/>
        <v>0</v>
      </c>
      <c r="AX53" s="261">
        <f t="shared" si="47"/>
        <v>0</v>
      </c>
      <c r="BB53" s="261"/>
      <c r="BC53" s="261"/>
    </row>
    <row r="54" spans="1:55" x14ac:dyDescent="0.2">
      <c r="A54" s="54" t="s">
        <v>85</v>
      </c>
      <c r="AL54" s="54">
        <f>AL52+AL53</f>
        <v>0</v>
      </c>
      <c r="AM54" s="54">
        <f>AM52+AM53</f>
        <v>0</v>
      </c>
      <c r="AN54" s="261">
        <f t="shared" ref="AN54:AX54" si="48">AN52+AN53</f>
        <v>0</v>
      </c>
      <c r="AO54" s="261">
        <f t="shared" si="48"/>
        <v>0</v>
      </c>
      <c r="AP54" s="261">
        <f t="shared" si="48"/>
        <v>0</v>
      </c>
      <c r="AQ54" s="261">
        <f t="shared" si="48"/>
        <v>0</v>
      </c>
      <c r="AR54" s="261">
        <f t="shared" si="48"/>
        <v>0</v>
      </c>
      <c r="AS54" s="261">
        <f t="shared" si="48"/>
        <v>0</v>
      </c>
      <c r="AT54" s="261">
        <f t="shared" si="48"/>
        <v>0</v>
      </c>
      <c r="AU54" s="261">
        <f t="shared" si="48"/>
        <v>0</v>
      </c>
      <c r="AV54" s="261">
        <f t="shared" si="48"/>
        <v>0</v>
      </c>
      <c r="AW54" s="261">
        <f t="shared" si="48"/>
        <v>0</v>
      </c>
      <c r="AX54" s="261">
        <f t="shared" si="48"/>
        <v>0</v>
      </c>
      <c r="BB54" s="261"/>
      <c r="BC54" s="261"/>
    </row>
    <row r="55" spans="1:55" s="261" customFormat="1" x14ac:dyDescent="0.2"/>
    <row r="56" spans="1:55" s="261" customFormat="1" x14ac:dyDescent="0.2">
      <c r="A56" s="261" t="s">
        <v>151</v>
      </c>
      <c r="AL56" s="261" t="str">
        <f t="shared" ref="AL56:AR58" si="49">IF(_Pat_Gewicht&gt;0,FixPrecision(AL52/(_Pat_Gewicht),2)&amp;" "&amp;AL$60,"")</f>
        <v/>
      </c>
      <c r="AM56" s="714" t="str">
        <f t="shared" si="49"/>
        <v/>
      </c>
      <c r="AN56" s="714" t="str">
        <f t="shared" si="49"/>
        <v/>
      </c>
      <c r="AO56" s="714" t="str">
        <f t="shared" si="49"/>
        <v/>
      </c>
      <c r="AP56" s="714" t="str">
        <f t="shared" si="49"/>
        <v/>
      </c>
      <c r="AQ56" s="714" t="str">
        <f t="shared" si="49"/>
        <v/>
      </c>
      <c r="AR56" s="714" t="str">
        <f t="shared" si="49"/>
        <v/>
      </c>
      <c r="AS56" s="714" t="str">
        <f>IF(_Pat_Gewicht&gt;0,FixPrecision(AS52/1.44/(_Pat_Gewicht),2)&amp;" "&amp;AS$60,"")</f>
        <v/>
      </c>
      <c r="AT56" s="714" t="str">
        <f t="shared" ref="AT56:AV58" si="50">IF(_Pat_Gewicht&gt;0,FixPrecision(AT52/(_Pat_Gewicht),2)&amp;" "&amp;AT$60,"")</f>
        <v/>
      </c>
      <c r="AU56" s="714" t="str">
        <f t="shared" si="50"/>
        <v/>
      </c>
      <c r="AV56" s="714" t="str">
        <f t="shared" si="50"/>
        <v/>
      </c>
      <c r="AW56" s="714" t="str">
        <f>IF(_Pat_Gewicht&gt;0,FixPrecision(AW52,2)&amp;" "&amp;AW$60,"")</f>
        <v/>
      </c>
      <c r="AX56" s="714" t="str">
        <f>IF(_Pat_Gewicht&gt;0,FixPrecision(AX52/(_Pat_Gewicht),2)&amp;" "&amp;AX$60,"")</f>
        <v/>
      </c>
    </row>
    <row r="57" spans="1:55" x14ac:dyDescent="0.2">
      <c r="A57" s="54" t="s">
        <v>150</v>
      </c>
      <c r="AL57" s="714" t="str">
        <f t="shared" si="49"/>
        <v/>
      </c>
      <c r="AM57" s="714" t="str">
        <f t="shared" si="49"/>
        <v/>
      </c>
      <c r="AN57" s="714" t="str">
        <f t="shared" si="49"/>
        <v/>
      </c>
      <c r="AO57" s="714" t="str">
        <f t="shared" si="49"/>
        <v/>
      </c>
      <c r="AP57" s="714" t="str">
        <f t="shared" si="49"/>
        <v/>
      </c>
      <c r="AQ57" s="714" t="str">
        <f t="shared" si="49"/>
        <v/>
      </c>
      <c r="AR57" s="714" t="str">
        <f t="shared" si="49"/>
        <v/>
      </c>
      <c r="AS57" s="714" t="str">
        <f>IF(_Pat_Gewicht&gt;0,FixPrecision(AS53/1.44/(_Pat_Gewicht),2)&amp;" "&amp;AS$60,"")</f>
        <v/>
      </c>
      <c r="AT57" s="714" t="str">
        <f t="shared" si="50"/>
        <v/>
      </c>
      <c r="AU57" s="714" t="str">
        <f t="shared" si="50"/>
        <v/>
      </c>
      <c r="AV57" s="714" t="str">
        <f t="shared" si="50"/>
        <v/>
      </c>
      <c r="AW57" s="714" t="str">
        <f>IF(_Pat_Gewicht&gt;0,FixPrecision(AW53,2)&amp;" "&amp;AW$60,"")</f>
        <v/>
      </c>
      <c r="AX57" s="714" t="str">
        <f>IF(_Pat_Gewicht&gt;0,FixPrecision(AX53/(_Pat_Gewicht),2)&amp;" "&amp;AX$60,"")</f>
        <v/>
      </c>
    </row>
    <row r="58" spans="1:55" x14ac:dyDescent="0.2">
      <c r="A58" s="54" t="s">
        <v>4683</v>
      </c>
      <c r="J58" s="54"/>
      <c r="M58" s="54"/>
      <c r="O58" s="54"/>
      <c r="P58" s="54"/>
      <c r="Q58" s="54"/>
      <c r="R58" s="54"/>
      <c r="S58" s="54"/>
      <c r="Z58" s="54"/>
      <c r="AL58" s="714" t="str">
        <f t="shared" si="49"/>
        <v/>
      </c>
      <c r="AM58" s="714" t="str">
        <f t="shared" si="49"/>
        <v/>
      </c>
      <c r="AN58" s="714" t="str">
        <f t="shared" si="49"/>
        <v/>
      </c>
      <c r="AO58" s="714" t="str">
        <f t="shared" si="49"/>
        <v/>
      </c>
      <c r="AP58" s="714" t="str">
        <f t="shared" si="49"/>
        <v/>
      </c>
      <c r="AQ58" s="714" t="str">
        <f t="shared" si="49"/>
        <v/>
      </c>
      <c r="AR58" s="714" t="str">
        <f t="shared" si="49"/>
        <v/>
      </c>
      <c r="AS58" s="714" t="str">
        <f>IF(_Pat_Gewicht&gt;0,FixPrecision(AS54/1.44/(_Pat_Gewicht),2)&amp;" "&amp;AS$60,"")</f>
        <v/>
      </c>
      <c r="AT58" s="714" t="str">
        <f t="shared" si="50"/>
        <v/>
      </c>
      <c r="AU58" s="714" t="str">
        <f t="shared" si="50"/>
        <v/>
      </c>
      <c r="AV58" s="714" t="str">
        <f t="shared" si="50"/>
        <v/>
      </c>
      <c r="AW58" s="714" t="str">
        <f>IF(_Pat_Gewicht&gt;0,FixPrecision(AW54,2)&amp;" "&amp;AW$60,"")</f>
        <v/>
      </c>
      <c r="AX58" s="714" t="str">
        <f>IF(_Pat_Gewicht&gt;0,FixPrecision(AX54/(_Pat_Gewicht),2)&amp;" "&amp;AX$60,"")</f>
        <v/>
      </c>
    </row>
    <row r="59" spans="1:55" x14ac:dyDescent="0.2">
      <c r="J59" s="54"/>
      <c r="M59" s="54"/>
      <c r="O59" s="54"/>
      <c r="P59" s="54"/>
      <c r="Q59" s="54"/>
      <c r="R59" s="54"/>
      <c r="S59" s="54"/>
      <c r="Z59" s="54"/>
      <c r="AX59" s="54"/>
    </row>
    <row r="60" spans="1:55" x14ac:dyDescent="0.2">
      <c r="O60" s="261" t="str">
        <f>IF(O42="","",P42&amp;"::"&amp;O42)</f>
        <v/>
      </c>
      <c r="AL60" s="54" t="s">
        <v>4684</v>
      </c>
      <c r="AM60" s="54" t="s">
        <v>4685</v>
      </c>
      <c r="AN60" s="54" t="s">
        <v>4685</v>
      </c>
      <c r="AO60" s="261" t="s">
        <v>4685</v>
      </c>
      <c r="AP60" s="261" t="s">
        <v>4685</v>
      </c>
      <c r="AQ60" s="261" t="s">
        <v>4685</v>
      </c>
      <c r="AR60" s="54" t="s">
        <v>4686</v>
      </c>
      <c r="AS60" s="54" t="s">
        <v>363</v>
      </c>
      <c r="AT60" s="54" t="s">
        <v>4686</v>
      </c>
      <c r="AU60" s="54" t="s">
        <v>4687</v>
      </c>
      <c r="AV60" s="54" t="s">
        <v>4685</v>
      </c>
      <c r="AW60" s="54" t="s">
        <v>4045</v>
      </c>
      <c r="AX60" s="261" t="s">
        <v>4685</v>
      </c>
    </row>
    <row r="61" spans="1:55" x14ac:dyDescent="0.2">
      <c r="J61" s="54"/>
      <c r="M61" s="54"/>
      <c r="O61" s="708" t="str">
        <f t="shared" ref="O61:O68" si="51">IF(O43="","",P43&amp;"::"&amp;O43)</f>
        <v/>
      </c>
      <c r="P61" s="54"/>
      <c r="Q61" s="54"/>
      <c r="R61" s="54"/>
      <c r="S61" s="54"/>
      <c r="Z61" s="54"/>
      <c r="AX61" s="54"/>
    </row>
    <row r="62" spans="1:55" x14ac:dyDescent="0.2">
      <c r="J62" s="54"/>
      <c r="M62" s="54"/>
      <c r="O62" s="708" t="str">
        <f t="shared" si="51"/>
        <v/>
      </c>
      <c r="P62" s="54"/>
      <c r="Q62" s="54"/>
      <c r="R62" s="54"/>
      <c r="S62" s="54"/>
      <c r="Z62" s="54"/>
      <c r="AX62" s="54"/>
    </row>
    <row r="63" spans="1:55" x14ac:dyDescent="0.2">
      <c r="J63" s="54"/>
      <c r="M63" s="54"/>
      <c r="O63" s="708" t="str">
        <f t="shared" si="51"/>
        <v/>
      </c>
      <c r="P63" s="54"/>
      <c r="Q63" s="54"/>
      <c r="R63" s="54"/>
      <c r="S63" s="54"/>
      <c r="Z63" s="54"/>
      <c r="AX63" s="54"/>
    </row>
    <row r="64" spans="1:55" x14ac:dyDescent="0.2">
      <c r="J64" s="54"/>
      <c r="M64" s="54"/>
      <c r="O64" s="708" t="str">
        <f t="shared" si="51"/>
        <v/>
      </c>
      <c r="P64" s="54"/>
      <c r="Q64" s="54"/>
      <c r="R64" s="54"/>
      <c r="S64" s="54"/>
      <c r="Z64" s="54"/>
      <c r="AX64" s="54"/>
    </row>
    <row r="65" spans="10:55" x14ac:dyDescent="0.2">
      <c r="J65" s="54"/>
      <c r="M65" s="54"/>
      <c r="O65" s="708" t="str">
        <f t="shared" si="51"/>
        <v/>
      </c>
      <c r="P65" s="54"/>
      <c r="Q65" s="54"/>
      <c r="R65" s="54"/>
      <c r="S65" s="54"/>
      <c r="Z65" s="54"/>
      <c r="AX65" s="54"/>
    </row>
    <row r="66" spans="10:55" x14ac:dyDescent="0.2">
      <c r="J66" s="54"/>
      <c r="M66" s="54"/>
      <c r="O66" s="708" t="str">
        <f t="shared" si="51"/>
        <v/>
      </c>
      <c r="P66" s="54"/>
      <c r="Q66" s="54"/>
      <c r="R66" s="54"/>
      <c r="S66" s="54"/>
      <c r="Z66" s="54"/>
      <c r="AX66" s="54"/>
    </row>
    <row r="67" spans="10:55" x14ac:dyDescent="0.2">
      <c r="J67" s="54"/>
      <c r="M67" s="54"/>
      <c r="O67" s="708" t="str">
        <f t="shared" si="51"/>
        <v/>
      </c>
      <c r="P67" s="54"/>
      <c r="Q67" s="54"/>
      <c r="R67" s="54"/>
      <c r="S67" s="54"/>
      <c r="Z67" s="54"/>
      <c r="AX67" s="54"/>
    </row>
    <row r="68" spans="10:55" x14ac:dyDescent="0.2">
      <c r="J68" s="54"/>
      <c r="M68" s="54"/>
      <c r="O68" s="708" t="str">
        <f t="shared" si="51"/>
        <v/>
      </c>
      <c r="P68" s="54"/>
      <c r="Q68" s="54"/>
      <c r="R68" s="54"/>
      <c r="S68" s="54"/>
      <c r="Z68" s="54"/>
      <c r="AX68" s="54"/>
    </row>
    <row r="69" spans="10:55" x14ac:dyDescent="0.2">
      <c r="J69" s="54"/>
      <c r="M69" s="54"/>
      <c r="O69" s="54" t="str">
        <f>ConcatenateRange(O60:O68,"##")</f>
        <v/>
      </c>
      <c r="P69" s="54"/>
      <c r="Q69" s="54"/>
      <c r="R69" s="54"/>
      <c r="S69" s="54"/>
      <c r="Z69" s="54"/>
      <c r="AX69" s="54"/>
    </row>
    <row r="70" spans="10:55" s="261" customFormat="1" x14ac:dyDescent="0.2">
      <c r="AM70" s="205"/>
      <c r="AN70" s="205"/>
      <c r="AO70" s="205"/>
      <c r="AP70" s="205"/>
      <c r="AQ70" s="205"/>
      <c r="AR70" s="205"/>
      <c r="AS70" s="205"/>
      <c r="AT70" s="205"/>
      <c r="AU70" s="205"/>
      <c r="AV70" s="205"/>
      <c r="AW70" s="205"/>
      <c r="AX70" s="205"/>
      <c r="BB70" s="54"/>
      <c r="BC70" s="54"/>
    </row>
    <row r="71" spans="10:55" s="261" customFormat="1" x14ac:dyDescent="0.2">
      <c r="AM71" s="205"/>
      <c r="AN71" s="205"/>
      <c r="AO71" s="205"/>
      <c r="AP71" s="205"/>
      <c r="AQ71" s="205"/>
      <c r="AR71" s="205"/>
      <c r="AS71" s="205"/>
      <c r="AT71" s="205"/>
      <c r="AU71" s="205"/>
      <c r="AV71" s="205"/>
      <c r="AW71" s="205"/>
      <c r="AX71" s="205"/>
      <c r="BB71" s="54"/>
      <c r="BC71" s="54"/>
    </row>
    <row r="72" spans="10:55" s="261" customFormat="1" x14ac:dyDescent="0.2">
      <c r="AM72" s="205"/>
      <c r="AN72" s="205"/>
      <c r="AO72" s="205"/>
      <c r="AP72" s="205"/>
      <c r="AQ72" s="205"/>
      <c r="AR72" s="205"/>
      <c r="AS72" s="205"/>
      <c r="AT72" s="205"/>
      <c r="AU72" s="205"/>
      <c r="AV72" s="205"/>
      <c r="AW72" s="205"/>
      <c r="AX72" s="205"/>
    </row>
    <row r="73" spans="10:55" s="261" customFormat="1" x14ac:dyDescent="0.2">
      <c r="AM73" s="205"/>
      <c r="AN73" s="205"/>
      <c r="AO73" s="205"/>
      <c r="AP73" s="205"/>
      <c r="AQ73" s="205"/>
      <c r="AR73" s="205"/>
      <c r="AS73" s="205"/>
      <c r="AT73" s="205"/>
      <c r="AU73" s="205"/>
      <c r="AV73" s="205"/>
      <c r="AW73" s="205"/>
      <c r="AX73" s="205"/>
    </row>
    <row r="74" spans="10:55" s="261" customFormat="1" x14ac:dyDescent="0.2">
      <c r="AM74" s="205"/>
      <c r="AN74" s="205"/>
      <c r="AO74" s="205"/>
      <c r="AP74" s="205"/>
      <c r="AQ74" s="205"/>
      <c r="AR74" s="205"/>
      <c r="AS74" s="205"/>
      <c r="AT74" s="205"/>
      <c r="AU74" s="205"/>
      <c r="AV74" s="205"/>
      <c r="AW74" s="205"/>
      <c r="AX74" s="205"/>
    </row>
    <row r="75" spans="10:55" s="261" customFormat="1" x14ac:dyDescent="0.2">
      <c r="AM75" s="205"/>
      <c r="AN75" s="205"/>
      <c r="AO75" s="205"/>
      <c r="AP75" s="205"/>
      <c r="AQ75" s="205"/>
      <c r="AR75" s="205"/>
      <c r="AS75" s="205"/>
      <c r="AT75" s="205"/>
      <c r="AU75" s="205"/>
      <c r="AV75" s="205"/>
      <c r="AW75" s="205"/>
      <c r="AX75" s="205"/>
    </row>
    <row r="76" spans="10:55" s="261" customFormat="1" x14ac:dyDescent="0.2">
      <c r="AM76" s="205"/>
      <c r="AN76" s="205"/>
      <c r="AO76" s="205"/>
      <c r="AP76" s="205"/>
      <c r="AQ76" s="205"/>
      <c r="AR76" s="205"/>
      <c r="AS76" s="205"/>
      <c r="AT76" s="205"/>
      <c r="AU76" s="205"/>
      <c r="AV76" s="205"/>
      <c r="AW76" s="205"/>
      <c r="AX76" s="205"/>
    </row>
    <row r="77" spans="10:55" s="261" customFormat="1" x14ac:dyDescent="0.2">
      <c r="AM77" s="205"/>
      <c r="AN77" s="205"/>
      <c r="AO77" s="205"/>
      <c r="AP77" s="205"/>
      <c r="AQ77" s="205"/>
      <c r="AR77" s="205"/>
      <c r="AS77" s="205"/>
      <c r="AT77" s="205"/>
      <c r="AU77" s="205"/>
      <c r="AV77" s="205"/>
      <c r="AW77" s="205"/>
      <c r="AX77" s="205"/>
    </row>
    <row r="78" spans="10:55" s="261" customFormat="1" x14ac:dyDescent="0.2">
      <c r="AM78" s="205"/>
      <c r="AN78" s="205"/>
      <c r="AO78" s="205"/>
      <c r="AP78" s="205"/>
      <c r="AQ78" s="205"/>
      <c r="AR78" s="205"/>
      <c r="AS78" s="205"/>
      <c r="AT78" s="205"/>
      <c r="AU78" s="205"/>
      <c r="AV78" s="205"/>
      <c r="AW78" s="205"/>
      <c r="AX78" s="205"/>
    </row>
    <row r="79" spans="10:55" x14ac:dyDescent="0.2">
      <c r="BB79" s="261"/>
      <c r="BC79" s="261"/>
    </row>
    <row r="80" spans="10:55" x14ac:dyDescent="0.2">
      <c r="AM80" s="204"/>
      <c r="BB80" s="261"/>
      <c r="BC80" s="261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4"/>
  <sheetViews>
    <sheetView topLeftCell="A64" workbookViewId="0">
      <selection activeCell="B114" sqref="B114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152" t="s">
        <v>3502</v>
      </c>
      <c r="B1" s="152" t="s">
        <v>3504</v>
      </c>
      <c r="C1" s="354" t="s">
        <v>3503</v>
      </c>
      <c r="D1" s="152" t="s">
        <v>3504</v>
      </c>
      <c r="E1" s="152" t="s">
        <v>3744</v>
      </c>
      <c r="F1" s="152" t="s">
        <v>3745</v>
      </c>
    </row>
    <row r="2" spans="1:8" x14ac:dyDescent="0.2">
      <c r="A2" s="151" t="str">
        <f>H2</f>
        <v>_Neo_InfB_Cont_ArtLijn</v>
      </c>
      <c r="B2">
        <v>0</v>
      </c>
      <c r="C2" s="151" t="str">
        <f t="shared" ref="C2:C36" si="0">REPLACE(A2,6,4,"1700")</f>
        <v>_Neo_1700_Cont_ArtLijn</v>
      </c>
      <c r="D2">
        <v>0</v>
      </c>
      <c r="E2" t="s">
        <v>3960</v>
      </c>
      <c r="F2" t="b">
        <f t="shared" ref="F2:F36" si="1">"Var"&amp;A2=E2</f>
        <v>1</v>
      </c>
      <c r="H2" s="151" t="s">
        <v>3882</v>
      </c>
    </row>
    <row r="3" spans="1:8" x14ac:dyDescent="0.2">
      <c r="A3" s="151" t="str">
        <f t="shared" ref="A3:A71" si="2">H3</f>
        <v>_Neo_InfB_Cont_MedKeuze_01</v>
      </c>
      <c r="B3">
        <v>1</v>
      </c>
      <c r="C3" s="151" t="str">
        <f t="shared" si="0"/>
        <v>_Neo_1700_Cont_MedKeuze_01</v>
      </c>
      <c r="D3">
        <v>1</v>
      </c>
      <c r="E3" t="s">
        <v>4340</v>
      </c>
      <c r="F3" s="151" t="b">
        <f t="shared" si="1"/>
        <v>1</v>
      </c>
      <c r="H3" s="151" t="s">
        <v>4290</v>
      </c>
    </row>
    <row r="4" spans="1:8" x14ac:dyDescent="0.2">
      <c r="A4" s="151" t="str">
        <f t="shared" si="2"/>
        <v>_Neo_InfB_Cont_MedKeuze_02</v>
      </c>
      <c r="B4">
        <v>1</v>
      </c>
      <c r="C4" s="151" t="str">
        <f t="shared" si="0"/>
        <v>_Neo_1700_Cont_MedKeuze_02</v>
      </c>
      <c r="D4">
        <v>1</v>
      </c>
      <c r="E4" t="s">
        <v>4341</v>
      </c>
      <c r="F4" s="151" t="b">
        <f t="shared" si="1"/>
        <v>1</v>
      </c>
      <c r="H4" s="151" t="s">
        <v>4291</v>
      </c>
    </row>
    <row r="5" spans="1:8" x14ac:dyDescent="0.2">
      <c r="A5" s="151" t="str">
        <f t="shared" si="2"/>
        <v>_Neo_InfB_Cont_MedKeuze_03</v>
      </c>
      <c r="B5">
        <v>1</v>
      </c>
      <c r="C5" s="151" t="str">
        <f t="shared" si="0"/>
        <v>_Neo_1700_Cont_MedKeuze_03</v>
      </c>
      <c r="D5">
        <v>1</v>
      </c>
      <c r="E5" t="s">
        <v>4343</v>
      </c>
      <c r="F5" s="151" t="b">
        <f t="shared" si="1"/>
        <v>1</v>
      </c>
      <c r="H5" s="151" t="s">
        <v>4292</v>
      </c>
    </row>
    <row r="6" spans="1:8" x14ac:dyDescent="0.2">
      <c r="A6" s="151" t="str">
        <f t="shared" si="2"/>
        <v>_Neo_InfB_Cont_MedKeuze_04</v>
      </c>
      <c r="B6">
        <v>1</v>
      </c>
      <c r="C6" s="151" t="str">
        <f t="shared" si="0"/>
        <v>_Neo_1700_Cont_MedKeuze_04</v>
      </c>
      <c r="D6">
        <v>1</v>
      </c>
      <c r="E6" t="s">
        <v>4345</v>
      </c>
      <c r="F6" s="151" t="b">
        <f t="shared" si="1"/>
        <v>1</v>
      </c>
      <c r="H6" s="151" t="s">
        <v>4293</v>
      </c>
    </row>
    <row r="7" spans="1:8" x14ac:dyDescent="0.2">
      <c r="A7" s="151" t="str">
        <f t="shared" si="2"/>
        <v>_Neo_InfB_Cont_MedKeuze_05</v>
      </c>
      <c r="B7">
        <v>1</v>
      </c>
      <c r="C7" s="151" t="str">
        <f t="shared" si="0"/>
        <v>_Neo_1700_Cont_MedKeuze_05</v>
      </c>
      <c r="D7">
        <v>1</v>
      </c>
      <c r="E7" t="s">
        <v>4347</v>
      </c>
      <c r="F7" s="151" t="b">
        <f t="shared" si="1"/>
        <v>1</v>
      </c>
      <c r="H7" s="151" t="s">
        <v>4294</v>
      </c>
    </row>
    <row r="8" spans="1:8" x14ac:dyDescent="0.2">
      <c r="A8" s="151" t="str">
        <f t="shared" si="2"/>
        <v>_Neo_InfB_Cont_MedKeuze_06</v>
      </c>
      <c r="B8">
        <v>1</v>
      </c>
      <c r="C8" s="151" t="str">
        <f t="shared" si="0"/>
        <v>_Neo_1700_Cont_MedKeuze_06</v>
      </c>
      <c r="D8">
        <v>1</v>
      </c>
      <c r="E8" t="s">
        <v>4348</v>
      </c>
      <c r="F8" s="151" t="b">
        <f t="shared" si="1"/>
        <v>1</v>
      </c>
      <c r="H8" s="151" t="s">
        <v>4295</v>
      </c>
    </row>
    <row r="9" spans="1:8" x14ac:dyDescent="0.2">
      <c r="A9" s="151" t="str">
        <f t="shared" si="2"/>
        <v>_Neo_InfB_Cont_MedKeuze_07</v>
      </c>
      <c r="B9">
        <v>1</v>
      </c>
      <c r="C9" s="151" t="str">
        <f t="shared" si="0"/>
        <v>_Neo_1700_Cont_MedKeuze_07</v>
      </c>
      <c r="D9">
        <v>1</v>
      </c>
      <c r="E9" t="s">
        <v>4349</v>
      </c>
      <c r="F9" s="151" t="b">
        <f t="shared" si="1"/>
        <v>1</v>
      </c>
      <c r="H9" s="151" t="s">
        <v>4296</v>
      </c>
    </row>
    <row r="10" spans="1:8" x14ac:dyDescent="0.2">
      <c r="A10" s="151" t="str">
        <f t="shared" si="2"/>
        <v>_Neo_InfB_Cont_MedKeuze_08</v>
      </c>
      <c r="B10">
        <v>1</v>
      </c>
      <c r="C10" s="151" t="str">
        <f t="shared" si="0"/>
        <v>_Neo_1700_Cont_MedKeuze_08</v>
      </c>
      <c r="D10">
        <v>1</v>
      </c>
      <c r="E10" t="s">
        <v>4351</v>
      </c>
      <c r="F10" s="151" t="b">
        <f t="shared" si="1"/>
        <v>1</v>
      </c>
      <c r="H10" s="151" t="s">
        <v>4297</v>
      </c>
    </row>
    <row r="11" spans="1:8" x14ac:dyDescent="0.2">
      <c r="A11" s="151" t="str">
        <f t="shared" si="2"/>
        <v>_Neo_InfB_Cont_MedKeuze_09</v>
      </c>
      <c r="B11">
        <v>1</v>
      </c>
      <c r="C11" s="151" t="str">
        <f t="shared" si="0"/>
        <v>_Neo_1700_Cont_MedKeuze_09</v>
      </c>
      <c r="D11">
        <v>1</v>
      </c>
      <c r="E11" t="s">
        <v>4353</v>
      </c>
      <c r="F11" s="151" t="b">
        <f t="shared" si="1"/>
        <v>1</v>
      </c>
      <c r="H11" s="151" t="s">
        <v>4298</v>
      </c>
    </row>
    <row r="12" spans="1:8" s="151" customFormat="1" x14ac:dyDescent="0.2">
      <c r="A12" s="151" t="str">
        <f t="shared" si="2"/>
        <v>_Neo_InfB_Cont_MedKeuze_10</v>
      </c>
      <c r="B12" s="151">
        <v>1</v>
      </c>
      <c r="C12" s="151" t="str">
        <f t="shared" si="0"/>
        <v>_Neo_1700_Cont_MedKeuze_10</v>
      </c>
      <c r="D12" s="151">
        <v>1</v>
      </c>
      <c r="E12" s="151" t="s">
        <v>4355</v>
      </c>
      <c r="F12" s="151" t="b">
        <f t="shared" si="1"/>
        <v>1</v>
      </c>
      <c r="H12" s="151" t="s">
        <v>4299</v>
      </c>
    </row>
    <row r="13" spans="1:8" x14ac:dyDescent="0.2">
      <c r="A13" s="151" t="str">
        <f t="shared" si="2"/>
        <v>_Neo_InfB_Cont_MedSterkte_01</v>
      </c>
      <c r="B13">
        <v>0</v>
      </c>
      <c r="C13" s="151" t="str">
        <f t="shared" si="0"/>
        <v>_Neo_1700_Cont_MedSterkte_01</v>
      </c>
      <c r="D13">
        <v>0</v>
      </c>
      <c r="E13" t="s">
        <v>4356</v>
      </c>
      <c r="F13" s="151" t="b">
        <f t="shared" si="1"/>
        <v>1</v>
      </c>
      <c r="G13" s="151"/>
      <c r="H13" s="151" t="s">
        <v>4300</v>
      </c>
    </row>
    <row r="14" spans="1:8" x14ac:dyDescent="0.2">
      <c r="A14" s="151" t="str">
        <f t="shared" si="2"/>
        <v>_Neo_InfB_Cont_MedSterkte_02</v>
      </c>
      <c r="B14">
        <v>0</v>
      </c>
      <c r="C14" s="151" t="str">
        <f t="shared" si="0"/>
        <v>_Neo_1700_Cont_MedSterkte_02</v>
      </c>
      <c r="D14">
        <v>0</v>
      </c>
      <c r="E14" t="s">
        <v>4357</v>
      </c>
      <c r="F14" s="151" t="b">
        <f t="shared" si="1"/>
        <v>1</v>
      </c>
      <c r="G14" s="151"/>
      <c r="H14" s="151" t="s">
        <v>4301</v>
      </c>
    </row>
    <row r="15" spans="1:8" x14ac:dyDescent="0.2">
      <c r="A15" s="151" t="str">
        <f t="shared" si="2"/>
        <v>_Neo_InfB_Cont_MedSterkte_03</v>
      </c>
      <c r="B15">
        <v>0</v>
      </c>
      <c r="C15" s="151" t="str">
        <f t="shared" si="0"/>
        <v>_Neo_1700_Cont_MedSterkte_03</v>
      </c>
      <c r="D15">
        <v>0</v>
      </c>
      <c r="E15" t="s">
        <v>4359</v>
      </c>
      <c r="F15" s="151" t="b">
        <f t="shared" si="1"/>
        <v>1</v>
      </c>
      <c r="G15" s="151"/>
      <c r="H15" s="151" t="s">
        <v>4302</v>
      </c>
    </row>
    <row r="16" spans="1:8" x14ac:dyDescent="0.2">
      <c r="A16" s="151" t="str">
        <f t="shared" si="2"/>
        <v>_Neo_InfB_Cont_MedSterkte_04</v>
      </c>
      <c r="B16">
        <v>0</v>
      </c>
      <c r="C16" s="151" t="str">
        <f t="shared" si="0"/>
        <v>_Neo_1700_Cont_MedSterkte_04</v>
      </c>
      <c r="D16">
        <v>0</v>
      </c>
      <c r="E16" t="s">
        <v>4361</v>
      </c>
      <c r="F16" s="151" t="b">
        <f t="shared" si="1"/>
        <v>1</v>
      </c>
      <c r="G16" s="151"/>
      <c r="H16" s="151" t="s">
        <v>4303</v>
      </c>
    </row>
    <row r="17" spans="1:8" x14ac:dyDescent="0.2">
      <c r="A17" s="151" t="str">
        <f t="shared" si="2"/>
        <v>_Neo_InfB_Cont_MedSterkte_05</v>
      </c>
      <c r="B17">
        <v>0</v>
      </c>
      <c r="C17" s="151" t="str">
        <f t="shared" si="0"/>
        <v>_Neo_1700_Cont_MedSterkte_05</v>
      </c>
      <c r="D17">
        <v>0</v>
      </c>
      <c r="E17" t="s">
        <v>4363</v>
      </c>
      <c r="F17" s="151" t="b">
        <f t="shared" si="1"/>
        <v>1</v>
      </c>
      <c r="G17" s="151"/>
      <c r="H17" s="151" t="s">
        <v>4304</v>
      </c>
    </row>
    <row r="18" spans="1:8" x14ac:dyDescent="0.2">
      <c r="A18" s="151" t="str">
        <f t="shared" si="2"/>
        <v>_Neo_InfB_Cont_MedSterkte_06</v>
      </c>
      <c r="B18">
        <v>0</v>
      </c>
      <c r="C18" s="151" t="str">
        <f t="shared" si="0"/>
        <v>_Neo_1700_Cont_MedSterkte_06</v>
      </c>
      <c r="D18">
        <v>0</v>
      </c>
      <c r="E18" t="s">
        <v>4365</v>
      </c>
      <c r="F18" s="151" t="b">
        <f t="shared" si="1"/>
        <v>1</v>
      </c>
      <c r="G18" s="151"/>
      <c r="H18" s="151" t="s">
        <v>4305</v>
      </c>
    </row>
    <row r="19" spans="1:8" x14ac:dyDescent="0.2">
      <c r="A19" s="151" t="str">
        <f t="shared" si="2"/>
        <v>_Neo_InfB_Cont_MedSterkte_07</v>
      </c>
      <c r="B19">
        <v>0</v>
      </c>
      <c r="C19" s="151" t="str">
        <f t="shared" si="0"/>
        <v>_Neo_1700_Cont_MedSterkte_07</v>
      </c>
      <c r="D19">
        <v>0</v>
      </c>
      <c r="E19" t="s">
        <v>4367</v>
      </c>
      <c r="F19" s="151" t="b">
        <f t="shared" si="1"/>
        <v>1</v>
      </c>
      <c r="G19" s="151"/>
      <c r="H19" s="151" t="s">
        <v>4306</v>
      </c>
    </row>
    <row r="20" spans="1:8" x14ac:dyDescent="0.2">
      <c r="A20" s="151" t="str">
        <f t="shared" si="2"/>
        <v>_Neo_InfB_Cont_MedSterkte_08</v>
      </c>
      <c r="B20">
        <v>0</v>
      </c>
      <c r="C20" s="151" t="str">
        <f t="shared" si="0"/>
        <v>_Neo_1700_Cont_MedSterkte_08</v>
      </c>
      <c r="D20">
        <v>0</v>
      </c>
      <c r="E20" t="s">
        <v>4369</v>
      </c>
      <c r="F20" s="151" t="b">
        <f t="shared" si="1"/>
        <v>1</v>
      </c>
      <c r="G20" s="151"/>
      <c r="H20" s="151" t="s">
        <v>4307</v>
      </c>
    </row>
    <row r="21" spans="1:8" x14ac:dyDescent="0.2">
      <c r="A21" s="151" t="str">
        <f t="shared" si="2"/>
        <v>_Neo_InfB_Cont_MedSterkte_09</v>
      </c>
      <c r="B21">
        <v>0</v>
      </c>
      <c r="C21" s="151" t="str">
        <f t="shared" si="0"/>
        <v>_Neo_1700_Cont_MedSterkte_09</v>
      </c>
      <c r="D21">
        <v>0</v>
      </c>
      <c r="E21" t="s">
        <v>4371</v>
      </c>
      <c r="F21" s="151" t="b">
        <f t="shared" si="1"/>
        <v>1</v>
      </c>
      <c r="G21" s="151"/>
      <c r="H21" s="151" t="s">
        <v>4308</v>
      </c>
    </row>
    <row r="22" spans="1:8" s="151" customFormat="1" x14ac:dyDescent="0.2">
      <c r="A22" s="151" t="str">
        <f t="shared" si="2"/>
        <v>_Neo_InfB_Cont_MedSterkte_10</v>
      </c>
      <c r="B22" s="151">
        <v>0</v>
      </c>
      <c r="C22" s="151" t="str">
        <f t="shared" si="0"/>
        <v>_Neo_1700_Cont_MedSterkte_10</v>
      </c>
      <c r="D22" s="151">
        <v>0</v>
      </c>
      <c r="E22" s="151" t="s">
        <v>4373</v>
      </c>
      <c r="F22" s="151" t="b">
        <f t="shared" si="1"/>
        <v>1</v>
      </c>
      <c r="H22" s="151" t="s">
        <v>4309</v>
      </c>
    </row>
    <row r="23" spans="1:8" x14ac:dyDescent="0.2">
      <c r="A23" s="151" t="str">
        <f t="shared" si="2"/>
        <v>_Neo_InfB_Cont_MedTekst_1</v>
      </c>
      <c r="C23" s="151" t="str">
        <f t="shared" si="0"/>
        <v>_Neo_1700_Cont_MedTekst_1</v>
      </c>
      <c r="E23" t="s">
        <v>3961</v>
      </c>
      <c r="F23" s="151" t="b">
        <f t="shared" si="1"/>
        <v>1</v>
      </c>
      <c r="G23" s="151"/>
      <c r="H23" s="151" t="s">
        <v>3883</v>
      </c>
    </row>
    <row r="24" spans="1:8" x14ac:dyDescent="0.2">
      <c r="A24" s="151" t="str">
        <f t="shared" si="2"/>
        <v>_Neo_InfB_Cont_MedTekst_2</v>
      </c>
      <c r="C24" s="151" t="str">
        <f t="shared" si="0"/>
        <v>_Neo_1700_Cont_MedTekst_2</v>
      </c>
      <c r="E24" t="s">
        <v>3962</v>
      </c>
      <c r="F24" s="151" t="b">
        <f t="shared" si="1"/>
        <v>1</v>
      </c>
      <c r="G24" s="151"/>
      <c r="H24" s="151" t="s">
        <v>3884</v>
      </c>
    </row>
    <row r="25" spans="1:8" x14ac:dyDescent="0.2">
      <c r="A25" s="151" t="str">
        <f t="shared" si="2"/>
        <v>_Neo_InfB_Cont_OplHoev_01</v>
      </c>
      <c r="B25">
        <v>0</v>
      </c>
      <c r="C25" s="151" t="str">
        <f t="shared" si="0"/>
        <v>_Neo_1700_Cont_OplHoev_01</v>
      </c>
      <c r="D25">
        <v>0</v>
      </c>
      <c r="E25" t="s">
        <v>4376</v>
      </c>
      <c r="F25" s="151" t="b">
        <f t="shared" si="1"/>
        <v>1</v>
      </c>
      <c r="H25" s="151" t="s">
        <v>4310</v>
      </c>
    </row>
    <row r="26" spans="1:8" x14ac:dyDescent="0.2">
      <c r="A26" s="151" t="str">
        <f t="shared" si="2"/>
        <v>_Neo_InfB_Cont_OplHoev_02</v>
      </c>
      <c r="B26">
        <v>0</v>
      </c>
      <c r="C26" s="151" t="str">
        <f t="shared" si="0"/>
        <v>_Neo_1700_Cont_OplHoev_02</v>
      </c>
      <c r="D26">
        <v>0</v>
      </c>
      <c r="E26" t="s">
        <v>4377</v>
      </c>
      <c r="F26" s="151" t="b">
        <f t="shared" si="1"/>
        <v>1</v>
      </c>
      <c r="H26" s="151" t="s">
        <v>4311</v>
      </c>
    </row>
    <row r="27" spans="1:8" x14ac:dyDescent="0.2">
      <c r="A27" s="151" t="str">
        <f t="shared" si="2"/>
        <v>_Neo_InfB_Cont_OplHoev_03</v>
      </c>
      <c r="B27">
        <v>0</v>
      </c>
      <c r="C27" s="151" t="str">
        <f t="shared" si="0"/>
        <v>_Neo_1700_Cont_OplHoev_03</v>
      </c>
      <c r="D27">
        <v>0</v>
      </c>
      <c r="E27" t="s">
        <v>4379</v>
      </c>
      <c r="F27" s="151" t="b">
        <f t="shared" si="1"/>
        <v>1</v>
      </c>
      <c r="H27" s="151" t="s">
        <v>4312</v>
      </c>
    </row>
    <row r="28" spans="1:8" x14ac:dyDescent="0.2">
      <c r="A28" s="151" t="str">
        <f t="shared" si="2"/>
        <v>_Neo_InfB_Cont_OplHoev_04</v>
      </c>
      <c r="B28">
        <v>0</v>
      </c>
      <c r="C28" s="151" t="str">
        <f t="shared" si="0"/>
        <v>_Neo_1700_Cont_OplHoev_04</v>
      </c>
      <c r="D28">
        <v>0</v>
      </c>
      <c r="E28" t="s">
        <v>4381</v>
      </c>
      <c r="F28" s="151" t="b">
        <f t="shared" si="1"/>
        <v>1</v>
      </c>
      <c r="H28" s="151" t="s">
        <v>4313</v>
      </c>
    </row>
    <row r="29" spans="1:8" x14ac:dyDescent="0.2">
      <c r="A29" s="151" t="str">
        <f t="shared" si="2"/>
        <v>_Neo_InfB_Cont_OplHoev_05</v>
      </c>
      <c r="B29">
        <v>0</v>
      </c>
      <c r="C29" s="151" t="str">
        <f t="shared" si="0"/>
        <v>_Neo_1700_Cont_OplHoev_05</v>
      </c>
      <c r="D29">
        <v>0</v>
      </c>
      <c r="E29" t="s">
        <v>4383</v>
      </c>
      <c r="F29" s="151" t="b">
        <f t="shared" si="1"/>
        <v>1</v>
      </c>
      <c r="H29" s="151" t="s">
        <v>4314</v>
      </c>
    </row>
    <row r="30" spans="1:8" x14ac:dyDescent="0.2">
      <c r="A30" s="151" t="str">
        <f t="shared" si="2"/>
        <v>_Neo_InfB_Cont_OplHoev_06</v>
      </c>
      <c r="B30">
        <v>0</v>
      </c>
      <c r="C30" s="151" t="str">
        <f t="shared" si="0"/>
        <v>_Neo_1700_Cont_OplHoev_06</v>
      </c>
      <c r="D30">
        <v>0</v>
      </c>
      <c r="E30" t="s">
        <v>4385</v>
      </c>
      <c r="F30" s="151" t="b">
        <f t="shared" si="1"/>
        <v>1</v>
      </c>
      <c r="H30" s="151" t="s">
        <v>4315</v>
      </c>
    </row>
    <row r="31" spans="1:8" x14ac:dyDescent="0.2">
      <c r="A31" s="151" t="str">
        <f t="shared" si="2"/>
        <v>_Neo_InfB_Cont_OplHoev_07</v>
      </c>
      <c r="B31">
        <v>0</v>
      </c>
      <c r="C31" s="151" t="str">
        <f t="shared" si="0"/>
        <v>_Neo_1700_Cont_OplHoev_07</v>
      </c>
      <c r="D31">
        <v>0</v>
      </c>
      <c r="E31" t="s">
        <v>4387</v>
      </c>
      <c r="F31" s="151" t="b">
        <f t="shared" si="1"/>
        <v>1</v>
      </c>
      <c r="H31" s="151" t="s">
        <v>4316</v>
      </c>
    </row>
    <row r="32" spans="1:8" x14ac:dyDescent="0.2">
      <c r="A32" s="151" t="str">
        <f t="shared" si="2"/>
        <v>_Neo_InfB_Cont_OplHoev_08</v>
      </c>
      <c r="B32">
        <v>0</v>
      </c>
      <c r="C32" s="151" t="str">
        <f t="shared" si="0"/>
        <v>_Neo_1700_Cont_OplHoev_08</v>
      </c>
      <c r="D32">
        <v>0</v>
      </c>
      <c r="E32" t="s">
        <v>4389</v>
      </c>
      <c r="F32" s="151" t="b">
        <f t="shared" si="1"/>
        <v>1</v>
      </c>
      <c r="H32" s="151" t="s">
        <v>4317</v>
      </c>
    </row>
    <row r="33" spans="1:8" x14ac:dyDescent="0.2">
      <c r="A33" s="151" t="str">
        <f t="shared" si="2"/>
        <v>_Neo_InfB_Cont_OplHoev_09</v>
      </c>
      <c r="B33">
        <v>0</v>
      </c>
      <c r="C33" s="151" t="str">
        <f t="shared" si="0"/>
        <v>_Neo_1700_Cont_OplHoev_09</v>
      </c>
      <c r="D33">
        <v>0</v>
      </c>
      <c r="E33" t="s">
        <v>4390</v>
      </c>
      <c r="F33" s="151" t="b">
        <f t="shared" si="1"/>
        <v>1</v>
      </c>
      <c r="H33" s="151" t="s">
        <v>4318</v>
      </c>
    </row>
    <row r="34" spans="1:8" s="151" customFormat="1" x14ac:dyDescent="0.2">
      <c r="A34" s="151" t="str">
        <f t="shared" si="2"/>
        <v>_Neo_InfB_Cont_OplHoev_10</v>
      </c>
      <c r="B34" s="151">
        <v>0</v>
      </c>
      <c r="C34" s="151" t="str">
        <f t="shared" si="0"/>
        <v>_Neo_1700_Cont_OplHoev_10</v>
      </c>
      <c r="D34" s="151">
        <v>0</v>
      </c>
      <c r="E34" s="151" t="s">
        <v>4391</v>
      </c>
      <c r="F34" s="151" t="b">
        <f t="shared" si="1"/>
        <v>1</v>
      </c>
      <c r="H34" s="151" t="s">
        <v>4319</v>
      </c>
    </row>
    <row r="35" spans="1:8" x14ac:dyDescent="0.2">
      <c r="A35" s="151" t="str">
        <f t="shared" si="2"/>
        <v>_Neo_InfB_Cont_Oplossing_01</v>
      </c>
      <c r="B35">
        <v>1</v>
      </c>
      <c r="C35" s="151" t="str">
        <f t="shared" si="0"/>
        <v>_Neo_1700_Cont_Oplossing_01</v>
      </c>
      <c r="D35">
        <v>1</v>
      </c>
      <c r="E35" t="s">
        <v>3963</v>
      </c>
      <c r="F35" s="151" t="b">
        <f t="shared" si="1"/>
        <v>1</v>
      </c>
      <c r="H35" s="151" t="s">
        <v>3885</v>
      </c>
    </row>
    <row r="36" spans="1:8" x14ac:dyDescent="0.2">
      <c r="A36" s="151" t="str">
        <f t="shared" si="2"/>
        <v>_Neo_InfB_Cont_Oplossing_02</v>
      </c>
      <c r="B36">
        <v>1</v>
      </c>
      <c r="C36" s="151" t="str">
        <f t="shared" si="0"/>
        <v>_Neo_1700_Cont_Oplossing_02</v>
      </c>
      <c r="D36">
        <v>1</v>
      </c>
      <c r="E36" t="s">
        <v>3964</v>
      </c>
      <c r="F36" s="151" t="b">
        <f t="shared" si="1"/>
        <v>1</v>
      </c>
      <c r="H36" s="151" t="s">
        <v>3886</v>
      </c>
    </row>
    <row r="37" spans="1:8" x14ac:dyDescent="0.2">
      <c r="A37" s="151" t="str">
        <f t="shared" si="2"/>
        <v>_Neo_InfB_Cont_Oplossing_03</v>
      </c>
      <c r="B37">
        <v>1</v>
      </c>
      <c r="C37" s="151" t="str">
        <f t="shared" ref="C37:C70" si="3">REPLACE(A37,6,4,"1700")</f>
        <v>_Neo_1700_Cont_Oplossing_03</v>
      </c>
      <c r="D37">
        <v>1</v>
      </c>
      <c r="E37" t="s">
        <v>3965</v>
      </c>
      <c r="F37" s="151" t="b">
        <f t="shared" ref="F37:F70" si="4">"Var"&amp;A37=E37</f>
        <v>1</v>
      </c>
      <c r="H37" s="151" t="s">
        <v>3887</v>
      </c>
    </row>
    <row r="38" spans="1:8" x14ac:dyDescent="0.2">
      <c r="A38" s="151" t="str">
        <f t="shared" si="2"/>
        <v>_Neo_InfB_Cont_Oplossing_04</v>
      </c>
      <c r="B38">
        <v>1</v>
      </c>
      <c r="C38" s="151" t="str">
        <f t="shared" si="3"/>
        <v>_Neo_1700_Cont_Oplossing_04</v>
      </c>
      <c r="D38">
        <v>1</v>
      </c>
      <c r="E38" t="s">
        <v>3966</v>
      </c>
      <c r="F38" s="151" t="b">
        <f t="shared" si="4"/>
        <v>1</v>
      </c>
      <c r="H38" s="151" t="s">
        <v>3888</v>
      </c>
    </row>
    <row r="39" spans="1:8" x14ac:dyDescent="0.2">
      <c r="A39" s="151" t="str">
        <f t="shared" si="2"/>
        <v>_Neo_InfB_Cont_Oplossing_05</v>
      </c>
      <c r="B39">
        <v>1</v>
      </c>
      <c r="C39" s="151" t="str">
        <f t="shared" si="3"/>
        <v>_Neo_1700_Cont_Oplossing_05</v>
      </c>
      <c r="D39">
        <v>1</v>
      </c>
      <c r="E39" t="s">
        <v>3967</v>
      </c>
      <c r="F39" s="151" t="b">
        <f t="shared" si="4"/>
        <v>1</v>
      </c>
      <c r="H39" s="151" t="s">
        <v>3889</v>
      </c>
    </row>
    <row r="40" spans="1:8" x14ac:dyDescent="0.2">
      <c r="A40" s="151" t="str">
        <f t="shared" si="2"/>
        <v>_Neo_InfB_Cont_Oplossing_06</v>
      </c>
      <c r="B40">
        <v>1</v>
      </c>
      <c r="C40" s="151" t="str">
        <f t="shared" si="3"/>
        <v>_Neo_1700_Cont_Oplossing_06</v>
      </c>
      <c r="D40">
        <v>1</v>
      </c>
      <c r="E40" t="s">
        <v>3968</v>
      </c>
      <c r="F40" s="151" t="b">
        <f t="shared" si="4"/>
        <v>1</v>
      </c>
      <c r="H40" s="151" t="s">
        <v>3890</v>
      </c>
    </row>
    <row r="41" spans="1:8" x14ac:dyDescent="0.2">
      <c r="A41" s="151" t="str">
        <f t="shared" si="2"/>
        <v>_Neo_InfB_Cont_Oplossing_07</v>
      </c>
      <c r="B41">
        <v>1</v>
      </c>
      <c r="C41" s="151" t="str">
        <f t="shared" si="3"/>
        <v>_Neo_1700_Cont_Oplossing_07</v>
      </c>
      <c r="D41">
        <v>1</v>
      </c>
      <c r="E41" t="s">
        <v>3969</v>
      </c>
      <c r="F41" s="151" t="b">
        <f t="shared" si="4"/>
        <v>1</v>
      </c>
      <c r="H41" s="151" t="s">
        <v>3891</v>
      </c>
    </row>
    <row r="42" spans="1:8" x14ac:dyDescent="0.2">
      <c r="A42" s="151" t="str">
        <f t="shared" si="2"/>
        <v>_Neo_InfB_Cont_Oplossing_08</v>
      </c>
      <c r="B42">
        <v>1</v>
      </c>
      <c r="C42" s="151" t="str">
        <f t="shared" si="3"/>
        <v>_Neo_1700_Cont_Oplossing_08</v>
      </c>
      <c r="D42">
        <v>1</v>
      </c>
      <c r="E42" t="s">
        <v>3970</v>
      </c>
      <c r="F42" s="151" t="b">
        <f t="shared" si="4"/>
        <v>1</v>
      </c>
      <c r="H42" s="151" t="s">
        <v>3892</v>
      </c>
    </row>
    <row r="43" spans="1:8" x14ac:dyDescent="0.2">
      <c r="A43" s="151" t="str">
        <f t="shared" si="2"/>
        <v>_Neo_InfB_Cont_Oplossing_09</v>
      </c>
      <c r="B43">
        <v>1</v>
      </c>
      <c r="C43" s="151" t="str">
        <f t="shared" si="3"/>
        <v>_Neo_1700_Cont_Oplossing_09</v>
      </c>
      <c r="D43">
        <v>1</v>
      </c>
      <c r="E43" t="s">
        <v>3971</v>
      </c>
      <c r="F43" s="151" t="b">
        <f t="shared" si="4"/>
        <v>1</v>
      </c>
      <c r="H43" s="151" t="s">
        <v>3893</v>
      </c>
    </row>
    <row r="44" spans="1:8" x14ac:dyDescent="0.2">
      <c r="A44" s="151" t="str">
        <f t="shared" si="2"/>
        <v>_Neo_InfB_Cont_Oplossing_10</v>
      </c>
      <c r="B44">
        <v>1</v>
      </c>
      <c r="C44" s="151" t="str">
        <f t="shared" si="3"/>
        <v>_Neo_1700_Cont_Oplossing_10</v>
      </c>
      <c r="D44">
        <v>1</v>
      </c>
      <c r="E44" t="s">
        <v>3972</v>
      </c>
      <c r="F44" s="151" t="b">
        <f t="shared" si="4"/>
        <v>1</v>
      </c>
      <c r="H44" s="151" t="s">
        <v>3894</v>
      </c>
    </row>
    <row r="45" spans="1:8" x14ac:dyDescent="0.2">
      <c r="A45" s="151" t="str">
        <f t="shared" si="2"/>
        <v>_Neo_InfB_Cont_Oplossing_11</v>
      </c>
      <c r="B45">
        <v>1</v>
      </c>
      <c r="C45" s="151" t="str">
        <f t="shared" si="3"/>
        <v>_Neo_1700_Cont_Oplossing_11</v>
      </c>
      <c r="D45">
        <v>1</v>
      </c>
      <c r="E45" t="s">
        <v>3973</v>
      </c>
      <c r="F45" s="151" t="b">
        <f t="shared" si="4"/>
        <v>1</v>
      </c>
      <c r="H45" s="151" t="s">
        <v>3895</v>
      </c>
    </row>
    <row r="46" spans="1:8" x14ac:dyDescent="0.2">
      <c r="A46" s="151" t="str">
        <f t="shared" si="2"/>
        <v>_Neo_InfB_Cont_Oplossing_12</v>
      </c>
      <c r="B46">
        <v>1</v>
      </c>
      <c r="C46" s="151" t="str">
        <f t="shared" si="3"/>
        <v>_Neo_1700_Cont_Oplossing_12</v>
      </c>
      <c r="D46">
        <v>1</v>
      </c>
      <c r="E46" t="s">
        <v>3974</v>
      </c>
      <c r="F46" s="151" t="b">
        <f t="shared" si="4"/>
        <v>1</v>
      </c>
      <c r="H46" s="151" t="s">
        <v>3896</v>
      </c>
    </row>
    <row r="47" spans="1:8" s="151" customFormat="1" x14ac:dyDescent="0.2">
      <c r="A47" s="151" t="str">
        <f t="shared" si="2"/>
        <v>_Neo_InfB_Cont_Oplossing_13</v>
      </c>
      <c r="B47" s="151">
        <v>1</v>
      </c>
      <c r="C47" s="151" t="str">
        <f t="shared" si="3"/>
        <v>_Neo_1700_Cont_Oplossing_13</v>
      </c>
      <c r="D47" s="151">
        <v>1</v>
      </c>
      <c r="E47" s="151" t="s">
        <v>4400</v>
      </c>
      <c r="F47" s="151" t="b">
        <f t="shared" si="4"/>
        <v>1</v>
      </c>
      <c r="H47" s="151" t="s">
        <v>4320</v>
      </c>
    </row>
    <row r="48" spans="1:8" x14ac:dyDescent="0.2">
      <c r="A48" s="151" t="str">
        <f t="shared" si="2"/>
        <v>_Neo_InfB_Cont_Stand_01</v>
      </c>
      <c r="B48">
        <v>0</v>
      </c>
      <c r="C48" s="151" t="str">
        <f t="shared" si="3"/>
        <v>_Neo_1700_Cont_Stand_01</v>
      </c>
      <c r="D48">
        <v>0</v>
      </c>
      <c r="E48" t="s">
        <v>3975</v>
      </c>
      <c r="F48" s="151" t="b">
        <f t="shared" si="4"/>
        <v>1</v>
      </c>
      <c r="H48" s="151" t="s">
        <v>3897</v>
      </c>
    </row>
    <row r="49" spans="1:8" x14ac:dyDescent="0.2">
      <c r="A49" s="151" t="str">
        <f t="shared" si="2"/>
        <v>_Neo_InfB_Cont_Stand_02</v>
      </c>
      <c r="B49">
        <v>0</v>
      </c>
      <c r="C49" s="151" t="str">
        <f t="shared" si="3"/>
        <v>_Neo_1700_Cont_Stand_02</v>
      </c>
      <c r="D49">
        <v>0</v>
      </c>
      <c r="E49" t="s">
        <v>3976</v>
      </c>
      <c r="F49" s="151" t="b">
        <f t="shared" si="4"/>
        <v>1</v>
      </c>
      <c r="H49" s="151" t="s">
        <v>3898</v>
      </c>
    </row>
    <row r="50" spans="1:8" x14ac:dyDescent="0.2">
      <c r="A50" s="151" t="str">
        <f t="shared" si="2"/>
        <v>_Neo_InfB_Cont_Stand_03</v>
      </c>
      <c r="B50">
        <v>0</v>
      </c>
      <c r="C50" s="151" t="str">
        <f t="shared" si="3"/>
        <v>_Neo_1700_Cont_Stand_03</v>
      </c>
      <c r="D50">
        <v>0</v>
      </c>
      <c r="E50" t="s">
        <v>3977</v>
      </c>
      <c r="F50" s="151" t="b">
        <f t="shared" si="4"/>
        <v>1</v>
      </c>
      <c r="H50" s="151" t="s">
        <v>3899</v>
      </c>
    </row>
    <row r="51" spans="1:8" x14ac:dyDescent="0.2">
      <c r="A51" s="151" t="str">
        <f t="shared" si="2"/>
        <v>_Neo_InfB_Cont_Stand_04</v>
      </c>
      <c r="B51">
        <v>0</v>
      </c>
      <c r="C51" s="151" t="str">
        <f t="shared" si="3"/>
        <v>_Neo_1700_Cont_Stand_04</v>
      </c>
      <c r="D51">
        <v>0</v>
      </c>
      <c r="E51" t="s">
        <v>3978</v>
      </c>
      <c r="F51" s="151" t="b">
        <f t="shared" si="4"/>
        <v>1</v>
      </c>
      <c r="H51" s="151" t="s">
        <v>3900</v>
      </c>
    </row>
    <row r="52" spans="1:8" x14ac:dyDescent="0.2">
      <c r="A52" s="151" t="str">
        <f t="shared" si="2"/>
        <v>_Neo_InfB_Cont_Stand_05</v>
      </c>
      <c r="B52">
        <v>0</v>
      </c>
      <c r="C52" s="151" t="str">
        <f t="shared" si="3"/>
        <v>_Neo_1700_Cont_Stand_05</v>
      </c>
      <c r="D52">
        <v>0</v>
      </c>
      <c r="E52" t="s">
        <v>3979</v>
      </c>
      <c r="F52" s="151" t="b">
        <f t="shared" si="4"/>
        <v>1</v>
      </c>
      <c r="H52" s="151" t="s">
        <v>3901</v>
      </c>
    </row>
    <row r="53" spans="1:8" x14ac:dyDescent="0.2">
      <c r="A53" s="151" t="str">
        <f t="shared" si="2"/>
        <v>_Neo_InfB_Cont_Stand_06</v>
      </c>
      <c r="B53">
        <v>0</v>
      </c>
      <c r="C53" s="151" t="str">
        <f t="shared" si="3"/>
        <v>_Neo_1700_Cont_Stand_06</v>
      </c>
      <c r="D53">
        <v>0</v>
      </c>
      <c r="E53" t="s">
        <v>3980</v>
      </c>
      <c r="F53" s="151" t="b">
        <f t="shared" si="4"/>
        <v>1</v>
      </c>
      <c r="H53" s="151" t="s">
        <v>3902</v>
      </c>
    </row>
    <row r="54" spans="1:8" x14ac:dyDescent="0.2">
      <c r="A54" s="151" t="str">
        <f t="shared" si="2"/>
        <v>_Neo_InfB_Cont_Stand_07</v>
      </c>
      <c r="B54">
        <v>0</v>
      </c>
      <c r="C54" s="151" t="str">
        <f t="shared" si="3"/>
        <v>_Neo_1700_Cont_Stand_07</v>
      </c>
      <c r="D54">
        <v>0</v>
      </c>
      <c r="E54" t="s">
        <v>3981</v>
      </c>
      <c r="F54" s="151" t="b">
        <f t="shared" si="4"/>
        <v>1</v>
      </c>
      <c r="H54" s="151" t="s">
        <v>3903</v>
      </c>
    </row>
    <row r="55" spans="1:8" x14ac:dyDescent="0.2">
      <c r="A55" s="151" t="str">
        <f t="shared" si="2"/>
        <v>_Neo_InfB_Cont_Stand_08</v>
      </c>
      <c r="B55">
        <v>0</v>
      </c>
      <c r="C55" s="151" t="str">
        <f t="shared" si="3"/>
        <v>_Neo_1700_Cont_Stand_08</v>
      </c>
      <c r="D55">
        <v>0</v>
      </c>
      <c r="E55" t="s">
        <v>3982</v>
      </c>
      <c r="F55" s="151" t="b">
        <f t="shared" si="4"/>
        <v>1</v>
      </c>
      <c r="H55" s="151" t="s">
        <v>3904</v>
      </c>
    </row>
    <row r="56" spans="1:8" x14ac:dyDescent="0.2">
      <c r="A56" s="151" t="str">
        <f t="shared" si="2"/>
        <v>_Neo_InfB_Cont_Stand_09</v>
      </c>
      <c r="B56">
        <v>0</v>
      </c>
      <c r="C56" s="151" t="str">
        <f t="shared" si="3"/>
        <v>_Neo_1700_Cont_Stand_09</v>
      </c>
      <c r="D56">
        <v>0</v>
      </c>
      <c r="E56" t="s">
        <v>3983</v>
      </c>
      <c r="F56" s="151" t="b">
        <f t="shared" si="4"/>
        <v>1</v>
      </c>
      <c r="H56" s="151" t="s">
        <v>3905</v>
      </c>
    </row>
    <row r="57" spans="1:8" x14ac:dyDescent="0.2">
      <c r="A57" s="151" t="str">
        <f t="shared" si="2"/>
        <v>_Neo_InfB_Cont_Stand_10</v>
      </c>
      <c r="B57">
        <v>0</v>
      </c>
      <c r="C57" s="151" t="str">
        <f t="shared" si="3"/>
        <v>_Neo_1700_Cont_Stand_10</v>
      </c>
      <c r="D57">
        <v>0</v>
      </c>
      <c r="E57" t="s">
        <v>3984</v>
      </c>
      <c r="F57" s="151" t="b">
        <f t="shared" si="4"/>
        <v>1</v>
      </c>
      <c r="H57" s="151" t="s">
        <v>3906</v>
      </c>
    </row>
    <row r="58" spans="1:8" x14ac:dyDescent="0.2">
      <c r="A58" s="151" t="str">
        <f t="shared" si="2"/>
        <v>_Neo_InfB_Cont_Stand_11</v>
      </c>
      <c r="B58">
        <v>0</v>
      </c>
      <c r="C58" s="151" t="str">
        <f t="shared" si="3"/>
        <v>_Neo_1700_Cont_Stand_11</v>
      </c>
      <c r="D58">
        <v>0</v>
      </c>
      <c r="E58" t="s">
        <v>3985</v>
      </c>
      <c r="F58" s="151" t="b">
        <f t="shared" si="4"/>
        <v>1</v>
      </c>
      <c r="H58" s="151" t="s">
        <v>3907</v>
      </c>
    </row>
    <row r="59" spans="1:8" x14ac:dyDescent="0.2">
      <c r="A59" s="151" t="str">
        <f t="shared" si="2"/>
        <v>_Neo_InfB_Cont_Stand_12</v>
      </c>
      <c r="B59">
        <v>0</v>
      </c>
      <c r="C59" s="151" t="str">
        <f t="shared" si="3"/>
        <v>_Neo_1700_Cont_Stand_12</v>
      </c>
      <c r="D59">
        <v>0</v>
      </c>
      <c r="E59" t="s">
        <v>3986</v>
      </c>
      <c r="F59" s="151" t="b">
        <f t="shared" si="4"/>
        <v>1</v>
      </c>
      <c r="H59" s="151" t="s">
        <v>3908</v>
      </c>
    </row>
    <row r="60" spans="1:8" s="151" customFormat="1" x14ac:dyDescent="0.2">
      <c r="A60" s="151" t="str">
        <f t="shared" si="2"/>
        <v>_Neo_InfB_Cont_Stand_13</v>
      </c>
      <c r="B60" s="151">
        <v>0</v>
      </c>
      <c r="C60" s="151" t="str">
        <f t="shared" si="3"/>
        <v>_Neo_1700_Cont_Stand_13</v>
      </c>
      <c r="D60" s="151">
        <v>0</v>
      </c>
      <c r="E60" s="151" t="s">
        <v>4408</v>
      </c>
      <c r="F60" s="151" t="b">
        <f t="shared" si="4"/>
        <v>1</v>
      </c>
      <c r="H60" s="151" t="s">
        <v>4321</v>
      </c>
    </row>
    <row r="61" spans="1:8" x14ac:dyDescent="0.2">
      <c r="A61" s="151" t="str">
        <f t="shared" si="2"/>
        <v>_Neo_InfB_Cont_VochtExtra_01</v>
      </c>
      <c r="B61" t="b">
        <v>0</v>
      </c>
      <c r="C61" s="151" t="str">
        <f t="shared" si="3"/>
        <v>_Neo_1700_Cont_VochtExtra_01</v>
      </c>
      <c r="D61" t="b">
        <v>0</v>
      </c>
      <c r="E61" t="s">
        <v>3987</v>
      </c>
      <c r="F61" s="151" t="b">
        <f t="shared" si="4"/>
        <v>1</v>
      </c>
      <c r="H61" s="151" t="s">
        <v>3909</v>
      </c>
    </row>
    <row r="62" spans="1:8" x14ac:dyDescent="0.2">
      <c r="A62" s="151" t="str">
        <f t="shared" si="2"/>
        <v>_Neo_InfB_Cont_VochtExtra_02</v>
      </c>
      <c r="B62" t="b">
        <v>0</v>
      </c>
      <c r="C62" s="151" t="str">
        <f t="shared" si="3"/>
        <v>_Neo_1700_Cont_VochtExtra_02</v>
      </c>
      <c r="D62" t="b">
        <v>0</v>
      </c>
      <c r="E62" t="s">
        <v>3988</v>
      </c>
      <c r="F62" s="151" t="b">
        <f t="shared" si="4"/>
        <v>1</v>
      </c>
      <c r="H62" s="151" t="s">
        <v>3910</v>
      </c>
    </row>
    <row r="63" spans="1:8" x14ac:dyDescent="0.2">
      <c r="A63" s="151" t="str">
        <f t="shared" si="2"/>
        <v>_Neo_InfB_Cont_VochtExtra_03</v>
      </c>
      <c r="B63" t="b">
        <v>0</v>
      </c>
      <c r="C63" s="151" t="str">
        <f t="shared" si="3"/>
        <v>_Neo_1700_Cont_VochtExtra_03</v>
      </c>
      <c r="D63" t="b">
        <v>0</v>
      </c>
      <c r="E63" t="s">
        <v>3989</v>
      </c>
      <c r="F63" s="151" t="b">
        <f t="shared" si="4"/>
        <v>1</v>
      </c>
      <c r="H63" s="151" t="s">
        <v>3911</v>
      </c>
    </row>
    <row r="64" spans="1:8" x14ac:dyDescent="0.2">
      <c r="A64" s="151" t="str">
        <f t="shared" si="2"/>
        <v>_Neo_InfB_Cont_VochtExtra_04</v>
      </c>
      <c r="B64" t="b">
        <v>0</v>
      </c>
      <c r="C64" s="151" t="str">
        <f t="shared" si="3"/>
        <v>_Neo_1700_Cont_VochtExtra_04</v>
      </c>
      <c r="D64" t="b">
        <v>0</v>
      </c>
      <c r="E64" t="s">
        <v>3990</v>
      </c>
      <c r="F64" s="151" t="b">
        <f t="shared" si="4"/>
        <v>1</v>
      </c>
      <c r="H64" s="151" t="s">
        <v>3912</v>
      </c>
    </row>
    <row r="65" spans="1:8" x14ac:dyDescent="0.2">
      <c r="A65" s="151" t="str">
        <f t="shared" si="2"/>
        <v>_Neo_InfB_Cont_VochtExtra_05</v>
      </c>
      <c r="B65" t="b">
        <v>0</v>
      </c>
      <c r="C65" s="151" t="str">
        <f t="shared" si="3"/>
        <v>_Neo_1700_Cont_VochtExtra_05</v>
      </c>
      <c r="D65" t="b">
        <v>0</v>
      </c>
      <c r="E65" t="s">
        <v>3991</v>
      </c>
      <c r="F65" s="151" t="b">
        <f t="shared" si="4"/>
        <v>1</v>
      </c>
      <c r="H65" s="151" t="s">
        <v>3913</v>
      </c>
    </row>
    <row r="66" spans="1:8" x14ac:dyDescent="0.2">
      <c r="A66" s="151" t="str">
        <f t="shared" si="2"/>
        <v>_Neo_InfB_Cont_VochtExtra_06</v>
      </c>
      <c r="B66" t="b">
        <v>0</v>
      </c>
      <c r="C66" s="151" t="str">
        <f t="shared" si="3"/>
        <v>_Neo_1700_Cont_VochtExtra_06</v>
      </c>
      <c r="D66" t="b">
        <v>0</v>
      </c>
      <c r="E66" t="s">
        <v>3992</v>
      </c>
      <c r="F66" s="151" t="b">
        <f t="shared" si="4"/>
        <v>1</v>
      </c>
      <c r="H66" s="151" t="s">
        <v>3914</v>
      </c>
    </row>
    <row r="67" spans="1:8" x14ac:dyDescent="0.2">
      <c r="A67" s="151" t="str">
        <f t="shared" si="2"/>
        <v>_Neo_InfB_Cont_VochtExtra_07</v>
      </c>
      <c r="B67" t="b">
        <v>0</v>
      </c>
      <c r="C67" s="151" t="str">
        <f t="shared" si="3"/>
        <v>_Neo_1700_Cont_VochtExtra_07</v>
      </c>
      <c r="D67" t="b">
        <v>0</v>
      </c>
      <c r="E67" t="s">
        <v>3993</v>
      </c>
      <c r="F67" s="151" t="b">
        <f t="shared" si="4"/>
        <v>1</v>
      </c>
      <c r="H67" s="151" t="s">
        <v>3915</v>
      </c>
    </row>
    <row r="68" spans="1:8" x14ac:dyDescent="0.2">
      <c r="A68" s="151" t="str">
        <f t="shared" si="2"/>
        <v>_Neo_InfB_Cont_VochtExtra_08</v>
      </c>
      <c r="B68" t="b">
        <v>0</v>
      </c>
      <c r="C68" s="151" t="str">
        <f t="shared" si="3"/>
        <v>_Neo_1700_Cont_VochtExtra_08</v>
      </c>
      <c r="D68" t="b">
        <v>0</v>
      </c>
      <c r="E68" t="s">
        <v>3994</v>
      </c>
      <c r="F68" s="151" t="b">
        <f t="shared" si="4"/>
        <v>1</v>
      </c>
      <c r="H68" s="151" t="s">
        <v>3916</v>
      </c>
    </row>
    <row r="69" spans="1:8" x14ac:dyDescent="0.2">
      <c r="A69" s="151" t="str">
        <f t="shared" si="2"/>
        <v>_Neo_InfB_Cont_VochtExtra_09</v>
      </c>
      <c r="B69" t="b">
        <v>0</v>
      </c>
      <c r="C69" s="151" t="str">
        <f t="shared" si="3"/>
        <v>_Neo_1700_Cont_VochtExtra_09</v>
      </c>
      <c r="D69" t="b">
        <v>0</v>
      </c>
      <c r="E69" t="s">
        <v>3995</v>
      </c>
      <c r="F69" s="151" t="b">
        <f t="shared" si="4"/>
        <v>1</v>
      </c>
      <c r="H69" s="151" t="s">
        <v>3917</v>
      </c>
    </row>
    <row r="70" spans="1:8" x14ac:dyDescent="0.2">
      <c r="A70" s="151" t="str">
        <f t="shared" si="2"/>
        <v>_Neo_InfB_Cont_VochtExtra_10</v>
      </c>
      <c r="B70" t="b">
        <v>0</v>
      </c>
      <c r="C70" s="151" t="str">
        <f t="shared" si="3"/>
        <v>_Neo_1700_Cont_VochtExtra_10</v>
      </c>
      <c r="D70" t="b">
        <v>0</v>
      </c>
      <c r="E70" t="s">
        <v>3996</v>
      </c>
      <c r="F70" s="151" t="b">
        <f t="shared" si="4"/>
        <v>1</v>
      </c>
      <c r="H70" s="151" t="s">
        <v>3918</v>
      </c>
    </row>
    <row r="71" spans="1:8" x14ac:dyDescent="0.2">
      <c r="A71" s="151" t="str">
        <f t="shared" si="2"/>
        <v>_Neo_InfB_Cont_VochtExtra_11</v>
      </c>
      <c r="B71" t="b">
        <v>0</v>
      </c>
      <c r="C71" s="151" t="str">
        <f t="shared" ref="C71:C98" si="5">REPLACE(A71,6,4,"1700")</f>
        <v>_Neo_1700_Cont_VochtExtra_11</v>
      </c>
      <c r="D71" t="b">
        <v>0</v>
      </c>
      <c r="E71" t="s">
        <v>3997</v>
      </c>
      <c r="F71" s="151" t="b">
        <f t="shared" ref="F71:F98" si="6">"Var"&amp;A71=E71</f>
        <v>1</v>
      </c>
      <c r="H71" s="151" t="s">
        <v>3919</v>
      </c>
    </row>
    <row r="72" spans="1:8" x14ac:dyDescent="0.2">
      <c r="A72" s="151" t="str">
        <f t="shared" ref="A72:A112" si="7">H72</f>
        <v>_Neo_InfB_Cont_VochtExtra_12</v>
      </c>
      <c r="B72" t="b">
        <v>0</v>
      </c>
      <c r="C72" s="151" t="str">
        <f t="shared" si="5"/>
        <v>_Neo_1700_Cont_VochtExtra_12</v>
      </c>
      <c r="D72" t="b">
        <v>0</v>
      </c>
      <c r="E72" t="s">
        <v>3998</v>
      </c>
      <c r="F72" s="151" t="b">
        <f t="shared" si="6"/>
        <v>1</v>
      </c>
      <c r="H72" s="151" t="s">
        <v>3920</v>
      </c>
    </row>
    <row r="73" spans="1:8" x14ac:dyDescent="0.2">
      <c r="A73" s="151" t="str">
        <f t="shared" si="7"/>
        <v>_Neo_InfB_Cont_VochtExtra_13</v>
      </c>
      <c r="B73" t="b">
        <v>0</v>
      </c>
      <c r="C73" s="151" t="str">
        <f t="shared" si="5"/>
        <v>_Neo_1700_Cont_VochtExtra_13</v>
      </c>
      <c r="D73" t="b">
        <v>0</v>
      </c>
      <c r="E73" t="s">
        <v>3999</v>
      </c>
      <c r="F73" s="151" t="b">
        <f t="shared" si="6"/>
        <v>1</v>
      </c>
      <c r="H73" s="151" t="s">
        <v>3921</v>
      </c>
    </row>
    <row r="74" spans="1:8" x14ac:dyDescent="0.2">
      <c r="A74" s="151" t="str">
        <f t="shared" si="7"/>
        <v>_Neo_InfB_Cont_VochtExtra_14</v>
      </c>
      <c r="B74" t="b">
        <v>0</v>
      </c>
      <c r="C74" s="151" t="str">
        <f t="shared" si="5"/>
        <v>_Neo_1700_Cont_VochtExtra_14</v>
      </c>
      <c r="D74" t="b">
        <v>0</v>
      </c>
      <c r="E74" t="s">
        <v>4000</v>
      </c>
      <c r="F74" s="151" t="b">
        <f t="shared" si="6"/>
        <v>1</v>
      </c>
      <c r="H74" s="151" t="s">
        <v>3922</v>
      </c>
    </row>
    <row r="75" spans="1:8" s="151" customFormat="1" x14ac:dyDescent="0.2">
      <c r="A75" s="151" t="str">
        <f t="shared" si="7"/>
        <v>_Neo_InfB_Ent_Extra</v>
      </c>
      <c r="B75" s="151">
        <v>2</v>
      </c>
      <c r="C75" s="151" t="str">
        <f t="shared" si="5"/>
        <v>_Neo_1700_Ent_Extra</v>
      </c>
      <c r="D75" s="151">
        <v>2</v>
      </c>
      <c r="E75" s="152" t="s">
        <v>4461</v>
      </c>
      <c r="F75" s="151" t="b">
        <f t="shared" si="6"/>
        <v>1</v>
      </c>
      <c r="H75" s="152" t="s">
        <v>4464</v>
      </c>
    </row>
    <row r="76" spans="1:8" x14ac:dyDescent="0.2">
      <c r="A76" s="151" t="str">
        <f t="shared" si="7"/>
        <v>_Neo_InfB_Ent_Frequentie_1</v>
      </c>
      <c r="B76">
        <v>0</v>
      </c>
      <c r="C76" s="151" t="str">
        <f t="shared" si="5"/>
        <v>_Neo_1700_Ent_Frequentie_1</v>
      </c>
      <c r="D76">
        <v>0</v>
      </c>
      <c r="E76" t="s">
        <v>4001</v>
      </c>
      <c r="F76" s="151" t="b">
        <f t="shared" si="6"/>
        <v>1</v>
      </c>
      <c r="H76" s="151" t="s">
        <v>3923</v>
      </c>
    </row>
    <row r="77" spans="1:8" x14ac:dyDescent="0.2">
      <c r="A77" s="151" t="str">
        <f t="shared" si="7"/>
        <v>_Neo_InfB_Ent_Frequentie_2</v>
      </c>
      <c r="B77">
        <v>0</v>
      </c>
      <c r="C77" s="151" t="str">
        <f t="shared" si="5"/>
        <v>_Neo_1700_Ent_Frequentie_2</v>
      </c>
      <c r="D77">
        <v>0</v>
      </c>
      <c r="E77" t="s">
        <v>4002</v>
      </c>
      <c r="F77" s="151" t="b">
        <f t="shared" si="6"/>
        <v>1</v>
      </c>
      <c r="H77" s="151" t="s">
        <v>3924</v>
      </c>
    </row>
    <row r="78" spans="1:8" x14ac:dyDescent="0.2">
      <c r="A78" s="151" t="str">
        <f t="shared" si="7"/>
        <v>_Neo_InfB_Ent_Hoeveelheid_1</v>
      </c>
      <c r="B78">
        <v>0</v>
      </c>
      <c r="C78" s="151" t="str">
        <f t="shared" si="5"/>
        <v>_Neo_1700_Ent_Hoeveelheid_1</v>
      </c>
      <c r="D78">
        <v>0</v>
      </c>
      <c r="E78" t="s">
        <v>4003</v>
      </c>
      <c r="F78" s="151" t="b">
        <f t="shared" si="6"/>
        <v>1</v>
      </c>
      <c r="H78" s="151" t="s">
        <v>3925</v>
      </c>
    </row>
    <row r="79" spans="1:8" x14ac:dyDescent="0.2">
      <c r="A79" s="151" t="str">
        <f t="shared" si="7"/>
        <v>_Neo_InfB_Ent_Hoeveelheid_2</v>
      </c>
      <c r="B79">
        <v>0</v>
      </c>
      <c r="C79" s="151" t="str">
        <f t="shared" si="5"/>
        <v>_Neo_1700_Ent_Hoeveelheid_2</v>
      </c>
      <c r="D79">
        <v>0</v>
      </c>
      <c r="E79" t="s">
        <v>4004</v>
      </c>
      <c r="F79" s="151" t="b">
        <f t="shared" si="6"/>
        <v>1</v>
      </c>
      <c r="H79" s="151" t="s">
        <v>3926</v>
      </c>
    </row>
    <row r="80" spans="1:8" x14ac:dyDescent="0.2">
      <c r="A80" s="151" t="str">
        <f t="shared" si="7"/>
        <v>_Neo_InfB_Ent_PercentageKeuze_0</v>
      </c>
      <c r="B80">
        <v>1</v>
      </c>
      <c r="C80" s="151" t="str">
        <f t="shared" si="5"/>
        <v>_Neo_1700_Ent_PercentageKeuze_0</v>
      </c>
      <c r="D80">
        <v>1</v>
      </c>
      <c r="E80" t="s">
        <v>4005</v>
      </c>
      <c r="F80" s="151" t="b">
        <f t="shared" si="6"/>
        <v>1</v>
      </c>
      <c r="H80" s="151" t="s">
        <v>3927</v>
      </c>
    </row>
    <row r="81" spans="1:8" x14ac:dyDescent="0.2">
      <c r="A81" s="151" t="str">
        <f t="shared" si="7"/>
        <v>_Neo_InfB_Ent_PercentageKeuze_1</v>
      </c>
      <c r="B81">
        <v>1</v>
      </c>
      <c r="C81" s="151" t="str">
        <f t="shared" si="5"/>
        <v>_Neo_1700_Ent_PercentageKeuze_1</v>
      </c>
      <c r="D81">
        <v>1</v>
      </c>
      <c r="E81" t="s">
        <v>4006</v>
      </c>
      <c r="F81" s="151" t="b">
        <f t="shared" si="6"/>
        <v>1</v>
      </c>
      <c r="H81" s="151" t="s">
        <v>3928</v>
      </c>
    </row>
    <row r="82" spans="1:8" x14ac:dyDescent="0.2">
      <c r="A82" s="151" t="str">
        <f t="shared" si="7"/>
        <v>_Neo_InfB_Ent_PercentageKeuze_2</v>
      </c>
      <c r="B82">
        <v>1</v>
      </c>
      <c r="C82" s="151" t="str">
        <f t="shared" si="5"/>
        <v>_Neo_1700_Ent_PercentageKeuze_2</v>
      </c>
      <c r="D82">
        <v>1</v>
      </c>
      <c r="E82" t="s">
        <v>4007</v>
      </c>
      <c r="F82" s="151" t="b">
        <f t="shared" si="6"/>
        <v>1</v>
      </c>
      <c r="H82" s="151" t="s">
        <v>3929</v>
      </c>
    </row>
    <row r="83" spans="1:8" x14ac:dyDescent="0.2">
      <c r="A83" s="151" t="str">
        <f t="shared" si="7"/>
        <v>_Neo_InfB_Ent_PercentageKeuze_3</v>
      </c>
      <c r="B83">
        <v>1</v>
      </c>
      <c r="C83" s="151" t="str">
        <f t="shared" si="5"/>
        <v>_Neo_1700_Ent_PercentageKeuze_3</v>
      </c>
      <c r="D83">
        <v>1</v>
      </c>
      <c r="E83" t="s">
        <v>4008</v>
      </c>
      <c r="F83" s="151" t="b">
        <f t="shared" si="6"/>
        <v>1</v>
      </c>
      <c r="H83" s="151" t="s">
        <v>3930</v>
      </c>
    </row>
    <row r="84" spans="1:8" x14ac:dyDescent="0.2">
      <c r="A84" s="151" t="str">
        <f t="shared" si="7"/>
        <v>_Neo_InfB_Ent_PercentageKeuze_4</v>
      </c>
      <c r="B84">
        <v>1</v>
      </c>
      <c r="C84" s="151" t="str">
        <f t="shared" si="5"/>
        <v>_Neo_1700_Ent_PercentageKeuze_4</v>
      </c>
      <c r="D84">
        <v>1</v>
      </c>
      <c r="E84" t="s">
        <v>4009</v>
      </c>
      <c r="F84" s="151" t="b">
        <f t="shared" si="6"/>
        <v>1</v>
      </c>
      <c r="H84" s="151" t="s">
        <v>3931</v>
      </c>
    </row>
    <row r="85" spans="1:8" x14ac:dyDescent="0.2">
      <c r="A85" s="151" t="str">
        <f t="shared" si="7"/>
        <v>_Neo_InfB_Ent_PercentageKeuze_5</v>
      </c>
      <c r="B85">
        <v>1</v>
      </c>
      <c r="C85" s="151" t="str">
        <f t="shared" si="5"/>
        <v>_Neo_1700_Ent_PercentageKeuze_5</v>
      </c>
      <c r="D85">
        <v>1</v>
      </c>
      <c r="E85" t="s">
        <v>4010</v>
      </c>
      <c r="F85" s="151" t="b">
        <f t="shared" si="6"/>
        <v>1</v>
      </c>
      <c r="H85" s="151" t="s">
        <v>3932</v>
      </c>
    </row>
    <row r="86" spans="1:8" x14ac:dyDescent="0.2">
      <c r="A86" s="151" t="str">
        <f t="shared" si="7"/>
        <v>_Neo_InfB_Ent_PercentageKeuze_6</v>
      </c>
      <c r="B86">
        <v>1</v>
      </c>
      <c r="C86" s="151" t="str">
        <f t="shared" si="5"/>
        <v>_Neo_1700_Ent_PercentageKeuze_6</v>
      </c>
      <c r="D86">
        <v>1</v>
      </c>
      <c r="E86" t="s">
        <v>4011</v>
      </c>
      <c r="F86" s="151" t="b">
        <f t="shared" si="6"/>
        <v>1</v>
      </c>
      <c r="H86" s="151" t="s">
        <v>3933</v>
      </c>
    </row>
    <row r="87" spans="1:8" x14ac:dyDescent="0.2">
      <c r="A87" s="151" t="str">
        <f t="shared" si="7"/>
        <v>_Neo_InfB_Ent_PercentageKeuze_7</v>
      </c>
      <c r="B87">
        <v>1</v>
      </c>
      <c r="C87" s="151" t="str">
        <f t="shared" si="5"/>
        <v>_Neo_1700_Ent_PercentageKeuze_7</v>
      </c>
      <c r="D87">
        <v>1</v>
      </c>
      <c r="E87" t="s">
        <v>4012</v>
      </c>
      <c r="F87" s="151" t="b">
        <f t="shared" si="6"/>
        <v>1</v>
      </c>
      <c r="H87" s="151" t="s">
        <v>3934</v>
      </c>
    </row>
    <row r="88" spans="1:8" x14ac:dyDescent="0.2">
      <c r="A88" s="151" t="str">
        <f t="shared" si="7"/>
        <v>_Neo_InfB_Ent_PercentageKeuze_8</v>
      </c>
      <c r="B88">
        <v>1</v>
      </c>
      <c r="C88" s="151" t="str">
        <f t="shared" si="5"/>
        <v>_Neo_1700_Ent_PercentageKeuze_8</v>
      </c>
      <c r="D88">
        <v>1</v>
      </c>
      <c r="E88" t="s">
        <v>4013</v>
      </c>
      <c r="F88" s="151" t="b">
        <f t="shared" si="6"/>
        <v>1</v>
      </c>
      <c r="H88" s="151" t="s">
        <v>3935</v>
      </c>
    </row>
    <row r="89" spans="1:8" x14ac:dyDescent="0.2">
      <c r="A89" s="151" t="str">
        <f t="shared" si="7"/>
        <v>_Neo_InfB_Ent_Toevoeging_1</v>
      </c>
      <c r="B89">
        <v>1</v>
      </c>
      <c r="C89" s="151" t="str">
        <f t="shared" si="5"/>
        <v>_Neo_1700_Ent_Toevoeging_1</v>
      </c>
      <c r="D89">
        <v>1</v>
      </c>
      <c r="E89" t="s">
        <v>4014</v>
      </c>
      <c r="F89" s="151" t="b">
        <f t="shared" si="6"/>
        <v>1</v>
      </c>
      <c r="H89" s="151" t="s">
        <v>3936</v>
      </c>
    </row>
    <row r="90" spans="1:8" x14ac:dyDescent="0.2">
      <c r="A90" s="151" t="str">
        <f t="shared" si="7"/>
        <v>_Neo_InfB_Ent_Toevoeging_2</v>
      </c>
      <c r="B90">
        <v>1</v>
      </c>
      <c r="C90" s="151" t="str">
        <f t="shared" si="5"/>
        <v>_Neo_1700_Ent_Toevoeging_2</v>
      </c>
      <c r="D90">
        <v>1</v>
      </c>
      <c r="E90" t="s">
        <v>4015</v>
      </c>
      <c r="F90" s="151" t="b">
        <f t="shared" si="6"/>
        <v>1</v>
      </c>
      <c r="H90" s="151" t="s">
        <v>3937</v>
      </c>
    </row>
    <row r="91" spans="1:8" x14ac:dyDescent="0.2">
      <c r="A91" s="151" t="str">
        <f t="shared" si="7"/>
        <v>_Neo_InfB_Ent_Toevoeging_3</v>
      </c>
      <c r="B91">
        <v>1</v>
      </c>
      <c r="C91" s="151" t="str">
        <f t="shared" si="5"/>
        <v>_Neo_1700_Ent_Toevoeging_3</v>
      </c>
      <c r="D91">
        <v>1</v>
      </c>
      <c r="E91" t="s">
        <v>4016</v>
      </c>
      <c r="F91" s="151" t="b">
        <f t="shared" si="6"/>
        <v>1</v>
      </c>
      <c r="H91" s="151" t="s">
        <v>3938</v>
      </c>
    </row>
    <row r="92" spans="1:8" x14ac:dyDescent="0.2">
      <c r="A92" s="151" t="str">
        <f t="shared" si="7"/>
        <v>_Neo_InfB_Ent_Toevoeging_4</v>
      </c>
      <c r="B92">
        <v>1</v>
      </c>
      <c r="C92" s="151" t="str">
        <f t="shared" si="5"/>
        <v>_Neo_1700_Ent_Toevoeging_4</v>
      </c>
      <c r="D92">
        <v>1</v>
      </c>
      <c r="E92" t="s">
        <v>4017</v>
      </c>
      <c r="F92" s="151" t="b">
        <f t="shared" si="6"/>
        <v>1</v>
      </c>
      <c r="H92" s="151" t="s">
        <v>3939</v>
      </c>
    </row>
    <row r="93" spans="1:8" x14ac:dyDescent="0.2">
      <c r="A93" s="151" t="str">
        <f t="shared" si="7"/>
        <v>_Neo_InfB_Ent_Toevoeging_5</v>
      </c>
      <c r="B93">
        <v>1</v>
      </c>
      <c r="C93" s="151" t="str">
        <f t="shared" si="5"/>
        <v>_Neo_1700_Ent_Toevoeging_5</v>
      </c>
      <c r="D93">
        <v>1</v>
      </c>
      <c r="E93" t="s">
        <v>4018</v>
      </c>
      <c r="F93" s="151" t="b">
        <f t="shared" si="6"/>
        <v>1</v>
      </c>
      <c r="H93" s="151" t="s">
        <v>3940</v>
      </c>
    </row>
    <row r="94" spans="1:8" x14ac:dyDescent="0.2">
      <c r="A94" s="151" t="str">
        <f t="shared" si="7"/>
        <v>_Neo_InfB_Ent_Toevoeging_6</v>
      </c>
      <c r="B94">
        <v>1</v>
      </c>
      <c r="C94" s="151" t="str">
        <f t="shared" si="5"/>
        <v>_Neo_1700_Ent_Toevoeging_6</v>
      </c>
      <c r="D94">
        <v>1</v>
      </c>
      <c r="E94" t="s">
        <v>4019</v>
      </c>
      <c r="F94" s="151" t="b">
        <f t="shared" si="6"/>
        <v>1</v>
      </c>
      <c r="H94" s="151" t="s">
        <v>3941</v>
      </c>
    </row>
    <row r="95" spans="1:8" x14ac:dyDescent="0.2">
      <c r="A95" s="151" t="str">
        <f t="shared" si="7"/>
        <v>_Neo_InfB_Ent_Toevoeging_7</v>
      </c>
      <c r="B95">
        <v>1</v>
      </c>
      <c r="C95" s="151" t="str">
        <f t="shared" si="5"/>
        <v>_Neo_1700_Ent_Toevoeging_7</v>
      </c>
      <c r="D95">
        <v>1</v>
      </c>
      <c r="E95" t="s">
        <v>4020</v>
      </c>
      <c r="F95" s="151" t="b">
        <f t="shared" si="6"/>
        <v>1</v>
      </c>
      <c r="H95" s="151" t="s">
        <v>3942</v>
      </c>
    </row>
    <row r="96" spans="1:8" x14ac:dyDescent="0.2">
      <c r="A96" s="151" t="str">
        <f t="shared" si="7"/>
        <v>_Neo_InfB_Ent_Toevoeging_8</v>
      </c>
      <c r="B96">
        <v>1</v>
      </c>
      <c r="C96" s="151" t="str">
        <f t="shared" si="5"/>
        <v>_Neo_1700_Ent_Toevoeging_8</v>
      </c>
      <c r="D96">
        <v>1</v>
      </c>
      <c r="E96" t="s">
        <v>4021</v>
      </c>
      <c r="F96" s="151" t="b">
        <f t="shared" si="6"/>
        <v>1</v>
      </c>
      <c r="H96" s="151" t="s">
        <v>3943</v>
      </c>
    </row>
    <row r="97" spans="1:8" x14ac:dyDescent="0.2">
      <c r="A97" s="151" t="str">
        <f t="shared" si="7"/>
        <v>_Neo_InfB_Ent_Voeding</v>
      </c>
      <c r="B97">
        <v>1</v>
      </c>
      <c r="C97" s="151" t="str">
        <f t="shared" si="5"/>
        <v>_Neo_1700_Ent_Voeding</v>
      </c>
      <c r="D97">
        <v>1</v>
      </c>
      <c r="E97" t="s">
        <v>4022</v>
      </c>
      <c r="F97" s="151" t="b">
        <f t="shared" si="6"/>
        <v>1</v>
      </c>
      <c r="H97" s="151" t="s">
        <v>3944</v>
      </c>
    </row>
    <row r="98" spans="1:8" x14ac:dyDescent="0.2">
      <c r="A98" s="151" t="str">
        <f t="shared" si="7"/>
        <v>_Neo_InfB_TPN_CaCl2</v>
      </c>
      <c r="B98">
        <v>5000</v>
      </c>
      <c r="C98" s="151" t="str">
        <f t="shared" si="5"/>
        <v>_Neo_1700_TPN_CaCl2</v>
      </c>
      <c r="D98">
        <v>5000</v>
      </c>
      <c r="E98" t="s">
        <v>4023</v>
      </c>
      <c r="F98" s="151" t="b">
        <f t="shared" si="6"/>
        <v>1</v>
      </c>
      <c r="H98" s="151" t="s">
        <v>3945</v>
      </c>
    </row>
    <row r="99" spans="1:8" x14ac:dyDescent="0.2">
      <c r="A99" s="151" t="str">
        <f t="shared" si="7"/>
        <v>_Neo_InfB_TPN_DagKeuze</v>
      </c>
      <c r="B99">
        <v>1</v>
      </c>
      <c r="C99" s="151" t="str">
        <f t="shared" ref="C99:C109" si="8">REPLACE(A99,6,4,"1700")</f>
        <v>_Neo_1700_TPN_DagKeuze</v>
      </c>
      <c r="D99">
        <v>1</v>
      </c>
      <c r="E99" t="s">
        <v>4024</v>
      </c>
      <c r="F99" s="151" t="b">
        <f t="shared" ref="F99:F109" si="9">"Var"&amp;A99=E99</f>
        <v>1</v>
      </c>
      <c r="H99" s="151" t="s">
        <v>3946</v>
      </c>
    </row>
    <row r="100" spans="1:8" x14ac:dyDescent="0.2">
      <c r="A100" s="151" t="str">
        <f t="shared" si="7"/>
        <v>_Neo_InfB_TPN_Fototherapie</v>
      </c>
      <c r="B100">
        <v>2</v>
      </c>
      <c r="C100" s="151" t="str">
        <f t="shared" si="8"/>
        <v>_Neo_1700_TPN_Fototherapie</v>
      </c>
      <c r="D100">
        <v>2</v>
      </c>
      <c r="E100" t="s">
        <v>4025</v>
      </c>
      <c r="F100" s="151" t="b">
        <f t="shared" si="9"/>
        <v>1</v>
      </c>
      <c r="H100" s="151" t="s">
        <v>3947</v>
      </c>
    </row>
    <row r="101" spans="1:8" x14ac:dyDescent="0.2">
      <c r="A101" s="151" t="str">
        <f t="shared" si="7"/>
        <v>_Neo_InfB_TPN_GlucSterkte</v>
      </c>
      <c r="B101">
        <v>2</v>
      </c>
      <c r="C101" s="151" t="str">
        <f t="shared" si="8"/>
        <v>_Neo_1700_TPN_GlucSterkte</v>
      </c>
      <c r="D101">
        <v>2</v>
      </c>
      <c r="E101" t="s">
        <v>4026</v>
      </c>
      <c r="F101" s="151" t="b">
        <f t="shared" si="9"/>
        <v>1</v>
      </c>
      <c r="H101" s="151" t="s">
        <v>3948</v>
      </c>
    </row>
    <row r="102" spans="1:8" x14ac:dyDescent="0.2">
      <c r="A102" s="151" t="str">
        <f t="shared" si="7"/>
        <v>_Neo_InfB_TPN_IntakePerKg</v>
      </c>
      <c r="B102">
        <v>0</v>
      </c>
      <c r="C102" s="151" t="str">
        <f t="shared" si="8"/>
        <v>_Neo_1700_TPN_IntakePerKg</v>
      </c>
      <c r="D102">
        <v>0</v>
      </c>
      <c r="E102" t="s">
        <v>4027</v>
      </c>
      <c r="F102" s="151" t="b">
        <f t="shared" si="9"/>
        <v>1</v>
      </c>
      <c r="H102" s="151" t="s">
        <v>3949</v>
      </c>
    </row>
    <row r="103" spans="1:8" x14ac:dyDescent="0.2">
      <c r="A103" s="151" t="str">
        <f t="shared" si="7"/>
        <v>_Neo_InfB_TPN_IntraLipid</v>
      </c>
      <c r="B103">
        <v>5000</v>
      </c>
      <c r="C103" s="151" t="str">
        <f t="shared" si="8"/>
        <v>_Neo_1700_TPN_IntraLipid</v>
      </c>
      <c r="D103">
        <v>5000</v>
      </c>
      <c r="E103" t="s">
        <v>4028</v>
      </c>
      <c r="F103" s="151" t="b">
        <f t="shared" si="9"/>
        <v>1</v>
      </c>
      <c r="H103" s="151" t="s">
        <v>3950</v>
      </c>
    </row>
    <row r="104" spans="1:8" x14ac:dyDescent="0.2">
      <c r="A104" s="151" t="str">
        <f t="shared" si="7"/>
        <v>_Neo_InfB_TPN_IntralipidSmof</v>
      </c>
      <c r="B104">
        <v>1</v>
      </c>
      <c r="C104" s="151" t="str">
        <f t="shared" si="8"/>
        <v>_Neo_1700_TPN_IntralipidSmof</v>
      </c>
      <c r="D104">
        <v>1</v>
      </c>
      <c r="E104" t="s">
        <v>4029</v>
      </c>
      <c r="F104" s="151" t="b">
        <f t="shared" si="9"/>
        <v>1</v>
      </c>
      <c r="H104" s="151" t="s">
        <v>3951</v>
      </c>
    </row>
    <row r="105" spans="1:8" x14ac:dyDescent="0.2">
      <c r="A105" s="151" t="str">
        <f t="shared" si="7"/>
        <v>_Neo_InfB_TPN_KCl</v>
      </c>
      <c r="B105">
        <v>5000</v>
      </c>
      <c r="C105" s="151" t="str">
        <f t="shared" si="8"/>
        <v>_Neo_1700_TPN_KCl</v>
      </c>
      <c r="D105">
        <v>5000</v>
      </c>
      <c r="E105" t="s">
        <v>4030</v>
      </c>
      <c r="F105" s="151" t="b">
        <f t="shared" si="9"/>
        <v>1</v>
      </c>
      <c r="H105" s="151" t="s">
        <v>3952</v>
      </c>
    </row>
    <row r="106" spans="1:8" x14ac:dyDescent="0.2">
      <c r="A106" s="151" t="str">
        <f t="shared" si="7"/>
        <v>_Neo_InfB_TPN_MgCl2</v>
      </c>
      <c r="B106">
        <v>5000</v>
      </c>
      <c r="C106" s="151" t="str">
        <f t="shared" si="8"/>
        <v>_Neo_1700_TPN_MgCl2</v>
      </c>
      <c r="D106">
        <v>5000</v>
      </c>
      <c r="E106" t="s">
        <v>4031</v>
      </c>
      <c r="F106" s="151" t="b">
        <f t="shared" si="9"/>
        <v>1</v>
      </c>
      <c r="H106" s="151" t="s">
        <v>3953</v>
      </c>
    </row>
    <row r="107" spans="1:8" x14ac:dyDescent="0.2">
      <c r="A107" s="151" t="str">
        <f t="shared" si="7"/>
        <v>_Neo_InfB_TPN_Nacl</v>
      </c>
      <c r="B107">
        <v>5000</v>
      </c>
      <c r="C107" s="151" t="str">
        <f>REPLACE(A107,6,4,"1700")</f>
        <v>_Neo_1700_TPN_Nacl</v>
      </c>
      <c r="D107">
        <v>5000</v>
      </c>
      <c r="E107" t="s">
        <v>4032</v>
      </c>
      <c r="F107" s="151" t="b">
        <f>"Var"&amp;A107=E107</f>
        <v>1</v>
      </c>
      <c r="H107" s="151" t="s">
        <v>3954</v>
      </c>
    </row>
    <row r="108" spans="1:8" x14ac:dyDescent="0.2">
      <c r="A108" s="151" t="str">
        <f t="shared" si="7"/>
        <v>_Neo_InfB_TPN_NICUMix</v>
      </c>
      <c r="B108">
        <v>5000</v>
      </c>
      <c r="C108" s="151" t="str">
        <f t="shared" si="8"/>
        <v>_Neo_1700_TPN_NICUMix</v>
      </c>
      <c r="D108">
        <v>5000</v>
      </c>
      <c r="E108" t="s">
        <v>4033</v>
      </c>
      <c r="F108" s="151" t="b">
        <f t="shared" si="9"/>
        <v>1</v>
      </c>
      <c r="H108" s="151" t="s">
        <v>3955</v>
      </c>
    </row>
    <row r="109" spans="1:8" x14ac:dyDescent="0.2">
      <c r="A109" s="151" t="str">
        <f t="shared" si="7"/>
        <v>_Neo_InfB_TPN_Parenteraal</v>
      </c>
      <c r="B109" t="b">
        <v>0</v>
      </c>
      <c r="C109" s="151" t="str">
        <f t="shared" si="8"/>
        <v>_Neo_1700_TPN_Parenteraal</v>
      </c>
      <c r="D109" t="b">
        <v>0</v>
      </c>
      <c r="E109" t="s">
        <v>4034</v>
      </c>
      <c r="F109" s="151" t="b">
        <f t="shared" si="9"/>
        <v>1</v>
      </c>
      <c r="H109" s="151" t="s">
        <v>3956</v>
      </c>
    </row>
    <row r="110" spans="1:8" x14ac:dyDescent="0.2">
      <c r="A110" s="151" t="str">
        <f t="shared" si="7"/>
        <v>_Neo_InfB_TPN_Primene</v>
      </c>
      <c r="B110">
        <v>5000</v>
      </c>
      <c r="C110" s="151" t="str">
        <f t="shared" ref="C110:C112" si="10">REPLACE(A110,6,4,"1700")</f>
        <v>_Neo_1700_TPN_Primene</v>
      </c>
      <c r="D110">
        <v>5000</v>
      </c>
      <c r="E110" t="s">
        <v>4035</v>
      </c>
      <c r="F110" s="151" t="b">
        <f t="shared" ref="F110:F112" si="11">"Var"&amp;A110=E110</f>
        <v>1</v>
      </c>
      <c r="H110" s="151" t="s">
        <v>3957</v>
      </c>
    </row>
    <row r="111" spans="1:8" x14ac:dyDescent="0.2">
      <c r="A111" s="151" t="str">
        <f t="shared" si="7"/>
        <v>_Neo_InfB_TPN_SoluVit</v>
      </c>
      <c r="B111">
        <v>5000</v>
      </c>
      <c r="C111" s="151" t="str">
        <f t="shared" si="10"/>
        <v>_Neo_1700_TPN_SoluVit</v>
      </c>
      <c r="D111">
        <v>5000</v>
      </c>
      <c r="E111" t="s">
        <v>4036</v>
      </c>
      <c r="F111" s="151" t="b">
        <f t="shared" si="11"/>
        <v>1</v>
      </c>
      <c r="H111" s="151" t="s">
        <v>3958</v>
      </c>
    </row>
    <row r="112" spans="1:8" x14ac:dyDescent="0.2">
      <c r="A112" s="151" t="str">
        <f t="shared" si="7"/>
        <v>_Neo_InfB_TPN_SSTB</v>
      </c>
      <c r="B112">
        <v>5000</v>
      </c>
      <c r="C112" s="151" t="str">
        <f t="shared" si="10"/>
        <v>_Neo_1700_TPN_SSTB</v>
      </c>
      <c r="D112">
        <v>5000</v>
      </c>
      <c r="E112" t="s">
        <v>4037</v>
      </c>
      <c r="F112" s="151" t="b">
        <f t="shared" si="11"/>
        <v>1</v>
      </c>
      <c r="H112" s="151" t="s">
        <v>3959</v>
      </c>
    </row>
    <row r="114" spans="1:2" x14ac:dyDescent="0.2">
      <c r="A114" t="s">
        <v>5070</v>
      </c>
      <c r="B114">
        <v>0</v>
      </c>
    </row>
  </sheetData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topLeftCell="A13" workbookViewId="0">
      <selection activeCell="C34" sqref="C34"/>
    </sheetView>
  </sheetViews>
  <sheetFormatPr defaultColWidth="5.7109375" defaultRowHeight="12.75" x14ac:dyDescent="0.2"/>
  <cols>
    <col min="1" max="1" width="5.7109375" style="104"/>
    <col min="2" max="2" width="2" style="104" customWidth="1"/>
    <col min="3" max="6" width="8.5703125" style="104" customWidth="1"/>
    <col min="7" max="7" width="7" style="104" customWidth="1"/>
    <col min="8" max="12" width="5.7109375" style="104"/>
    <col min="13" max="14" width="7.85546875" style="104" customWidth="1"/>
    <col min="15" max="16" width="4.5703125" style="104" customWidth="1"/>
    <col min="17" max="16384" width="5.7109375" style="104"/>
  </cols>
  <sheetData>
    <row r="1" spans="1:16" x14ac:dyDescent="0.2">
      <c r="A1" s="189" t="s">
        <v>393</v>
      </c>
      <c r="L1" s="104" t="s">
        <v>386</v>
      </c>
      <c r="M1" s="105">
        <f>__1_Bed</f>
        <v>0</v>
      </c>
    </row>
    <row r="2" spans="1:16" x14ac:dyDescent="0.2">
      <c r="A2" s="104" t="s">
        <v>6923</v>
      </c>
      <c r="C2" s="106" t="str">
        <f>__3_VoorNaam&amp;" "&amp;__2_AchterNaam</f>
        <v xml:space="preserve"> </v>
      </c>
      <c r="G2" s="104" t="s">
        <v>229</v>
      </c>
      <c r="I2" s="892">
        <f ca="1">TODAY()</f>
        <v>43418</v>
      </c>
      <c r="J2" s="892"/>
      <c r="K2" s="892"/>
      <c r="L2" s="104" t="s">
        <v>6925</v>
      </c>
      <c r="M2" s="893">
        <f ca="1">NOW()</f>
        <v>43418.601847106482</v>
      </c>
      <c r="N2" s="893"/>
    </row>
    <row r="3" spans="1:16" x14ac:dyDescent="0.2">
      <c r="A3" s="104" t="s">
        <v>6926</v>
      </c>
      <c r="C3" s="106" t="str">
        <f>Txt_Pat_PatNo</f>
        <v/>
      </c>
      <c r="I3" s="245"/>
      <c r="J3" s="245"/>
      <c r="K3" s="245"/>
      <c r="M3" s="107"/>
      <c r="N3" s="107"/>
    </row>
    <row r="4" spans="1:16" x14ac:dyDescent="0.2">
      <c r="A4" s="104" t="s">
        <v>397</v>
      </c>
      <c r="C4" s="104">
        <f>(_Pat_Gewicht)</f>
        <v>0</v>
      </c>
      <c r="D4" s="104" t="s">
        <v>481</v>
      </c>
      <c r="G4" s="104" t="s">
        <v>6924</v>
      </c>
      <c r="I4" s="106" t="str">
        <f>IF(OR(_User_Type="Artsen",_User_Type="Supervisor"), _User_LastName&amp;", "&amp;_User_FirstName,"")</f>
        <v/>
      </c>
      <c r="L4" s="104" t="s">
        <v>399</v>
      </c>
      <c r="M4" s="108"/>
      <c r="N4" s="108"/>
      <c r="O4" s="108"/>
      <c r="P4" s="108"/>
    </row>
    <row r="5" spans="1:16" ht="28.5" customHeight="1" x14ac:dyDescent="0.2">
      <c r="A5" s="109" t="s">
        <v>129</v>
      </c>
      <c r="B5" s="110"/>
      <c r="C5" s="111" t="s">
        <v>400</v>
      </c>
      <c r="D5" s="111"/>
      <c r="E5" s="111"/>
      <c r="F5" s="111"/>
      <c r="G5" s="111"/>
      <c r="H5" s="112">
        <f>NeoBerInfB!AL54</f>
        <v>0</v>
      </c>
      <c r="I5" s="111" t="s">
        <v>119</v>
      </c>
      <c r="J5" s="111"/>
      <c r="K5" s="111"/>
      <c r="L5" s="111"/>
      <c r="M5" s="894" t="s">
        <v>401</v>
      </c>
      <c r="N5" s="895"/>
      <c r="O5" s="896" t="s">
        <v>5089</v>
      </c>
      <c r="P5" s="897"/>
    </row>
    <row r="6" spans="1:16" ht="15" x14ac:dyDescent="0.2">
      <c r="A6" s="192" t="str">
        <f>IF(M6&lt;&gt;"",M6/24,"")</f>
        <v/>
      </c>
      <c r="B6" s="110"/>
      <c r="C6" s="109" t="str">
        <f>NeoGuiInfB!D26</f>
        <v>Arterielijn: 12 ml NaCl 0,45% + hep. (5EH/ml)</v>
      </c>
      <c r="D6" s="116"/>
      <c r="E6" s="116"/>
      <c r="F6" s="116"/>
      <c r="G6" s="116"/>
      <c r="H6" s="116"/>
      <c r="I6" s="116"/>
      <c r="J6" s="116"/>
      <c r="K6" s="116"/>
      <c r="L6" s="110"/>
      <c r="M6" s="117" t="str">
        <f>IF(24*NeoBerInfB!B22&gt;0,TRUNC(24*NeoBerInfB!B22/10),"")</f>
        <v/>
      </c>
      <c r="N6" s="117" t="str">
        <f>IF(NeoBerInfB!B22&gt;0,(24*NeoBerInfB!B22/10-M6)*10,"")</f>
        <v/>
      </c>
      <c r="O6" s="113" t="str">
        <f>IF(NeoBerInfB!I22,"extra","")</f>
        <v/>
      </c>
      <c r="P6" s="114"/>
    </row>
    <row r="7" spans="1:16" ht="15" x14ac:dyDescent="0.2">
      <c r="A7" s="115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8"/>
      <c r="N7" s="118"/>
      <c r="O7" s="113"/>
      <c r="P7" s="114"/>
    </row>
    <row r="8" spans="1:16" ht="15" x14ac:dyDescent="0.2">
      <c r="A8" s="119" t="str">
        <f>IF(M17&lt;&gt;"",IF(ROUNDUP((M17+N17/100)/24,1)&gt;0,ROUNDUP((M17+N17/100)/24,1),""),"")</f>
        <v/>
      </c>
      <c r="B8" s="113"/>
      <c r="C8" s="120"/>
      <c r="D8" s="121"/>
      <c r="E8" s="121"/>
      <c r="F8" s="121"/>
      <c r="G8" s="121"/>
      <c r="H8" s="121" t="s">
        <v>7889</v>
      </c>
      <c r="I8" s="121"/>
      <c r="J8" s="121"/>
      <c r="K8" s="121"/>
      <c r="L8" s="122"/>
      <c r="M8" s="123" t="str">
        <f>IF(NeoBerInfB!AL42&gt;0,TRUNC(NeoBerInfB!AL42),"")</f>
        <v/>
      </c>
      <c r="N8" s="124" t="str">
        <f>IF(NeoBerInfB!AL42&gt;0,(NeoBerInfB!AL42-M8)*100,"")</f>
        <v/>
      </c>
      <c r="O8" s="113"/>
      <c r="P8" s="114"/>
    </row>
    <row r="9" spans="1:16" ht="15" x14ac:dyDescent="0.2">
      <c r="A9" s="125"/>
      <c r="B9" s="113"/>
      <c r="C9" s="109"/>
      <c r="D9" s="116"/>
      <c r="E9" s="116"/>
      <c r="F9" s="116"/>
      <c r="G9" s="116"/>
      <c r="H9" s="116" t="s">
        <v>402</v>
      </c>
      <c r="I9" s="116"/>
      <c r="J9" s="116"/>
      <c r="K9" s="116"/>
      <c r="L9" s="110"/>
      <c r="M9" s="123" t="str">
        <f>IF(NeoBerInfB!AL43&gt;0,TRUNC(NeoBerInfB!AL43),"")</f>
        <v/>
      </c>
      <c r="N9" s="124" t="str">
        <f>IF(NeoBerInfB!AL43&gt;0,(NeoBerInfB!AL43-M9)*100,"")</f>
        <v/>
      </c>
      <c r="O9" s="113"/>
      <c r="P9" s="114"/>
    </row>
    <row r="10" spans="1:16" ht="15" x14ac:dyDescent="0.2">
      <c r="A10" s="125"/>
      <c r="B10" s="113"/>
      <c r="C10" s="120"/>
      <c r="D10" s="121"/>
      <c r="E10" s="121"/>
      <c r="F10" s="121"/>
      <c r="G10" s="121"/>
      <c r="H10" s="121" t="s">
        <v>326</v>
      </c>
      <c r="I10" s="121"/>
      <c r="J10" s="121"/>
      <c r="K10" s="121"/>
      <c r="L10" s="122"/>
      <c r="M10" s="123" t="str">
        <f>IF(NeoBerInfB!AL44&gt;0,TRUNC(NeoBerInfB!AL44),"")</f>
        <v/>
      </c>
      <c r="N10" s="124" t="str">
        <f>IF(NeoBerInfB!AL44&gt;0,(NeoBerInfB!AL44-M10)*100,"")</f>
        <v/>
      </c>
      <c r="O10" s="113"/>
      <c r="P10" s="114"/>
    </row>
    <row r="11" spans="1:16" ht="15" x14ac:dyDescent="0.2">
      <c r="A11" s="125"/>
      <c r="B11" s="113"/>
      <c r="C11" s="109"/>
      <c r="D11" s="116"/>
      <c r="E11" s="116"/>
      <c r="F11" s="116"/>
      <c r="G11" s="116"/>
      <c r="H11" s="116" t="s">
        <v>327</v>
      </c>
      <c r="I11" s="116"/>
      <c r="J11" s="116"/>
      <c r="K11" s="116"/>
      <c r="L11" s="110"/>
      <c r="M11" s="123" t="str">
        <f>IF(NeoBerInfB!AL45&gt;0,TRUNC(NeoBerInfB!AL45),"")</f>
        <v/>
      </c>
      <c r="N11" s="124" t="str">
        <f>IF(NeoBerInfB!AL45&gt;0,(NeoBerInfB!AL45-M11)*100,"")</f>
        <v/>
      </c>
      <c r="O11" s="113"/>
      <c r="P11" s="114"/>
    </row>
    <row r="12" spans="1:16" ht="15" x14ac:dyDescent="0.2">
      <c r="A12" s="125"/>
      <c r="B12" s="113"/>
      <c r="C12" s="120"/>
      <c r="D12" s="121"/>
      <c r="E12" s="121"/>
      <c r="F12" s="121"/>
      <c r="G12" s="121"/>
      <c r="H12" s="121" t="s">
        <v>149</v>
      </c>
      <c r="I12" s="121"/>
      <c r="J12" s="121"/>
      <c r="K12" s="121"/>
      <c r="L12" s="122"/>
      <c r="M12" s="123" t="str">
        <f>IF(NeoBerInfB!AL46&gt;0,TRUNC(NeoBerInfB!AL46),"")</f>
        <v/>
      </c>
      <c r="N12" s="124" t="str">
        <f>IF(NeoBerInfB!AL46&gt;0,(NeoBerInfB!AL46-M12)*100,"")</f>
        <v/>
      </c>
      <c r="O12" s="113"/>
      <c r="P12" s="114"/>
    </row>
    <row r="13" spans="1:16" ht="15" x14ac:dyDescent="0.2">
      <c r="A13" s="125"/>
      <c r="B13" s="113"/>
      <c r="C13" s="109"/>
      <c r="D13" s="116"/>
      <c r="E13" s="116"/>
      <c r="F13" s="116"/>
      <c r="G13" s="116"/>
      <c r="H13" s="116" t="s">
        <v>403</v>
      </c>
      <c r="I13" s="116"/>
      <c r="J13" s="116"/>
      <c r="K13" s="116"/>
      <c r="L13" s="110"/>
      <c r="M13" s="123" t="str">
        <f>IF(NeoBerInfB!AL47&gt;0,TRUNC(NeoBerInfB!AL47),"")</f>
        <v/>
      </c>
      <c r="N13" s="124" t="str">
        <f>IF(NeoBerInfB!AL47&gt;0,(NeoBerInfB!AL47-M13)*100,"")</f>
        <v/>
      </c>
      <c r="O13" s="113"/>
      <c r="P13" s="114"/>
    </row>
    <row r="14" spans="1:16" ht="15" x14ac:dyDescent="0.2">
      <c r="A14" s="125"/>
      <c r="B14" s="113"/>
      <c r="C14" s="120"/>
      <c r="D14" s="121"/>
      <c r="E14" s="121"/>
      <c r="F14" s="121"/>
      <c r="G14" s="121"/>
      <c r="H14" s="121" t="s">
        <v>404</v>
      </c>
      <c r="I14" s="121"/>
      <c r="J14" s="121"/>
      <c r="K14" s="121"/>
      <c r="L14" s="122"/>
      <c r="M14" s="123" t="str">
        <f>IF(NeoBerInfB!AL48&gt;0,TRUNC(NeoBerInfB!AL48),"")</f>
        <v/>
      </c>
      <c r="N14" s="124" t="str">
        <f>IF(NeoBerInfB!AL48&gt;0,(NeoBerInfB!AL48-M14)*100,"")</f>
        <v/>
      </c>
      <c r="O14" s="113"/>
      <c r="P14" s="114"/>
    </row>
    <row r="15" spans="1:16" ht="15" x14ac:dyDescent="0.2">
      <c r="A15" s="125"/>
      <c r="B15" s="113"/>
      <c r="C15" s="109"/>
      <c r="D15" s="116"/>
      <c r="E15" s="116"/>
      <c r="F15" s="116"/>
      <c r="G15" s="116"/>
      <c r="H15" s="116" t="s">
        <v>256</v>
      </c>
      <c r="I15" s="116"/>
      <c r="J15" s="116"/>
      <c r="K15" s="116"/>
      <c r="L15" s="110"/>
      <c r="M15" s="123" t="str">
        <f>IF(NeoBerInfB!AL49&gt;0,TRUNC(NeoBerInfB!AL49),"")</f>
        <v/>
      </c>
      <c r="N15" s="124" t="str">
        <f>IF(NeoBerInfB!AL49&gt;0,(NeoBerInfB!AL49-M15)*100,"")</f>
        <v/>
      </c>
      <c r="O15" s="113"/>
      <c r="P15" s="114"/>
    </row>
    <row r="16" spans="1:16" ht="15" x14ac:dyDescent="0.2">
      <c r="A16" s="120"/>
      <c r="B16" s="122"/>
      <c r="C16" s="120"/>
      <c r="D16" s="121"/>
      <c r="E16" s="121"/>
      <c r="F16" s="121"/>
      <c r="G16" s="121"/>
      <c r="H16" s="121" t="str">
        <f>INDEX(Tbl_Neo_OplVlst,NeoBerInfB!D50+1,1)</f>
        <v>glucose 10%</v>
      </c>
      <c r="I16" s="121"/>
      <c r="J16" s="121"/>
      <c r="K16" s="121"/>
      <c r="L16" s="122"/>
      <c r="M16" s="123" t="str">
        <f>IF(NeoBerInfB!AL50&gt;0,TRUNC(NeoBerInfB!AL50),"")</f>
        <v/>
      </c>
      <c r="N16" s="124" t="str">
        <f>IF(NeoBerInfB!AL50&gt;0,(NeoBerInfB!AL50-M16)*100,"")</f>
        <v/>
      </c>
      <c r="O16" s="113"/>
      <c r="P16" s="114"/>
    </row>
    <row r="17" spans="1:16" ht="14.25" customHeight="1" x14ac:dyDescent="0.2">
      <c r="A17" s="111"/>
      <c r="B17" s="111"/>
      <c r="C17" s="113"/>
      <c r="D17" s="113"/>
      <c r="E17" s="113"/>
      <c r="F17" s="113"/>
      <c r="G17" s="113"/>
      <c r="H17" s="127" t="s">
        <v>85</v>
      </c>
      <c r="I17" s="127"/>
      <c r="J17" s="127"/>
      <c r="K17" s="116"/>
      <c r="L17" s="116"/>
      <c r="M17" s="126" t="str">
        <f>IF(SUM(M8:N16)&gt;0,TRUNC(SUM(M8:M16)+SUM(N8:N16)/100),"")</f>
        <v/>
      </c>
      <c r="N17" s="117" t="str">
        <f>IF(SUM(M8:N16)&gt;0,ROUND((SUM(M8:M16)+SUM(N8:N16)/100-M17)*100,0),"")</f>
        <v/>
      </c>
      <c r="O17" s="113"/>
      <c r="P17" s="114"/>
    </row>
    <row r="18" spans="1:16" ht="14.25" customHeight="1" x14ac:dyDescent="0.2">
      <c r="A18" s="109" t="s">
        <v>129</v>
      </c>
      <c r="B18" s="116"/>
      <c r="C18" s="110"/>
      <c r="D18" s="113"/>
      <c r="E18" s="113"/>
      <c r="F18" s="113"/>
      <c r="G18" s="113"/>
      <c r="H18" s="113"/>
      <c r="I18" s="113"/>
      <c r="J18" s="113"/>
      <c r="K18" s="113"/>
      <c r="L18" s="113"/>
      <c r="M18" s="128"/>
      <c r="N18" s="129"/>
      <c r="O18" s="113"/>
      <c r="P18" s="114"/>
    </row>
    <row r="19" spans="1:16" ht="14.25" customHeight="1" x14ac:dyDescent="0.2">
      <c r="A19" s="130" t="str">
        <f>IF(F19&lt;&gt;"",Var_Neo_InfB_Cont_Stand_11/10,"")</f>
        <v/>
      </c>
      <c r="B19" s="131"/>
      <c r="C19" s="132"/>
      <c r="D19" s="109" t="str">
        <f>IF(F19&lt;&gt;"","Zijlijn 1","")</f>
        <v/>
      </c>
      <c r="E19" s="116"/>
      <c r="F19" s="116" t="str">
        <f>IF(NeoBerInfB!E33&gt;1,INDEX(Tbl_Neo_OplVlst,NeoBerInfB!E33,1),"")</f>
        <v/>
      </c>
      <c r="G19" s="116"/>
      <c r="H19" s="116"/>
      <c r="I19" s="116"/>
      <c r="J19" s="116"/>
      <c r="K19" s="116"/>
      <c r="L19" s="110"/>
      <c r="M19" s="126" t="str">
        <f>IF(F19&lt;&gt;"",TRUNC(A19*24),"")</f>
        <v/>
      </c>
      <c r="N19" s="117" t="str">
        <f>IF(F19&lt;&gt;"",((A19*24)-M19)*100,"")</f>
        <v/>
      </c>
      <c r="O19" s="113" t="str">
        <f>IF(Var_Neo_InfB_Cont_VochtExtra_12,"extra","")</f>
        <v/>
      </c>
      <c r="P19" s="114"/>
    </row>
    <row r="20" spans="1:16" ht="14.25" customHeight="1" x14ac:dyDescent="0.2">
      <c r="A20" s="130" t="str">
        <f>IF(F20&lt;&gt;"",Var_Neo_InfB_Cont_Stand_12/10,"")</f>
        <v/>
      </c>
      <c r="B20" s="131"/>
      <c r="C20" s="132"/>
      <c r="D20" s="109" t="str">
        <f>IF(F20&lt;&gt;"","Zijlijn 2","")</f>
        <v/>
      </c>
      <c r="E20" s="116"/>
      <c r="F20" s="116" t="str">
        <f>IF(NeoBerInfB!E34&gt;1,INDEX(Tbl_Neo_OplVlst,NeoBerInfB!E34,1),"")</f>
        <v/>
      </c>
      <c r="G20" s="116"/>
      <c r="H20" s="116"/>
      <c r="I20" s="116"/>
      <c r="J20" s="116"/>
      <c r="K20" s="116"/>
      <c r="L20" s="110"/>
      <c r="M20" s="126" t="str">
        <f>IF(F20&lt;&gt;"",TRUNC(A20*24),"")</f>
        <v/>
      </c>
      <c r="N20" s="117" t="str">
        <f>IF(F20&lt;&gt;"",((A20*24)-M20)*100,"")</f>
        <v/>
      </c>
      <c r="O20" s="113" t="str">
        <f>IF(Var_Neo_InfB_Cont_VochtExtra_13,"extra","")</f>
        <v/>
      </c>
      <c r="P20" s="114"/>
    </row>
    <row r="21" spans="1:16" ht="14.25" customHeight="1" x14ac:dyDescent="0.2">
      <c r="A21" s="130" t="str">
        <f>IF(F21&lt;&gt;"",Var_Neo_InfB_Cont_Stand_13/10,"")</f>
        <v/>
      </c>
      <c r="B21" s="131"/>
      <c r="C21" s="132"/>
      <c r="D21" s="109" t="str">
        <f>IF(F21&lt;&gt;"","Zijlijn 3","")</f>
        <v/>
      </c>
      <c r="E21" s="116"/>
      <c r="F21" s="116" t="str">
        <f>IF(NeoBerInfB!E35&gt;1,INDEX(Tbl_Neo_OplVlst,NeoBerInfB!E35,1),"")</f>
        <v/>
      </c>
      <c r="G21" s="116"/>
      <c r="H21" s="116"/>
      <c r="I21" s="116"/>
      <c r="J21" s="116"/>
      <c r="K21" s="116"/>
      <c r="L21" s="110"/>
      <c r="M21" s="126" t="str">
        <f>IF(F21&lt;&gt;"",TRUNC(A21*24),"")</f>
        <v/>
      </c>
      <c r="N21" s="117" t="str">
        <f>IF(F21&lt;&gt;"",((A21*24)-M21)*100,"")</f>
        <v/>
      </c>
      <c r="O21" s="113" t="str">
        <f>IF(Var_Neo_InfB_Cont_VochtExtra_14,"extra","")</f>
        <v/>
      </c>
      <c r="P21" s="114"/>
    </row>
    <row r="22" spans="1:16" ht="14.25" customHeight="1" x14ac:dyDescent="0.2">
      <c r="A22" s="130" t="str">
        <f>IF(D22&lt;&gt;"",ROUNDUP(NeoBerInfB!C40/24,1),"")</f>
        <v/>
      </c>
      <c r="B22" s="131"/>
      <c r="C22" s="132"/>
      <c r="D22" s="109" t="str">
        <f>IF(NeoBerInfB!C40&lt;&gt;0,INDEX(Tbl_Neo_IntralipidSmof,Var_Neo_InfB_TPN_IntralipidSmof),"")</f>
        <v/>
      </c>
      <c r="E22" s="116"/>
      <c r="F22" s="116"/>
      <c r="G22" s="116"/>
      <c r="H22" s="116"/>
      <c r="I22" s="116"/>
      <c r="J22" s="116"/>
      <c r="K22" s="116"/>
      <c r="L22" s="110"/>
      <c r="M22" s="126" t="str">
        <f>IF(D22&lt;&gt;"",TRUNC(NeoBerInfB!C40),"")</f>
        <v/>
      </c>
      <c r="N22" s="117" t="str">
        <f>IF(D22&lt;&gt;"",(NeoBerInfB!C40-M22)*100,"")</f>
        <v/>
      </c>
      <c r="O22" s="113"/>
      <c r="P22" s="114"/>
    </row>
    <row r="23" spans="1:16" ht="14.25" customHeight="1" x14ac:dyDescent="0.2">
      <c r="A23" s="109" t="s">
        <v>129</v>
      </c>
      <c r="B23" s="110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28"/>
      <c r="N23" s="129"/>
      <c r="O23" s="113"/>
      <c r="P23" s="114"/>
    </row>
    <row r="24" spans="1:16" ht="14.25" customHeight="1" x14ac:dyDescent="0.2">
      <c r="A24" s="130" t="str">
        <f>IF(NeoBerInfB!B23&gt;1,NeoBerInfB!F23/10,"")</f>
        <v/>
      </c>
      <c r="B24" s="130"/>
      <c r="C24" s="890" t="str">
        <f>StringReplaceEPI( IF(A24&lt;&gt;"",IF(NeoBerInfB!B23&gt;1,INDEX(Tbl_Neo_MedIV,NeoBerInfB!B23,1),""),""))</f>
        <v/>
      </c>
      <c r="D24" s="891"/>
      <c r="E24" s="891"/>
      <c r="F24" s="891"/>
      <c r="G24" s="112" t="str">
        <f>IF(A24&lt;&gt;"",IF(NeoBerInfB!B23&gt;1,NeoBerInfB!C23/10,""),"")</f>
        <v/>
      </c>
      <c r="H24" s="111" t="str">
        <f>IF(A24&lt;&gt;"",IF(NeoBerInfB!B23&gt;1,INDEX(Tbl_Neo_MedIV,NeoBerInfB!B23,2),""),"")</f>
        <v/>
      </c>
      <c r="I24" s="111" t="str">
        <f>IF(A24&lt;&gt;"",IF(NeoBerInfB!B23&gt;1,INDEX(Tbl_Neo_MedIV,NeoBerInfB!B23,4),""),"")</f>
        <v/>
      </c>
      <c r="J24" s="111" t="str">
        <f>IF(A24&lt;&gt;"",IF(NeoBerInfB!B23&gt;1,INDEX(Tbl_Neo_MedIV,NeoBerInfB!B23,2)&amp;" = ",""),"")</f>
        <v/>
      </c>
      <c r="K24" s="111" t="str">
        <f>IF(A24&lt;&gt;"",IF(NeoBerInfB!B23&gt;1,INDEX(Tbl_Neo_MedIV,NeoBerInfB!B23,5),""),"")</f>
        <v/>
      </c>
      <c r="L24" s="111" t="s">
        <v>119</v>
      </c>
      <c r="M24" s="133" t="str">
        <f>IF(A24&lt;&gt;"",TRUNC((K24/I24)*G24),"")</f>
        <v/>
      </c>
      <c r="N24" s="134" t="str">
        <f>IF(A24&lt;&gt;"",(ROUND((K24/I24)*G24,2)-M24)*100,"")</f>
        <v/>
      </c>
      <c r="O24" s="113" t="str">
        <f>IF(C24&lt;&gt;"",IF(Var_Neo_InfB_Cont_VochtExtra_02,"extra",""),"")</f>
        <v/>
      </c>
      <c r="P24" s="114"/>
    </row>
    <row r="25" spans="1:16" ht="14.25" customHeight="1" x14ac:dyDescent="0.2">
      <c r="A25" s="130"/>
      <c r="B25" s="130"/>
      <c r="C25" s="125" t="str">
        <f>IF(A24&lt;&gt;"",A24&amp;" ml/uur","")</f>
        <v/>
      </c>
      <c r="D25" s="113"/>
      <c r="E25" s="113" t="str">
        <f>IF(A24&lt;&gt;"",CONCATENATE(" = ",NeoBerInfB!G23," ",NeoBerInfB!R23),"")</f>
        <v/>
      </c>
      <c r="F25" s="113"/>
      <c r="G25" s="113"/>
      <c r="H25" s="135"/>
      <c r="I25" s="113"/>
      <c r="J25" s="113" t="s">
        <v>405</v>
      </c>
      <c r="K25" s="113" t="str">
        <f>IF(A24&lt;&gt;"",IF(A24&gt;0,NeoBerInfB!P23,""),"")</f>
        <v/>
      </c>
      <c r="L25" s="113"/>
      <c r="M25" s="136" t="str">
        <f>IF(A24&lt;&gt;"",TRUNC(M26+N26/100-M24-N24/100),"")</f>
        <v/>
      </c>
      <c r="N25" s="137" t="str">
        <f>IF(A24&lt;&gt;"",(M26+N26/100-M24-N24/100-M25)*100,"")</f>
        <v/>
      </c>
      <c r="O25" s="113"/>
      <c r="P25" s="114"/>
    </row>
    <row r="26" spans="1:16" ht="14.25" customHeight="1" x14ac:dyDescent="0.2">
      <c r="A26" s="130"/>
      <c r="B26" s="130"/>
      <c r="C26" s="721" t="str">
        <f>IF(A24&lt;&gt;"","advies: "&amp;NeoBerInfB!S$23,"")</f>
        <v/>
      </c>
      <c r="D26" s="121"/>
      <c r="E26" s="121"/>
      <c r="F26" s="121"/>
      <c r="G26" s="121"/>
      <c r="H26" s="138"/>
      <c r="I26" s="121"/>
      <c r="J26" s="121"/>
      <c r="K26" s="139" t="s">
        <v>85</v>
      </c>
      <c r="L26" s="121"/>
      <c r="M26" s="126" t="str">
        <f>IF(A24&lt;&gt;"",TRUNC(Var_Neo_InfB_Cont_OplHoev_01),"")</f>
        <v/>
      </c>
      <c r="N26" s="117" t="str">
        <f>IF(A24&lt;&gt;"",(Var_Neo_InfB_Cont_OplHoev_01-M26)*100,"")</f>
        <v/>
      </c>
      <c r="O26" s="113"/>
      <c r="P26" s="114"/>
    </row>
    <row r="27" spans="1:16" ht="14.25" customHeight="1" x14ac:dyDescent="0.2">
      <c r="A27" s="130" t="str">
        <f>IF(NeoBerInfB!B24&gt;1,NeoBerInfB!F24/10,"")</f>
        <v/>
      </c>
      <c r="B27" s="130"/>
      <c r="C27" s="890" t="str">
        <f>StringReplaceEPI( IF(A27&lt;&gt;"",IF(NeoBerInfB!B24&gt;1,INDEX(Tbl_Neo_MedIV,NeoBerInfB!B24,1),""),""))</f>
        <v/>
      </c>
      <c r="D27" s="891"/>
      <c r="E27" s="891"/>
      <c r="F27" s="891"/>
      <c r="G27" s="112" t="str">
        <f>IF(A27&lt;&gt;"",IF(NeoBerInfB!B24&gt;1,NeoBerInfB!C24/10,""),"")</f>
        <v/>
      </c>
      <c r="H27" s="111" t="str">
        <f>IF(A27&lt;&gt;"",IF(NeoBerInfB!B24&gt;1,INDEX(Tbl_Neo_MedIV,NeoBerInfB!B24,2),""),"")</f>
        <v/>
      </c>
      <c r="I27" s="111" t="str">
        <f>IF(A27&lt;&gt;"",IF(NeoBerInfB!B24&gt;1,INDEX(Tbl_Neo_MedIV,NeoBerInfB!B24,4),""),"")</f>
        <v/>
      </c>
      <c r="J27" s="111" t="str">
        <f>IF(A27&lt;&gt;"",IF(NeoBerInfB!B24&gt;1,INDEX(Tbl_Neo_MedIV,NeoBerInfB!B24,2)&amp;" = ",""),"")</f>
        <v/>
      </c>
      <c r="K27" s="111" t="str">
        <f>IF(A27&lt;&gt;"",IF(NeoBerInfB!B24&gt;1,INDEX(Tbl_Neo_MedIV,NeoBerInfB!B24,5),""),"")</f>
        <v/>
      </c>
      <c r="L27" s="111" t="s">
        <v>119</v>
      </c>
      <c r="M27" s="136" t="str">
        <f>IF(A27&lt;&gt;"",TRUNC((K27/I27)*G27),"")</f>
        <v/>
      </c>
      <c r="N27" s="137" t="str">
        <f>IF(A27&lt;&gt;"",(IF(A27&gt;0,ROUND((K27/I27)*G27,2),0)-M27)*100,"")</f>
        <v/>
      </c>
      <c r="O27" s="113" t="str">
        <f>IF(C27&lt;&gt;"",IF(Var_Neo_InfB_Cont_VochtExtra_03,"extra",""),"")</f>
        <v/>
      </c>
      <c r="P27" s="114"/>
    </row>
    <row r="28" spans="1:16" ht="14.25" customHeight="1" x14ac:dyDescent="0.2">
      <c r="A28" s="130"/>
      <c r="B28" s="130"/>
      <c r="C28" s="125" t="str">
        <f>IF(A27&lt;&gt;"",A27&amp;" ml/uur","")</f>
        <v/>
      </c>
      <c r="D28" s="113"/>
      <c r="E28" s="113" t="str">
        <f>IF(A27&lt;&gt;"",CONCATENATE(" = ",NeoBerInfB!G24," ",NeoBerInfB!R24),"")</f>
        <v/>
      </c>
      <c r="F28" s="113"/>
      <c r="G28" s="113"/>
      <c r="H28" s="135"/>
      <c r="I28" s="113"/>
      <c r="J28" s="113" t="s">
        <v>405</v>
      </c>
      <c r="K28" s="113" t="str">
        <f>IF(A27&lt;&gt;"",IF(A27&gt;0,NeoBerInfB!P24,""),"")</f>
        <v/>
      </c>
      <c r="L28" s="113"/>
      <c r="M28" s="136" t="str">
        <f>IF(A27&lt;&gt;"",TRUNC(IF(A27&gt;0,M29+N29/100-M27-N27/100,0)),"")</f>
        <v/>
      </c>
      <c r="N28" s="137" t="str">
        <f>IF(A27&lt;&gt;"",(IF(A27&gt;0,M29+N29/100-M27-N27/100,0)-M28)*100,"")</f>
        <v/>
      </c>
      <c r="O28" s="113"/>
      <c r="P28" s="114"/>
    </row>
    <row r="29" spans="1:16" ht="14.25" customHeight="1" x14ac:dyDescent="0.2">
      <c r="A29" s="130"/>
      <c r="B29" s="130"/>
      <c r="C29" s="721" t="str">
        <f>IF(A27&lt;&gt;"","advies: "&amp;NeoBerInfB!S$24,"")</f>
        <v/>
      </c>
      <c r="D29" s="121"/>
      <c r="E29" s="121"/>
      <c r="F29" s="121"/>
      <c r="G29" s="121"/>
      <c r="H29" s="138"/>
      <c r="I29" s="121"/>
      <c r="J29" s="121"/>
      <c r="K29" s="139" t="s">
        <v>85</v>
      </c>
      <c r="L29" s="121"/>
      <c r="M29" s="126" t="str">
        <f>IF(A27&lt;&gt;"",TRUNC(Var_Neo_InfB_Cont_OplHoev_02),"")</f>
        <v/>
      </c>
      <c r="N29" s="117" t="str">
        <f>IF(A27&lt;&gt;"",(Var_Neo_InfB_Cont_OplHoev_02-M29)*100,"")</f>
        <v/>
      </c>
      <c r="O29" s="113"/>
      <c r="P29" s="114"/>
    </row>
    <row r="30" spans="1:16" ht="14.25" customHeight="1" x14ac:dyDescent="0.2">
      <c r="A30" s="130" t="str">
        <f>IF(NeoBerInfB!B25&gt;1,NeoBerInfB!F25/10,"")</f>
        <v/>
      </c>
      <c r="B30" s="130"/>
      <c r="C30" s="890" t="str">
        <f>StringReplaceEPI( IF(A30&lt;&gt;"",IF(NeoBerInfB!B25&gt;1,INDEX(Tbl_Neo_MedIV,NeoBerInfB!B25,1),""),""))</f>
        <v/>
      </c>
      <c r="D30" s="891"/>
      <c r="E30" s="891"/>
      <c r="F30" s="891"/>
      <c r="G30" s="112" t="str">
        <f>IF(A30&lt;&gt;"",IF(NeoBerInfB!B25&gt;1,NeoBerInfB!C25/10,""),"")</f>
        <v/>
      </c>
      <c r="H30" s="111" t="str">
        <f>IF(A30&lt;&gt;"",IF(NeoBerInfB!B25&gt;1,INDEX(Tbl_Neo_MedIV,NeoBerInfB!B25,2),""),"")</f>
        <v/>
      </c>
      <c r="I30" s="111" t="str">
        <f>IF(A30&lt;&gt;"",IF(NeoBerInfB!B25&gt;1,INDEX(Tbl_Neo_MedIV,NeoBerInfB!B25,4),""),"")</f>
        <v/>
      </c>
      <c r="J30" s="111" t="str">
        <f>IF(A30&lt;&gt;"",IF(NeoBerInfB!B25&gt;1,INDEX(Tbl_Neo_MedIV,NeoBerInfB!B25,2)&amp;" = ",""),"")</f>
        <v/>
      </c>
      <c r="K30" s="111" t="str">
        <f>IF(A30&lt;&gt;"",IF(NeoBerInfB!B25&gt;1,INDEX(Tbl_Neo_MedIV,NeoBerInfB!B25,5),""),"")</f>
        <v/>
      </c>
      <c r="L30" s="111" t="s">
        <v>119</v>
      </c>
      <c r="M30" s="133" t="str">
        <f>IF(A30&lt;&gt;"",TRUNC((K30/I30)*G30),"")</f>
        <v/>
      </c>
      <c r="N30" s="134" t="str">
        <f>IF(A30&lt;&gt;"",(IF(A30&gt;0,ROUND((K30/I30)*G30,2),0)-M30)*100,"")</f>
        <v/>
      </c>
      <c r="O30" s="113" t="str">
        <f>IF(C30&lt;&gt;"",IF(Var_Neo_InfB_Cont_VochtExtra_04,"extra",""),"")</f>
        <v/>
      </c>
      <c r="P30" s="114"/>
    </row>
    <row r="31" spans="1:16" ht="15" x14ac:dyDescent="0.2">
      <c r="A31" s="130"/>
      <c r="B31" s="130"/>
      <c r="C31" s="125" t="str">
        <f>IF(A30&lt;&gt;"",A30&amp;" ml/uur","")</f>
        <v/>
      </c>
      <c r="D31" s="113"/>
      <c r="E31" s="113" t="str">
        <f>IF(A30&lt;&gt;"",CONCATENATE(" = ",NeoBerInfB!G25," ",NeoBerInfB!R25),"")</f>
        <v/>
      </c>
      <c r="F31" s="113"/>
      <c r="G31" s="113"/>
      <c r="H31" s="135"/>
      <c r="I31" s="113"/>
      <c r="J31" s="113" t="s">
        <v>405</v>
      </c>
      <c r="K31" s="113" t="str">
        <f>IF(A30&lt;&gt;"",IF(A30&gt;0,NeoBerInfB!P25,""),"")</f>
        <v/>
      </c>
      <c r="L31" s="113"/>
      <c r="M31" s="136" t="str">
        <f>IF(A30&lt;&gt;"",TRUNC(IF(A30&gt;0,M32+N32/100-M30-N30/100,0)),"")</f>
        <v/>
      </c>
      <c r="N31" s="137" t="str">
        <f>IF(A30&lt;&gt;"",(IF(A30&gt;0,M32+N32/100-M30-N30/100,0)-M31)*100,"")</f>
        <v/>
      </c>
      <c r="O31" s="113"/>
      <c r="P31" s="114"/>
    </row>
    <row r="32" spans="1:16" ht="15" x14ac:dyDescent="0.2">
      <c r="A32" s="130"/>
      <c r="B32" s="130"/>
      <c r="C32" s="721" t="str">
        <f>IF(A30&lt;&gt;"","advies: "&amp;NeoBerInfB!S$25,"")</f>
        <v/>
      </c>
      <c r="D32" s="121"/>
      <c r="E32" s="121"/>
      <c r="F32" s="121"/>
      <c r="G32" s="121"/>
      <c r="H32" s="138"/>
      <c r="I32" s="121"/>
      <c r="J32" s="121"/>
      <c r="K32" s="139" t="s">
        <v>85</v>
      </c>
      <c r="L32" s="121"/>
      <c r="M32" s="126" t="str">
        <f>IF(A30&lt;&gt;"",TRUNC(Var_Neo_InfB_Cont_OplHoev_03),"")</f>
        <v/>
      </c>
      <c r="N32" s="117" t="str">
        <f>IF(A30&lt;&gt;"",(Var_Neo_InfB_Cont_OplHoev_03-M32)*100,"")</f>
        <v/>
      </c>
      <c r="O32" s="113"/>
      <c r="P32" s="114"/>
    </row>
    <row r="33" spans="1:16" ht="15" x14ac:dyDescent="0.2">
      <c r="A33" s="130" t="str">
        <f>IF(NeoBerInfB!B26&gt;1,NeoBerInfB!F26/10,"")</f>
        <v/>
      </c>
      <c r="B33" s="130"/>
      <c r="C33" s="890" t="str">
        <f>StringReplaceEPI( IF(A33&lt;&gt;"",IF(NeoBerInfB!B26&gt;1,INDEX(Tbl_Neo_MedIV,NeoBerInfB!B26,1),""),""))</f>
        <v/>
      </c>
      <c r="D33" s="891"/>
      <c r="E33" s="891"/>
      <c r="F33" s="891"/>
      <c r="G33" s="112" t="str">
        <f>IF(A33&lt;&gt;"",IF(NeoBerInfB!B26&gt;1,NeoBerInfB!C26/10,""),"")</f>
        <v/>
      </c>
      <c r="H33" s="111" t="str">
        <f>IF(A33&lt;&gt;"",IF(NeoBerInfB!B26&gt;1,INDEX(Tbl_Neo_MedIV,NeoBerInfB!B26,2),""),"")</f>
        <v/>
      </c>
      <c r="I33" s="111" t="str">
        <f>IF(A33&lt;&gt;"",IF(NeoBerInfB!B26&gt;1,INDEX(Tbl_Neo_MedIV,NeoBerInfB!B26,4),""),"")</f>
        <v/>
      </c>
      <c r="J33" s="111" t="str">
        <f>IF(A33&lt;&gt;"",IF(NeoBerInfB!B26&gt;1,INDEX(Tbl_Neo_MedIV,NeoBerInfB!B26,2)&amp;" = ",""),"")</f>
        <v/>
      </c>
      <c r="K33" s="111" t="str">
        <f>IF(A33&lt;&gt;"",IF(NeoBerInfB!B26&gt;1,INDEX(Tbl_Neo_MedIV,NeoBerInfB!B26,5),""),"")</f>
        <v/>
      </c>
      <c r="L33" s="111" t="s">
        <v>119</v>
      </c>
      <c r="M33" s="136" t="str">
        <f>IF(A33&lt;&gt;"",TRUNC((K33/I33)*G33),"")</f>
        <v/>
      </c>
      <c r="N33" s="137" t="str">
        <f>IF(A33&lt;&gt;"",(IF(A33&gt;0,ROUND((K33/I33)*G33,2),0)-M33)*100,"")</f>
        <v/>
      </c>
      <c r="O33" s="113" t="str">
        <f>IF(C33&lt;&gt;"",IF(Var_Neo_InfB_Cont_VochtExtra_05,"extra",""),"")</f>
        <v/>
      </c>
      <c r="P33" s="114"/>
    </row>
    <row r="34" spans="1:16" ht="15" x14ac:dyDescent="0.2">
      <c r="A34" s="130"/>
      <c r="B34" s="130"/>
      <c r="C34" s="125" t="str">
        <f>IF(A33&lt;&gt;"",A33&amp;" ml/uur","")</f>
        <v/>
      </c>
      <c r="D34" s="113"/>
      <c r="E34" s="113" t="str">
        <f>IF(A33&lt;&gt;"",CONCATENATE(" = ",NeoBerInfB!G26," ",NeoBerInfB!R26),"")</f>
        <v/>
      </c>
      <c r="F34" s="113"/>
      <c r="G34" s="113"/>
      <c r="H34" s="135"/>
      <c r="I34" s="113"/>
      <c r="J34" s="113" t="s">
        <v>405</v>
      </c>
      <c r="K34" s="113" t="str">
        <f>IF(A33&lt;&gt;"",IF(A33&gt;0,NeoBerInfB!P26,""),"")</f>
        <v/>
      </c>
      <c r="L34" s="113"/>
      <c r="M34" s="136" t="str">
        <f>IF(A33&lt;&gt;"",TRUNC(IF(A33&gt;0,M35+N35/100-M33-N33/100,0)),"")</f>
        <v/>
      </c>
      <c r="N34" s="137" t="str">
        <f>IF(A33&lt;&gt;"",(IF(A33&gt;0,M35+N35/100-M33-N33/100,0)-M34)*100,"")</f>
        <v/>
      </c>
      <c r="O34" s="113"/>
      <c r="P34" s="114"/>
    </row>
    <row r="35" spans="1:16" ht="15" x14ac:dyDescent="0.2">
      <c r="A35" s="130"/>
      <c r="B35" s="130"/>
      <c r="C35" s="721" t="str">
        <f>IF(A33&lt;&gt;"","advies: "&amp;NeoBerInfB!S$26,"")</f>
        <v/>
      </c>
      <c r="D35" s="121"/>
      <c r="E35" s="121"/>
      <c r="F35" s="121"/>
      <c r="G35" s="121"/>
      <c r="H35" s="138"/>
      <c r="I35" s="121"/>
      <c r="J35" s="121"/>
      <c r="K35" s="139" t="s">
        <v>85</v>
      </c>
      <c r="L35" s="121"/>
      <c r="M35" s="126" t="str">
        <f>IF(A33&lt;&gt;"",TRUNC(Var_Neo_InfB_Cont_OplHoev_04),"")</f>
        <v/>
      </c>
      <c r="N35" s="117" t="str">
        <f>IF(A33&lt;&gt;"",(Var_Neo_InfB_Cont_OplHoev_04-M35)*100,"")</f>
        <v/>
      </c>
      <c r="O35" s="113"/>
      <c r="P35" s="114"/>
    </row>
    <row r="36" spans="1:16" ht="15" x14ac:dyDescent="0.2">
      <c r="A36" s="130" t="str">
        <f>IF(NeoBerInfB!B27&gt;1,NeoBerInfB!F27/10,"")</f>
        <v/>
      </c>
      <c r="B36" s="130"/>
      <c r="C36" s="890" t="str">
        <f>StringReplaceEPI( IF(A36&lt;&gt;"",IF(NeoBerInfB!B27&gt;1,INDEX(Tbl_Neo_MedIV,NeoBerInfB!B27,1),""),""))</f>
        <v/>
      </c>
      <c r="D36" s="891"/>
      <c r="E36" s="891"/>
      <c r="F36" s="891"/>
      <c r="G36" s="112" t="str">
        <f>IF(A36&lt;&gt;"",IF(NeoBerInfB!B27&gt;1,NeoBerInfB!C27/10,""),"")</f>
        <v/>
      </c>
      <c r="H36" s="111" t="str">
        <f>IF(A36&lt;&gt;"",IF(NeoBerInfB!B27&gt;1,INDEX(Tbl_Neo_MedIV,NeoBerInfB!B27,2),""),"")</f>
        <v/>
      </c>
      <c r="I36" s="111" t="str">
        <f>IF(A36&lt;&gt;"",IF(NeoBerInfB!B27&gt;1,INDEX(Tbl_Neo_MedIV,NeoBerInfB!B27,4),""),"")</f>
        <v/>
      </c>
      <c r="J36" s="111" t="str">
        <f>IF(A36&lt;&gt;"",IF(NeoBerInfB!B27&gt;1,INDEX(Tbl_Neo_MedIV,NeoBerInfB!B27,2)&amp;" = ",""),"")</f>
        <v/>
      </c>
      <c r="K36" s="111" t="str">
        <f>IF(A36&lt;&gt;"",IF(NeoBerInfB!B27&gt;1,INDEX(Tbl_Neo_MedIV,NeoBerInfB!B27,5),""),"")</f>
        <v/>
      </c>
      <c r="L36" s="111" t="s">
        <v>119</v>
      </c>
      <c r="M36" s="133" t="str">
        <f>IF(A36&lt;&gt;"",TRUNC((K36/I36)*G36),"")</f>
        <v/>
      </c>
      <c r="N36" s="134" t="str">
        <f>IF(A36&lt;&gt;"",(IF(A36&gt;0,ROUND((K36/I36)*G36,2),0)-M36)*100,"")</f>
        <v/>
      </c>
      <c r="O36" s="113" t="str">
        <f>IF(C36&lt;&gt;"",IF(Var_Neo_InfB_Cont_VochtExtra_06,"extra",""),"")</f>
        <v/>
      </c>
      <c r="P36" s="114"/>
    </row>
    <row r="37" spans="1:16" ht="15" x14ac:dyDescent="0.2">
      <c r="A37" s="130"/>
      <c r="B37" s="130"/>
      <c r="C37" s="125" t="str">
        <f>IF(A36&lt;&gt;"",A36&amp;" ml/uur","")</f>
        <v/>
      </c>
      <c r="D37" s="113"/>
      <c r="E37" s="113" t="str">
        <f>IF(A36&lt;&gt;"",CONCATENATE(" = ",NeoBerInfB!G27," ",NeoBerInfB!R27),"")</f>
        <v/>
      </c>
      <c r="F37" s="113"/>
      <c r="G37" s="113"/>
      <c r="H37" s="135"/>
      <c r="I37" s="113"/>
      <c r="J37" s="113" t="s">
        <v>405</v>
      </c>
      <c r="K37" s="113" t="str">
        <f>IF(A36&lt;&gt;"",IF(A36&gt;0,NeoBerInfB!P27,""),"")</f>
        <v/>
      </c>
      <c r="L37" s="113"/>
      <c r="M37" s="136" t="str">
        <f>IF(A36&lt;&gt;"",TRUNC(IF(A36&gt;0,M38+N38/100-M36-N36/100,0)),"")</f>
        <v/>
      </c>
      <c r="N37" s="137" t="str">
        <f>IF(A36&lt;&gt;"",(IF(A36&gt;0,M38+N38/100-M36-N36/100,0)-M37)*100,"")</f>
        <v/>
      </c>
      <c r="O37" s="113"/>
      <c r="P37" s="114"/>
    </row>
    <row r="38" spans="1:16" ht="15" x14ac:dyDescent="0.2">
      <c r="A38" s="130"/>
      <c r="B38" s="130"/>
      <c r="C38" s="721" t="str">
        <f>IF(A36&lt;&gt;"","advies: "&amp;NeoBerInfB!S$27,"")</f>
        <v/>
      </c>
      <c r="D38" s="121"/>
      <c r="E38" s="121"/>
      <c r="F38" s="121"/>
      <c r="G38" s="121"/>
      <c r="H38" s="138"/>
      <c r="I38" s="121"/>
      <c r="J38" s="121"/>
      <c r="K38" s="139" t="s">
        <v>85</v>
      </c>
      <c r="L38" s="121"/>
      <c r="M38" s="126" t="str">
        <f>IF(A36&lt;&gt;"",TRUNC(Var_Neo_InfB_Cont_OplHoev_05),"")</f>
        <v/>
      </c>
      <c r="N38" s="117" t="str">
        <f>IF(A36&lt;&gt;"",(Var_Neo_InfB_Cont_OplHoev_05-M38)*100,"")</f>
        <v/>
      </c>
      <c r="O38" s="113"/>
      <c r="P38" s="114"/>
    </row>
    <row r="39" spans="1:16" ht="15" x14ac:dyDescent="0.2">
      <c r="A39" s="130" t="str">
        <f>IF(NeoBerInfB!B28&gt;1,NeoBerInfB!F28/10,"")</f>
        <v/>
      </c>
      <c r="B39" s="130"/>
      <c r="C39" s="890" t="str">
        <f>StringReplaceEPI(IF(A39&lt;&gt;"",IF(NeoBerInfB!B28&gt;1,INDEX(Tbl_Neo_MedIV,NeoBerInfB!B28,1),""),""))</f>
        <v/>
      </c>
      <c r="D39" s="891"/>
      <c r="E39" s="891"/>
      <c r="F39" s="891"/>
      <c r="G39" s="112" t="str">
        <f>IF(A39&lt;&gt;"",IF(NeoBerInfB!B28&gt;1,NeoBerInfB!C28/10,""),"")</f>
        <v/>
      </c>
      <c r="H39" s="111" t="str">
        <f>IF(A39&lt;&gt;"",IF(NeoBerInfB!B28&gt;1,INDEX(Tbl_Neo_MedIV,NeoBerInfB!B28,2),""),"")</f>
        <v/>
      </c>
      <c r="I39" s="111" t="str">
        <f>IF(A39&lt;&gt;"",IF(NeoBerInfB!B28&gt;1,INDEX(Tbl_Neo_MedIV,NeoBerInfB!B28,4),""),"")</f>
        <v/>
      </c>
      <c r="J39" s="111" t="str">
        <f>IF(A39&lt;&gt;"",IF(NeoBerInfB!B28&gt;1,INDEX(Tbl_Neo_MedIV,NeoBerInfB!B28,2)&amp;" = ",""),"")</f>
        <v/>
      </c>
      <c r="K39" s="111" t="str">
        <f>IF(A39&lt;&gt;"",IF(NeoBerInfB!B28&gt;1,INDEX(Tbl_Neo_MedIV,NeoBerInfB!B28,5),""),"")</f>
        <v/>
      </c>
      <c r="L39" s="111" t="s">
        <v>119</v>
      </c>
      <c r="M39" s="136" t="str">
        <f>IF(A39&lt;&gt;"",TRUNC((K39/I39)*G39),"")</f>
        <v/>
      </c>
      <c r="N39" s="137" t="str">
        <f>IF(A39&lt;&gt;"",(IF(A39&gt;0,ROUND((K39/I39)*G39,2),0)-M39)*100,"")</f>
        <v/>
      </c>
      <c r="O39" s="113" t="str">
        <f>IF(C39&lt;&gt;"",IF(Var_Neo_InfB_Cont_VochtExtra_07,"extra",""),"")</f>
        <v/>
      </c>
      <c r="P39" s="114"/>
    </row>
    <row r="40" spans="1:16" ht="15" x14ac:dyDescent="0.2">
      <c r="A40" s="130"/>
      <c r="B40" s="130"/>
      <c r="C40" s="125" t="str">
        <f>IF(A39&lt;&gt;"",A39&amp;" ml/uur","")</f>
        <v/>
      </c>
      <c r="D40" s="113"/>
      <c r="E40" s="113" t="str">
        <f>IF(A39&lt;&gt;"",CONCATENATE(" = ",NeoBerInfB!G28," ",NeoBerInfB!R28),"")</f>
        <v/>
      </c>
      <c r="F40" s="113"/>
      <c r="G40" s="113"/>
      <c r="H40" s="135"/>
      <c r="I40" s="113"/>
      <c r="J40" s="113" t="s">
        <v>405</v>
      </c>
      <c r="K40" s="113" t="str">
        <f>IF(A39&lt;&gt;"",IF(A39&gt;0,NeoBerInfB!P28,""),"")</f>
        <v/>
      </c>
      <c r="L40" s="113"/>
      <c r="M40" s="136" t="str">
        <f>IF(A39&lt;&gt;"",TRUNC(IF(A39&gt;0,M41+N41/100-M39-N39/100,0)),"")</f>
        <v/>
      </c>
      <c r="N40" s="137" t="str">
        <f>IF(A39&lt;&gt;"",(IF(A39&gt;0,M41+N41/100-M39-N39/100,0)-M40)*100,"")</f>
        <v/>
      </c>
      <c r="O40" s="113"/>
      <c r="P40" s="114"/>
    </row>
    <row r="41" spans="1:16" ht="15" x14ac:dyDescent="0.2">
      <c r="A41" s="130"/>
      <c r="B41" s="130"/>
      <c r="C41" s="721" t="str">
        <f>IF(A39&lt;&gt;"","advies: "&amp;NeoBerInfB!S$28,"")</f>
        <v/>
      </c>
      <c r="D41" s="121"/>
      <c r="E41" s="121"/>
      <c r="F41" s="121"/>
      <c r="G41" s="121"/>
      <c r="H41" s="138"/>
      <c r="I41" s="121"/>
      <c r="J41" s="121"/>
      <c r="K41" s="139" t="s">
        <v>85</v>
      </c>
      <c r="L41" s="121"/>
      <c r="M41" s="126" t="str">
        <f>IF(A39&lt;&gt;"",TRUNC(Var_Neo_InfB_Cont_OplHoev_06),"")</f>
        <v/>
      </c>
      <c r="N41" s="117" t="str">
        <f>IF(A39&lt;&gt;"",(Var_Neo_InfB_Cont_OplHoev_06-M41)*100,"")</f>
        <v/>
      </c>
      <c r="O41" s="113"/>
      <c r="P41" s="114"/>
    </row>
    <row r="42" spans="1:16" ht="15" x14ac:dyDescent="0.2">
      <c r="A42" s="130" t="str">
        <f>IF(NeoBerInfB!B29&gt;1,NeoBerInfB!F29/10,"")</f>
        <v/>
      </c>
      <c r="B42" s="130"/>
      <c r="C42" s="890" t="str">
        <f>StringReplaceEPI(IF(A42&lt;&gt;"",IF(NeoBerInfB!B29&gt;1,INDEX(Tbl_Neo_MedIV,NeoBerInfB!B29,1),""),""))</f>
        <v/>
      </c>
      <c r="D42" s="891"/>
      <c r="E42" s="891"/>
      <c r="F42" s="891"/>
      <c r="G42" s="112" t="str">
        <f>IF(A42&lt;&gt;"",IF(NeoBerInfB!B29&gt;1,NeoBerInfB!C29/10,""),"")</f>
        <v/>
      </c>
      <c r="H42" s="111" t="str">
        <f>IF(A42&lt;&gt;"",IF(NeoBerInfB!B29&gt;1,INDEX(Tbl_Neo_MedIV,NeoBerInfB!B29,2),""),"")</f>
        <v/>
      </c>
      <c r="I42" s="111" t="str">
        <f>IF(A42&lt;&gt;"",IF(NeoBerInfB!B29&gt;1,INDEX(Tbl_Neo_MedIV,NeoBerInfB!B29,4),""),"")</f>
        <v/>
      </c>
      <c r="J42" s="111" t="str">
        <f>IF(A42&lt;&gt;"",IF(NeoBerInfB!B29&gt;1,INDEX(Tbl_Neo_MedIV,NeoBerInfB!B29,2)&amp;" = ",""),"")</f>
        <v/>
      </c>
      <c r="K42" s="111" t="str">
        <f>IF(A42&lt;&gt;"",IF(NeoBerInfB!B29&gt;1,INDEX(Tbl_Neo_MedIV,NeoBerInfB!B29,5),""),"")</f>
        <v/>
      </c>
      <c r="L42" s="111" t="s">
        <v>119</v>
      </c>
      <c r="M42" s="133" t="str">
        <f>IF(A42&lt;&gt;"",TRUNC((K42/I42)*G42),"")</f>
        <v/>
      </c>
      <c r="N42" s="134" t="str">
        <f>IF(A42&lt;&gt;"",(IF(A42&gt;0,ROUND((K42/I42)*G42,2),0)-M42)*100,"")</f>
        <v/>
      </c>
      <c r="O42" s="113" t="str">
        <f>IF(C42&lt;&gt;"",IF(Var_Neo_InfB_Cont_VochtExtra_08,"extra",""),"")</f>
        <v/>
      </c>
      <c r="P42" s="114"/>
    </row>
    <row r="43" spans="1:16" ht="15" x14ac:dyDescent="0.2">
      <c r="A43" s="130"/>
      <c r="B43" s="130"/>
      <c r="C43" s="125" t="str">
        <f>IF(A42&lt;&gt;"",A42&amp;" ml/uur","")</f>
        <v/>
      </c>
      <c r="D43" s="113"/>
      <c r="E43" s="113" t="str">
        <f>IF(A42&lt;&gt;"",CONCATENATE(" = ",NeoBerInfB!G29," ",NeoBerInfB!R29),"")</f>
        <v/>
      </c>
      <c r="F43" s="113"/>
      <c r="G43" s="113"/>
      <c r="H43" s="135"/>
      <c r="I43" s="113"/>
      <c r="J43" s="113" t="s">
        <v>405</v>
      </c>
      <c r="K43" s="113" t="str">
        <f>IF(A42&lt;&gt;"",IF(A42&gt;0,NeoBerInfB!P29,""),"")</f>
        <v/>
      </c>
      <c r="L43" s="113"/>
      <c r="M43" s="136" t="str">
        <f>IF(A42&lt;&gt;"",TRUNC(IF(A42&gt;0,M44+N44/100-M42-N42/100,0)),"")</f>
        <v/>
      </c>
      <c r="N43" s="137" t="str">
        <f>IF(A42&lt;&gt;"",(IF(A42&gt;0,M44+N44/100-M42-N42/100,0)-M43)*100,"")</f>
        <v/>
      </c>
      <c r="O43" s="113"/>
      <c r="P43" s="114"/>
    </row>
    <row r="44" spans="1:16" ht="15" x14ac:dyDescent="0.2">
      <c r="A44" s="130"/>
      <c r="B44" s="130"/>
      <c r="C44" s="721" t="str">
        <f>IF(A42&lt;&gt;"","advies: "&amp;NeoBerInfB!S$29,"")</f>
        <v/>
      </c>
      <c r="D44" s="121"/>
      <c r="E44" s="121"/>
      <c r="F44" s="121"/>
      <c r="G44" s="121"/>
      <c r="H44" s="138"/>
      <c r="I44" s="121"/>
      <c r="J44" s="121"/>
      <c r="K44" s="139" t="s">
        <v>85</v>
      </c>
      <c r="L44" s="121"/>
      <c r="M44" s="126" t="str">
        <f>IF(A42&lt;&gt;"",TRUNC(Var_Neo_InfB_Cont_OplHoev_07),"")</f>
        <v/>
      </c>
      <c r="N44" s="117" t="str">
        <f>IF(A42&lt;&gt;"",(Var_Neo_InfB_Cont_OplHoev_07-M44)*100,"")</f>
        <v/>
      </c>
      <c r="O44" s="113"/>
      <c r="P44" s="114"/>
    </row>
    <row r="45" spans="1:16" ht="15" x14ac:dyDescent="0.2">
      <c r="A45" s="130" t="str">
        <f>IF(NeoBerInfB!B30&gt;1,NeoBerInfB!F30/10,"")</f>
        <v/>
      </c>
      <c r="B45" s="130"/>
      <c r="C45" s="890" t="str">
        <f>StringReplaceEPI(IF(A45&lt;&gt;"",IF(NeoBerInfB!B30&gt;1,INDEX(Tbl_Neo_MedIV,NeoBerInfB!B30,1),""),""))</f>
        <v/>
      </c>
      <c r="D45" s="891"/>
      <c r="E45" s="891"/>
      <c r="F45" s="891"/>
      <c r="G45" s="112" t="str">
        <f>IF(A45&lt;&gt;"",IF(NeoBerInfB!B30&gt;1,NeoBerInfB!C30/10,""),"")</f>
        <v/>
      </c>
      <c r="H45" s="111" t="str">
        <f>IF(A45&lt;&gt;"",IF(NeoBerInfB!B30&gt;1,INDEX(Tbl_Neo_MedIV,NeoBerInfB!B30,2),""),"")</f>
        <v/>
      </c>
      <c r="I45" s="111" t="str">
        <f>IF(A45&lt;&gt;"",IF(NeoBerInfB!B30&gt;1,INDEX(Tbl_Neo_MedIV,NeoBerInfB!B30,4),""),"")</f>
        <v/>
      </c>
      <c r="J45" s="111" t="str">
        <f>IF(A45&lt;&gt;"",IF(NeoBerInfB!B30&gt;1,INDEX(Tbl_Neo_MedIV,NeoBerInfB!B30,2)&amp;" = ",""),"")</f>
        <v/>
      </c>
      <c r="K45" s="111" t="str">
        <f>IF(A45&lt;&gt;"",IF(NeoBerInfB!B30&gt;1,INDEX(Tbl_Neo_MedIV,NeoBerInfB!B30,5),""),"")</f>
        <v/>
      </c>
      <c r="L45" s="111" t="s">
        <v>119</v>
      </c>
      <c r="M45" s="136" t="str">
        <f>IF(A45&lt;&gt;"",TRUNC((K45/I45)*G45),"")</f>
        <v/>
      </c>
      <c r="N45" s="137" t="str">
        <f>IF(A45&lt;&gt;"",(IF(A45&gt;0,ROUND((K45/I45)*G45,2),0)-M45)*100,"")</f>
        <v/>
      </c>
      <c r="O45" s="113" t="str">
        <f>IF(C45&lt;&gt;"",IF(Var_Neo_InfB_Cont_VochtExtra_09,"extra",""),"")</f>
        <v/>
      </c>
      <c r="P45" s="114"/>
    </row>
    <row r="46" spans="1:16" ht="15" x14ac:dyDescent="0.2">
      <c r="A46" s="130"/>
      <c r="B46" s="130"/>
      <c r="C46" s="125" t="str">
        <f>IF(A45&lt;&gt;"",A45&amp;" ml/uur","")</f>
        <v/>
      </c>
      <c r="D46" s="113"/>
      <c r="E46" s="113" t="str">
        <f>IF(A45&lt;&gt;"",CONCATENATE(" = ",NeoBerInfB!G30," ",NeoBerInfB!R30),"")</f>
        <v/>
      </c>
      <c r="F46" s="113"/>
      <c r="G46" s="113"/>
      <c r="H46" s="135"/>
      <c r="I46" s="113"/>
      <c r="J46" s="113" t="s">
        <v>405</v>
      </c>
      <c r="K46" s="113" t="str">
        <f>IF(A45&lt;&gt;"",IF(A45&gt;0,NeoBerInfB!P30,""),"")</f>
        <v/>
      </c>
      <c r="L46" s="113"/>
      <c r="M46" s="136" t="str">
        <f>IF(A45&lt;&gt;"",TRUNC(IF(A45&gt;0,M47+N47/100-M45-N45/100,0)),"")</f>
        <v/>
      </c>
      <c r="N46" s="137" t="str">
        <f>IF(A45&lt;&gt;"",(IF(A45&gt;0,M47+N47/100-M45-N45/100,0)-M46)*100,"")</f>
        <v/>
      </c>
      <c r="O46" s="113"/>
      <c r="P46" s="114"/>
    </row>
    <row r="47" spans="1:16" ht="15" x14ac:dyDescent="0.2">
      <c r="A47" s="130"/>
      <c r="B47" s="130"/>
      <c r="C47" s="721" t="str">
        <f>IF(A45&lt;&gt;"","advies: "&amp;NeoBerInfB!S$30,"")</f>
        <v/>
      </c>
      <c r="D47" s="121"/>
      <c r="E47" s="121"/>
      <c r="F47" s="121"/>
      <c r="G47" s="121"/>
      <c r="H47" s="138"/>
      <c r="I47" s="121"/>
      <c r="J47" s="121"/>
      <c r="K47" s="139" t="s">
        <v>85</v>
      </c>
      <c r="L47" s="121"/>
      <c r="M47" s="126" t="str">
        <f>IF(A45&lt;&gt;"",TRUNC(Var_Neo_InfB_Cont_OplHoev_08),"")</f>
        <v/>
      </c>
      <c r="N47" s="117" t="str">
        <f>IF(A45&lt;&gt;"",(Var_Neo_InfB_Cont_OplHoev_08-M47)*100,"")</f>
        <v/>
      </c>
      <c r="O47" s="113"/>
      <c r="P47" s="114"/>
    </row>
    <row r="48" spans="1:16" ht="15" x14ac:dyDescent="0.2">
      <c r="A48" s="130" t="str">
        <f>IF(NeoBerInfB!B31&gt;1,NeoBerInfB!F31/10,"")</f>
        <v/>
      </c>
      <c r="B48" s="130"/>
      <c r="C48" s="890" t="str">
        <f>StringReplaceEPI(IF(A48&lt;&gt;"",IF(NeoBerInfB!B31&gt;1,INDEX(Tbl_Neo_MedIV,NeoBerInfB!B31,1),""),""))</f>
        <v/>
      </c>
      <c r="D48" s="891"/>
      <c r="E48" s="891"/>
      <c r="F48" s="891"/>
      <c r="G48" s="112" t="str">
        <f>IF(A48&lt;&gt;"",IF(NeoBerInfB!B31&gt;1,NeoBerInfB!C31/10,""),"")</f>
        <v/>
      </c>
      <c r="H48" s="111" t="str">
        <f>IF(A48&lt;&gt;"",IF(NeoBerInfB!B31&gt;1,INDEX(Tbl_Neo_MedIV,NeoBerInfB!B31,2),""),"")</f>
        <v/>
      </c>
      <c r="I48" s="111" t="str">
        <f>IF(A48&lt;&gt;"",IF(NeoBerInfB!B31&gt;1,INDEX(Tbl_Neo_MedIV,NeoBerInfB!B31,4),""),"")</f>
        <v/>
      </c>
      <c r="J48" s="111" t="str">
        <f>IF(A48&lt;&gt;"",IF(NeoBerInfB!B31&gt;1,INDEX(Tbl_Neo_MedIV,NeoBerInfB!B31,2)&amp;" = ",""),"")</f>
        <v/>
      </c>
      <c r="K48" s="111" t="str">
        <f>IF(A48&lt;&gt;"",IF(NeoBerInfB!B31&gt;1,INDEX(Tbl_Neo_MedIV,NeoBerInfB!B31,5),""),"")</f>
        <v/>
      </c>
      <c r="L48" s="111" t="s">
        <v>119</v>
      </c>
      <c r="M48" s="133" t="str">
        <f>IF(A48&lt;&gt;"",TRUNC((K48/I48)*G48),"")</f>
        <v/>
      </c>
      <c r="N48" s="134" t="str">
        <f>IF(A48&lt;&gt;"",(IF(A48&gt;0,ROUND((K48/I48)*G48,2),0)-M48)*100,"")</f>
        <v/>
      </c>
      <c r="O48" s="113" t="str">
        <f>IF(C48&lt;&gt;"",IF(Var_Neo_InfB_Cont_VochtExtra_10,"extra",""),"")</f>
        <v/>
      </c>
      <c r="P48" s="114"/>
    </row>
    <row r="49" spans="1:16" ht="15" x14ac:dyDescent="0.2">
      <c r="A49" s="130"/>
      <c r="B49" s="130"/>
      <c r="C49" s="125" t="str">
        <f>IF(A48&lt;&gt;"",A48&amp;" ml/uur","")</f>
        <v/>
      </c>
      <c r="D49" s="113"/>
      <c r="E49" s="113" t="str">
        <f>IF(A48&lt;&gt;"",CONCATENATE(" = ",NeoBerInfB!G31," ",NeoBerInfB!R31),"")</f>
        <v/>
      </c>
      <c r="F49" s="113"/>
      <c r="G49" s="113"/>
      <c r="H49" s="135"/>
      <c r="I49" s="113"/>
      <c r="J49" s="113" t="s">
        <v>405</v>
      </c>
      <c r="K49" s="113" t="str">
        <f>IF(A48&lt;&gt;"",IF(A48&gt;0,NeoBerInfB!P31,""),"")</f>
        <v/>
      </c>
      <c r="L49" s="113"/>
      <c r="M49" s="136" t="str">
        <f>IF(A48&lt;&gt;"",TRUNC(IF(A48&gt;0,M50+N50/100-M48-N48/100,0)),"")</f>
        <v/>
      </c>
      <c r="N49" s="137" t="str">
        <f>IF(A48&lt;&gt;"",(IF(A48&gt;0,M50+N50/100-M48-N48/100,0)-M49)*100,"")</f>
        <v/>
      </c>
      <c r="O49" s="113"/>
      <c r="P49" s="114"/>
    </row>
    <row r="50" spans="1:16" ht="15" x14ac:dyDescent="0.2">
      <c r="A50" s="130"/>
      <c r="B50" s="130"/>
      <c r="C50" s="721" t="str">
        <f>IF(A48&lt;&gt;"","advies: "&amp;NeoBerInfB!S$31,"")</f>
        <v/>
      </c>
      <c r="D50" s="121"/>
      <c r="E50" s="121"/>
      <c r="F50" s="121"/>
      <c r="G50" s="121"/>
      <c r="H50" s="138"/>
      <c r="I50" s="121"/>
      <c r="J50" s="121"/>
      <c r="K50" s="139" t="s">
        <v>85</v>
      </c>
      <c r="L50" s="121"/>
      <c r="M50" s="126" t="str">
        <f>IF(A48&lt;&gt;"",TRUNC(Var_Neo_InfB_Cont_OplHoev_09),"")</f>
        <v/>
      </c>
      <c r="N50" s="117" t="str">
        <f>IF(A48&lt;&gt;"",(Var_Neo_InfB_Cont_OplHoev_09-M50)*100,"")</f>
        <v/>
      </c>
      <c r="O50" s="113"/>
      <c r="P50" s="114"/>
    </row>
    <row r="51" spans="1:16" ht="15" x14ac:dyDescent="0.2">
      <c r="A51" s="130" t="str">
        <f>IF(NeoBerInfB!B32&gt;1,NeoBerInfB!F32/10,"")</f>
        <v/>
      </c>
      <c r="B51" s="130"/>
      <c r="C51" s="890" t="str">
        <f>StringReplaceEPI(IF(A51&lt;&gt;"",IF(NeoBerInfB!B32&gt;1,INDEX(Tbl_Neo_MedIV,NeoBerInfB!B32,1),""),""))</f>
        <v/>
      </c>
      <c r="D51" s="891"/>
      <c r="E51" s="891"/>
      <c r="F51" s="891"/>
      <c r="G51" s="112" t="str">
        <f>IF(A51&lt;&gt;"",IF(NeoBerInfB!B32&gt;1,NeoBerInfB!C32/10,""),"")</f>
        <v/>
      </c>
      <c r="H51" s="111" t="str">
        <f>IF(A51&lt;&gt;"",IF(NeoBerInfB!B32&gt;1,INDEX(Tbl_Neo_MedIV,NeoBerInfB!B32,2),""),"")</f>
        <v/>
      </c>
      <c r="I51" s="111" t="str">
        <f>IF(A51&lt;&gt;"",IF(NeoBerInfB!B32&gt;1,INDEX(Tbl_Neo_MedIV,NeoBerInfB!B32,4),""),"")</f>
        <v/>
      </c>
      <c r="J51" s="111" t="str">
        <f>IF(A51&lt;&gt;"",IF(NeoBerInfB!B32&gt;1,INDEX(Tbl_Neo_MedIV,NeoBerInfB!B32,2)&amp;" = ",""),"")</f>
        <v/>
      </c>
      <c r="K51" s="111" t="str">
        <f>IF(A51&lt;&gt;"",IF(NeoBerInfB!B32&gt;1,INDEX(Tbl_Neo_MedIV,NeoBerInfB!B32,5),""),"")</f>
        <v/>
      </c>
      <c r="L51" s="111" t="s">
        <v>119</v>
      </c>
      <c r="M51" s="133" t="str">
        <f>IF(A51&lt;&gt;"",TRUNC((K51/I51)*G51),"")</f>
        <v/>
      </c>
      <c r="N51" s="134" t="str">
        <f>IF(A51&lt;&gt;"",(IF(A51&gt;0,ROUND((K51/I51)*G51,2),0)-M51)*100,"")</f>
        <v/>
      </c>
      <c r="O51" s="113" t="str">
        <f>IF(C51&lt;&gt;"",IF(Var_Neo_InfB_Cont_VochtExtra_11,"extra",""),"")</f>
        <v/>
      </c>
      <c r="P51" s="114"/>
    </row>
    <row r="52" spans="1:16" ht="15" x14ac:dyDescent="0.2">
      <c r="A52" s="130"/>
      <c r="B52" s="130"/>
      <c r="C52" s="125" t="str">
        <f>IF(A51&lt;&gt;"",A51&amp;" ml/uur","")</f>
        <v/>
      </c>
      <c r="D52" s="113"/>
      <c r="E52" s="113" t="str">
        <f>IF(A51&lt;&gt;"",CONCATENATE(" = ",NeoBerInfB!G32," ",NeoBerInfB!R32),"")</f>
        <v/>
      </c>
      <c r="F52" s="113"/>
      <c r="G52" s="113"/>
      <c r="H52" s="135"/>
      <c r="I52" s="113"/>
      <c r="J52" s="113" t="s">
        <v>405</v>
      </c>
      <c r="K52" s="113" t="str">
        <f>IF(A51&lt;&gt;"",IF(A51&gt;0,NeoBerInfB!P32,""),"")</f>
        <v/>
      </c>
      <c r="L52" s="113"/>
      <c r="M52" s="136" t="str">
        <f>IF(A51&lt;&gt;"",TRUNC(IF(A51&gt;0,M53+N53/100-M51-N51/100,0)),"")</f>
        <v/>
      </c>
      <c r="N52" s="137" t="str">
        <f>IF(A51&lt;&gt;"",(IF(A51&gt;0,M53+N53/100-M51-N51/100,0)-M52)*100,"")</f>
        <v/>
      </c>
      <c r="O52" s="113"/>
      <c r="P52" s="114"/>
    </row>
    <row r="53" spans="1:16" ht="15" x14ac:dyDescent="0.2">
      <c r="A53" s="130"/>
      <c r="B53" s="130"/>
      <c r="C53" s="721" t="str">
        <f>IF(A51&lt;&gt;"","advies: "&amp;NeoBerInfB!S$32,"")</f>
        <v/>
      </c>
      <c r="D53" s="121"/>
      <c r="E53" s="121"/>
      <c r="F53" s="121"/>
      <c r="G53" s="121"/>
      <c r="H53" s="138"/>
      <c r="I53" s="121"/>
      <c r="J53" s="121"/>
      <c r="K53" s="139" t="s">
        <v>85</v>
      </c>
      <c r="L53" s="121"/>
      <c r="M53" s="126" t="str">
        <f>IF(A51&lt;&gt;"",TRUNC(Var_Neo_InfB_Cont_OplHoev_10),"")</f>
        <v/>
      </c>
      <c r="N53" s="117" t="str">
        <f>IF(A51&lt;&gt;"",(Var_Neo_InfB_Cont_OplHoev_10-M53)*100,"")</f>
        <v/>
      </c>
      <c r="O53" s="113"/>
      <c r="P53" s="114"/>
    </row>
    <row r="54" spans="1:16" x14ac:dyDescent="0.2">
      <c r="A54" s="109"/>
      <c r="B54" s="110"/>
      <c r="C54" s="140" t="str">
        <f>IF(NeoBerInfB!B36=0,"",NeoBerInfB!B36)</f>
        <v/>
      </c>
      <c r="D54" s="116"/>
      <c r="E54" s="116"/>
      <c r="F54" s="116"/>
      <c r="G54" s="141"/>
      <c r="H54" s="116"/>
      <c r="I54" s="116"/>
      <c r="J54" s="116"/>
      <c r="K54" s="116"/>
      <c r="L54" s="110"/>
      <c r="M54" s="142"/>
      <c r="N54" s="142"/>
      <c r="O54" s="113"/>
      <c r="P54" s="114"/>
    </row>
    <row r="55" spans="1:16" x14ac:dyDescent="0.2">
      <c r="A55" s="109"/>
      <c r="B55" s="110"/>
      <c r="C55" s="140" t="str">
        <f>IF(NeoBerInfB!B37=0,"",NeoBerInfB!B37)</f>
        <v/>
      </c>
      <c r="D55" s="116"/>
      <c r="E55" s="116"/>
      <c r="F55" s="116"/>
      <c r="G55" s="141"/>
      <c r="H55" s="116"/>
      <c r="I55" s="116"/>
      <c r="J55" s="116"/>
      <c r="K55" s="116"/>
      <c r="L55" s="110"/>
      <c r="M55" s="142"/>
      <c r="N55" s="142"/>
      <c r="O55" s="113"/>
      <c r="P55" s="114"/>
    </row>
    <row r="56" spans="1:16" x14ac:dyDescent="0.2">
      <c r="A56" s="109"/>
      <c r="B56" s="110"/>
      <c r="C56" s="140"/>
      <c r="D56" s="116"/>
      <c r="E56" s="116"/>
      <c r="F56" s="116"/>
      <c r="G56" s="141"/>
      <c r="H56" s="116"/>
      <c r="I56" s="116"/>
      <c r="J56" s="116"/>
      <c r="K56" s="116"/>
      <c r="L56" s="110"/>
      <c r="M56" s="142"/>
      <c r="N56" s="142"/>
      <c r="O56" s="113"/>
      <c r="P56" s="114"/>
    </row>
    <row r="57" spans="1:16" x14ac:dyDescent="0.2">
      <c r="D57" s="143"/>
    </row>
  </sheetData>
  <mergeCells count="14">
    <mergeCell ref="I2:K2"/>
    <mergeCell ref="M2:N2"/>
    <mergeCell ref="M5:N5"/>
    <mergeCell ref="O5:P5"/>
    <mergeCell ref="C24:F24"/>
    <mergeCell ref="C42:F42"/>
    <mergeCell ref="C45:F45"/>
    <mergeCell ref="C48:F48"/>
    <mergeCell ref="C51:F51"/>
    <mergeCell ref="C27:F27"/>
    <mergeCell ref="C30:F30"/>
    <mergeCell ref="C33:F33"/>
    <mergeCell ref="C36:F36"/>
    <mergeCell ref="C39:F39"/>
  </mergeCells>
  <pageMargins left="0.7" right="0.7" top="0.75" bottom="0.75" header="0.3" footer="0.3"/>
  <pageSetup scale="85" orientation="portrait" r:id="rId1"/>
  <headerFooter>
    <oddHeader>&amp;LAfsprakenProgramma 0.30.03-beta</oddHeader>
  </headerFooter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  <pageSetUpPr fitToPage="1"/>
  </sheetPr>
  <dimension ref="A1:V39"/>
  <sheetViews>
    <sheetView topLeftCell="K1" workbookViewId="0">
      <selection activeCell="M5" sqref="M5"/>
    </sheetView>
  </sheetViews>
  <sheetFormatPr defaultColWidth="9.140625" defaultRowHeight="12.75" x14ac:dyDescent="0.2"/>
  <cols>
    <col min="1" max="1" width="9.140625" style="746"/>
    <col min="2" max="2" width="30.7109375" style="746" bestFit="1" customWidth="1"/>
    <col min="3" max="3" width="12.7109375" style="746" customWidth="1"/>
    <col min="4" max="4" width="18.7109375" style="746" customWidth="1"/>
    <col min="5" max="6" width="9.140625" style="746"/>
    <col min="7" max="11" width="11" style="746" customWidth="1"/>
    <col min="12" max="12" width="8.5703125" style="746" customWidth="1"/>
    <col min="13" max="13" width="22.5703125" style="746" customWidth="1"/>
    <col min="14" max="15" width="6.85546875" style="746" customWidth="1"/>
    <col min="16" max="16" width="37.85546875" style="746" customWidth="1"/>
    <col min="17" max="18" width="9.140625" style="746"/>
    <col min="19" max="19" width="107.42578125" style="746" customWidth="1"/>
    <col min="20" max="20" width="26" style="746" customWidth="1"/>
    <col min="21" max="16384" width="9.140625" style="746"/>
  </cols>
  <sheetData>
    <row r="1" spans="1:22" ht="38.25" x14ac:dyDescent="0.2">
      <c r="B1" s="812">
        <v>1</v>
      </c>
      <c r="C1" s="812">
        <f>B1+1</f>
        <v>2</v>
      </c>
      <c r="D1" s="812">
        <f t="shared" ref="D1:T1" si="0">C1+1</f>
        <v>3</v>
      </c>
      <c r="E1" s="812">
        <f t="shared" si="0"/>
        <v>4</v>
      </c>
      <c r="F1" s="812">
        <f t="shared" si="0"/>
        <v>5</v>
      </c>
      <c r="G1" s="812">
        <f t="shared" si="0"/>
        <v>6</v>
      </c>
      <c r="H1" s="812">
        <f t="shared" si="0"/>
        <v>7</v>
      </c>
      <c r="I1" s="812">
        <f t="shared" si="0"/>
        <v>8</v>
      </c>
      <c r="J1" s="812">
        <f t="shared" si="0"/>
        <v>9</v>
      </c>
      <c r="K1" s="812">
        <f t="shared" si="0"/>
        <v>10</v>
      </c>
      <c r="L1" s="812">
        <f t="shared" si="0"/>
        <v>11</v>
      </c>
      <c r="M1" s="812">
        <f t="shared" si="0"/>
        <v>12</v>
      </c>
      <c r="N1" s="812">
        <f t="shared" si="0"/>
        <v>13</v>
      </c>
      <c r="O1" s="812">
        <f t="shared" si="0"/>
        <v>14</v>
      </c>
      <c r="P1" s="812">
        <f t="shared" si="0"/>
        <v>15</v>
      </c>
      <c r="Q1" s="812">
        <f t="shared" si="0"/>
        <v>16</v>
      </c>
      <c r="R1" s="812">
        <f t="shared" si="0"/>
        <v>17</v>
      </c>
      <c r="S1" s="812">
        <f t="shared" si="0"/>
        <v>18</v>
      </c>
      <c r="T1" s="812">
        <f t="shared" si="0"/>
        <v>19</v>
      </c>
      <c r="U1" s="747" t="s">
        <v>6948</v>
      </c>
    </row>
    <row r="2" spans="1:22" ht="38.25" x14ac:dyDescent="0.2">
      <c r="A2" s="748"/>
      <c r="B2" s="749" t="s">
        <v>446</v>
      </c>
      <c r="C2" s="749" t="s">
        <v>3285</v>
      </c>
      <c r="D2" s="749" t="s">
        <v>4085</v>
      </c>
      <c r="E2" s="749" t="s">
        <v>4863</v>
      </c>
      <c r="F2" s="749" t="s">
        <v>4864</v>
      </c>
      <c r="G2" s="749" t="s">
        <v>830</v>
      </c>
      <c r="H2" s="749" t="s">
        <v>831</v>
      </c>
      <c r="I2" s="749" t="s">
        <v>829</v>
      </c>
      <c r="J2" s="749" t="s">
        <v>4858</v>
      </c>
      <c r="K2" s="749" t="s">
        <v>4856</v>
      </c>
      <c r="L2" s="749" t="s">
        <v>832</v>
      </c>
      <c r="M2" s="749" t="s">
        <v>4086</v>
      </c>
      <c r="N2" s="749" t="s">
        <v>4915</v>
      </c>
      <c r="O2" s="749" t="s">
        <v>42</v>
      </c>
      <c r="P2" s="749" t="s">
        <v>4876</v>
      </c>
      <c r="Q2" s="749" t="s">
        <v>6949</v>
      </c>
      <c r="R2" s="749" t="s">
        <v>4900</v>
      </c>
      <c r="S2" s="749" t="s">
        <v>4877</v>
      </c>
      <c r="T2" s="749" t="s">
        <v>447</v>
      </c>
      <c r="U2" s="748" t="s">
        <v>4038</v>
      </c>
      <c r="V2" s="746" t="s">
        <v>4081</v>
      </c>
    </row>
    <row r="3" spans="1:22" x14ac:dyDescent="0.2">
      <c r="A3" s="748">
        <v>1</v>
      </c>
      <c r="B3" s="748"/>
      <c r="C3" s="748"/>
      <c r="D3" s="748"/>
      <c r="E3" s="748"/>
      <c r="F3" s="748"/>
      <c r="G3" s="748"/>
      <c r="H3" s="748"/>
      <c r="L3" s="746">
        <v>1</v>
      </c>
      <c r="T3" s="748"/>
      <c r="V3" s="746">
        <v>1</v>
      </c>
    </row>
    <row r="4" spans="1:22" ht="114.75" x14ac:dyDescent="0.2">
      <c r="A4" s="748">
        <f>A3+1</f>
        <v>2</v>
      </c>
      <c r="B4" s="745" t="s">
        <v>159</v>
      </c>
      <c r="C4" s="745" t="s">
        <v>118</v>
      </c>
      <c r="D4" s="745" t="s">
        <v>451</v>
      </c>
      <c r="E4" s="745">
        <v>0.1</v>
      </c>
      <c r="F4" s="745">
        <v>1</v>
      </c>
      <c r="G4" s="745">
        <v>0.05</v>
      </c>
      <c r="H4" s="745">
        <v>0.1</v>
      </c>
      <c r="I4" s="743">
        <v>0.501</v>
      </c>
      <c r="J4" s="743">
        <v>0</v>
      </c>
      <c r="K4" s="743">
        <v>0.1</v>
      </c>
      <c r="L4" s="743">
        <v>3</v>
      </c>
      <c r="M4" s="814" t="s">
        <v>5090</v>
      </c>
      <c r="N4" s="743">
        <v>12</v>
      </c>
      <c r="O4" s="743">
        <v>0.5</v>
      </c>
      <c r="P4" s="743" t="s">
        <v>4878</v>
      </c>
      <c r="Q4" s="743">
        <v>1</v>
      </c>
      <c r="R4" s="743" t="s">
        <v>4879</v>
      </c>
      <c r="S4" s="743" t="s">
        <v>7112</v>
      </c>
      <c r="T4" s="813" t="s">
        <v>5090</v>
      </c>
      <c r="U4" s="746">
        <f t="shared" ref="U4:U25" si="1">HLOOKUP(C4,Tbl_Glob_Conv_EenhCont,VLOOKUP(D4,Tbl_Glob_Conv_EenhCont,2,FALSE),FALSE)</f>
        <v>16.666666666666668</v>
      </c>
      <c r="V4" s="746">
        <f>V3+1</f>
        <v>2</v>
      </c>
    </row>
    <row r="5" spans="1:22" ht="114.75" x14ac:dyDescent="0.2">
      <c r="A5" s="748">
        <f t="shared" ref="A5:A26" si="2">A4+1</f>
        <v>3</v>
      </c>
      <c r="B5" s="745" t="s">
        <v>109</v>
      </c>
      <c r="C5" s="745" t="s">
        <v>118</v>
      </c>
      <c r="D5" s="745" t="s">
        <v>321</v>
      </c>
      <c r="E5" s="745">
        <v>0.5</v>
      </c>
      <c r="F5" s="745">
        <v>1</v>
      </c>
      <c r="G5" s="745">
        <v>10</v>
      </c>
      <c r="H5" s="745">
        <v>200</v>
      </c>
      <c r="I5" s="743">
        <v>200.01</v>
      </c>
      <c r="J5" s="743">
        <v>1.5E-3</v>
      </c>
      <c r="K5" s="743">
        <v>0.02</v>
      </c>
      <c r="L5" s="743">
        <v>3</v>
      </c>
      <c r="M5" s="814" t="s">
        <v>5091</v>
      </c>
      <c r="N5" s="743">
        <v>12</v>
      </c>
      <c r="O5" s="743">
        <v>0.5</v>
      </c>
      <c r="P5" s="743" t="s">
        <v>4880</v>
      </c>
      <c r="Q5" s="743">
        <v>1</v>
      </c>
      <c r="R5" s="743" t="s">
        <v>4879</v>
      </c>
      <c r="S5" s="743" t="s">
        <v>7113</v>
      </c>
      <c r="T5" s="813" t="s">
        <v>5091</v>
      </c>
      <c r="U5" s="746">
        <f t="shared" si="1"/>
        <v>16666.666666666668</v>
      </c>
      <c r="V5" s="746">
        <f t="shared" ref="V5:V26" si="3">V4+1</f>
        <v>3</v>
      </c>
    </row>
    <row r="6" spans="1:22" ht="114.75" x14ac:dyDescent="0.2">
      <c r="A6" s="748">
        <f t="shared" si="2"/>
        <v>4</v>
      </c>
      <c r="B6" s="745" t="s">
        <v>329</v>
      </c>
      <c r="C6" s="745" t="s">
        <v>118</v>
      </c>
      <c r="D6" s="745" t="s">
        <v>451</v>
      </c>
      <c r="E6" s="745">
        <v>50</v>
      </c>
      <c r="F6" s="745">
        <v>1</v>
      </c>
      <c r="G6" s="745">
        <v>5</v>
      </c>
      <c r="H6" s="745">
        <v>15</v>
      </c>
      <c r="I6" s="743">
        <v>15.01</v>
      </c>
      <c r="J6" s="743">
        <v>0.6</v>
      </c>
      <c r="K6" s="743">
        <v>50</v>
      </c>
      <c r="L6" s="743">
        <v>3</v>
      </c>
      <c r="M6" s="814" t="s">
        <v>5092</v>
      </c>
      <c r="N6" s="743">
        <v>12</v>
      </c>
      <c r="O6" s="743">
        <v>0.5</v>
      </c>
      <c r="P6" s="743" t="s">
        <v>4881</v>
      </c>
      <c r="Q6" s="743">
        <v>1</v>
      </c>
      <c r="R6" s="743" t="s">
        <v>4879</v>
      </c>
      <c r="S6" s="743" t="s">
        <v>7114</v>
      </c>
      <c r="T6" s="813" t="s">
        <v>5092</v>
      </c>
      <c r="U6" s="746">
        <f t="shared" si="1"/>
        <v>16.666666666666668</v>
      </c>
      <c r="V6" s="746">
        <f t="shared" si="3"/>
        <v>4</v>
      </c>
    </row>
    <row r="7" spans="1:22" ht="102" x14ac:dyDescent="0.2">
      <c r="A7" s="748">
        <f t="shared" si="2"/>
        <v>5</v>
      </c>
      <c r="B7" s="745" t="s">
        <v>7627</v>
      </c>
      <c r="C7" s="745" t="s">
        <v>119</v>
      </c>
      <c r="D7" s="745" t="s">
        <v>6947</v>
      </c>
      <c r="E7" s="745">
        <v>1</v>
      </c>
      <c r="F7" s="745">
        <v>1</v>
      </c>
      <c r="G7" s="745">
        <v>2</v>
      </c>
      <c r="H7" s="745">
        <v>4</v>
      </c>
      <c r="I7" s="743">
        <v>4.01</v>
      </c>
      <c r="J7" s="743">
        <v>0</v>
      </c>
      <c r="K7" s="743">
        <v>0</v>
      </c>
      <c r="L7" s="743">
        <v>12</v>
      </c>
      <c r="M7" s="814" t="s">
        <v>7628</v>
      </c>
      <c r="N7" s="743">
        <v>24</v>
      </c>
      <c r="O7" s="743">
        <v>1</v>
      </c>
      <c r="P7" s="743" t="s">
        <v>7654</v>
      </c>
      <c r="Q7" s="743">
        <v>1</v>
      </c>
      <c r="R7" s="743" t="s">
        <v>4879</v>
      </c>
      <c r="S7" s="743" t="s">
        <v>7655</v>
      </c>
      <c r="T7" s="813" t="s">
        <v>7628</v>
      </c>
      <c r="U7" s="746">
        <f t="shared" si="1"/>
        <v>24</v>
      </c>
      <c r="V7" s="746">
        <f t="shared" si="3"/>
        <v>5</v>
      </c>
    </row>
    <row r="8" spans="1:22" ht="114.75" x14ac:dyDescent="0.2">
      <c r="A8" s="748">
        <f t="shared" si="2"/>
        <v>6</v>
      </c>
      <c r="B8" s="745" t="s">
        <v>33</v>
      </c>
      <c r="C8" s="745" t="s">
        <v>118</v>
      </c>
      <c r="D8" s="745" t="s">
        <v>583</v>
      </c>
      <c r="E8" s="745">
        <v>0.15</v>
      </c>
      <c r="F8" s="745">
        <v>1</v>
      </c>
      <c r="G8" s="745">
        <v>0.25</v>
      </c>
      <c r="H8" s="745">
        <v>2</v>
      </c>
      <c r="I8" s="743">
        <v>2.0099999999999998</v>
      </c>
      <c r="J8" s="743">
        <v>0</v>
      </c>
      <c r="K8" s="743">
        <v>0.15</v>
      </c>
      <c r="L8" s="743">
        <v>12</v>
      </c>
      <c r="M8" s="814" t="s">
        <v>5093</v>
      </c>
      <c r="N8" s="743">
        <v>12</v>
      </c>
      <c r="O8" s="743">
        <v>0.5</v>
      </c>
      <c r="P8" s="743" t="s">
        <v>4882</v>
      </c>
      <c r="Q8" s="743">
        <v>1</v>
      </c>
      <c r="R8" s="743" t="s">
        <v>4879</v>
      </c>
      <c r="S8" s="743" t="s">
        <v>7115</v>
      </c>
      <c r="T8" s="813" t="s">
        <v>5093</v>
      </c>
      <c r="U8" s="746">
        <f t="shared" si="1"/>
        <v>1000</v>
      </c>
      <c r="V8" s="746">
        <f t="shared" si="3"/>
        <v>6</v>
      </c>
    </row>
    <row r="9" spans="1:22" ht="114.75" x14ac:dyDescent="0.2">
      <c r="A9" s="748">
        <f t="shared" si="2"/>
        <v>7</v>
      </c>
      <c r="B9" s="745" t="s">
        <v>253</v>
      </c>
      <c r="C9" s="745" t="s">
        <v>118</v>
      </c>
      <c r="D9" s="745" t="s">
        <v>451</v>
      </c>
      <c r="E9" s="745">
        <v>12.5</v>
      </c>
      <c r="F9" s="745">
        <v>1</v>
      </c>
      <c r="G9" s="745">
        <v>2</v>
      </c>
      <c r="H9" s="745">
        <v>20</v>
      </c>
      <c r="I9" s="743">
        <v>20.010000000000002</v>
      </c>
      <c r="J9" s="743">
        <v>0</v>
      </c>
      <c r="K9" s="743">
        <v>12.5</v>
      </c>
      <c r="L9" s="743">
        <v>3</v>
      </c>
      <c r="M9" s="814" t="s">
        <v>5094</v>
      </c>
      <c r="N9" s="743">
        <v>12</v>
      </c>
      <c r="O9" s="743">
        <v>0.5</v>
      </c>
      <c r="P9" s="743" t="s">
        <v>4883</v>
      </c>
      <c r="Q9" s="743">
        <v>1</v>
      </c>
      <c r="R9" s="743" t="s">
        <v>4879</v>
      </c>
      <c r="S9" s="743" t="s">
        <v>7116</v>
      </c>
      <c r="T9" s="813" t="s">
        <v>5094</v>
      </c>
      <c r="U9" s="746">
        <f t="shared" si="1"/>
        <v>16.666666666666668</v>
      </c>
      <c r="V9" s="746">
        <f t="shared" si="3"/>
        <v>7</v>
      </c>
    </row>
    <row r="10" spans="1:22" s="747" customFormat="1" ht="114.75" x14ac:dyDescent="0.2">
      <c r="A10" s="748">
        <f t="shared" si="2"/>
        <v>8</v>
      </c>
      <c r="B10" s="750" t="s">
        <v>228</v>
      </c>
      <c r="C10" s="745" t="s">
        <v>118</v>
      </c>
      <c r="D10" s="751" t="s">
        <v>451</v>
      </c>
      <c r="E10" s="750">
        <v>40</v>
      </c>
      <c r="F10" s="750">
        <v>1</v>
      </c>
      <c r="G10" s="745">
        <v>1</v>
      </c>
      <c r="H10" s="745">
        <v>20</v>
      </c>
      <c r="I10" s="744">
        <v>20.010000000000002</v>
      </c>
      <c r="J10" s="744">
        <v>0</v>
      </c>
      <c r="K10" s="744">
        <v>40</v>
      </c>
      <c r="L10" s="744">
        <v>3</v>
      </c>
      <c r="M10" s="814" t="s">
        <v>5095</v>
      </c>
      <c r="N10" s="744">
        <v>12</v>
      </c>
      <c r="O10" s="743">
        <v>0.5</v>
      </c>
      <c r="P10" s="744" t="s">
        <v>4884</v>
      </c>
      <c r="Q10" s="744">
        <v>1</v>
      </c>
      <c r="R10" s="744" t="s">
        <v>4879</v>
      </c>
      <c r="S10" s="744" t="s">
        <v>7117</v>
      </c>
      <c r="T10" s="813" t="s">
        <v>5095</v>
      </c>
      <c r="U10" s="746">
        <f t="shared" si="1"/>
        <v>16.666666666666668</v>
      </c>
      <c r="V10" s="746">
        <f t="shared" si="3"/>
        <v>8</v>
      </c>
    </row>
    <row r="11" spans="1:22" ht="102" x14ac:dyDescent="0.2">
      <c r="A11" s="748">
        <f t="shared" si="2"/>
        <v>9</v>
      </c>
      <c r="B11" s="745" t="s">
        <v>5111</v>
      </c>
      <c r="C11" s="745" t="s">
        <v>118</v>
      </c>
      <c r="D11" s="745" t="s">
        <v>280</v>
      </c>
      <c r="E11" s="745">
        <v>20</v>
      </c>
      <c r="F11" s="745">
        <v>1</v>
      </c>
      <c r="G11" s="745">
        <v>0.5</v>
      </c>
      <c r="H11" s="745">
        <v>2</v>
      </c>
      <c r="I11" s="745">
        <v>2.0099999999999998</v>
      </c>
      <c r="J11" s="743">
        <v>2</v>
      </c>
      <c r="K11" s="752">
        <v>2</v>
      </c>
      <c r="L11" s="743">
        <v>2</v>
      </c>
      <c r="M11" s="814" t="s">
        <v>5096</v>
      </c>
      <c r="N11" s="745">
        <v>12</v>
      </c>
      <c r="O11" s="745">
        <v>0.5</v>
      </c>
      <c r="P11" s="745" t="s">
        <v>7895</v>
      </c>
      <c r="Q11" s="745">
        <v>1</v>
      </c>
      <c r="R11" s="745" t="s">
        <v>4879</v>
      </c>
      <c r="S11" s="745" t="s">
        <v>7896</v>
      </c>
      <c r="T11" s="813" t="s">
        <v>5096</v>
      </c>
      <c r="U11" s="746">
        <f t="shared" si="1"/>
        <v>1</v>
      </c>
      <c r="V11" s="746">
        <f t="shared" si="3"/>
        <v>9</v>
      </c>
    </row>
    <row r="12" spans="1:22" ht="25.5" x14ac:dyDescent="0.2">
      <c r="A12" s="748">
        <f t="shared" si="2"/>
        <v>10</v>
      </c>
      <c r="B12" s="745" t="s">
        <v>75</v>
      </c>
      <c r="C12" s="745" t="s">
        <v>118</v>
      </c>
      <c r="D12" s="745" t="s">
        <v>321</v>
      </c>
      <c r="E12" s="745">
        <v>0.01</v>
      </c>
      <c r="F12" s="745">
        <v>1</v>
      </c>
      <c r="G12" s="745">
        <v>5</v>
      </c>
      <c r="H12" s="745">
        <v>40</v>
      </c>
      <c r="I12" s="745">
        <v>40.01</v>
      </c>
      <c r="J12" s="743">
        <v>5.0000000000000001E-3</v>
      </c>
      <c r="K12" s="752">
        <v>0.01</v>
      </c>
      <c r="L12" s="743">
        <v>1</v>
      </c>
      <c r="M12" s="814" t="s">
        <v>5097</v>
      </c>
      <c r="N12" s="745">
        <v>12</v>
      </c>
      <c r="O12" s="745">
        <v>0.5</v>
      </c>
      <c r="P12" s="745" t="s">
        <v>4885</v>
      </c>
      <c r="Q12" s="745">
        <v>1</v>
      </c>
      <c r="R12" s="745" t="s">
        <v>4879</v>
      </c>
      <c r="S12" s="745" t="s">
        <v>7118</v>
      </c>
      <c r="T12" s="813" t="s">
        <v>5097</v>
      </c>
      <c r="U12" s="746">
        <f t="shared" si="1"/>
        <v>16666.666666666668</v>
      </c>
      <c r="V12" s="746">
        <f t="shared" si="3"/>
        <v>10</v>
      </c>
    </row>
    <row r="13" spans="1:22" ht="89.25" x14ac:dyDescent="0.2">
      <c r="A13" s="748">
        <f t="shared" si="2"/>
        <v>11</v>
      </c>
      <c r="B13" s="745" t="s">
        <v>356</v>
      </c>
      <c r="C13" s="745" t="s">
        <v>118</v>
      </c>
      <c r="D13" s="745" t="s">
        <v>363</v>
      </c>
      <c r="E13" s="745">
        <v>10</v>
      </c>
      <c r="F13" s="745">
        <v>1</v>
      </c>
      <c r="G13" s="745">
        <v>0.1</v>
      </c>
      <c r="H13" s="745">
        <v>1</v>
      </c>
      <c r="I13" s="743">
        <v>1.01</v>
      </c>
      <c r="J13" s="743">
        <v>0</v>
      </c>
      <c r="K13" s="743">
        <v>10</v>
      </c>
      <c r="L13" s="743">
        <v>3</v>
      </c>
      <c r="M13" s="814" t="s">
        <v>5098</v>
      </c>
      <c r="N13" s="745">
        <v>12</v>
      </c>
      <c r="O13" s="745">
        <v>0.5</v>
      </c>
      <c r="P13" s="743" t="s">
        <v>4886</v>
      </c>
      <c r="Q13" s="743">
        <v>1</v>
      </c>
      <c r="R13" s="743" t="s">
        <v>4879</v>
      </c>
      <c r="S13" s="743" t="s">
        <v>7119</v>
      </c>
      <c r="T13" s="813" t="s">
        <v>5098</v>
      </c>
      <c r="U13" s="746">
        <f t="shared" si="1"/>
        <v>1.6666666666666666E-2</v>
      </c>
      <c r="V13" s="746">
        <f t="shared" si="3"/>
        <v>11</v>
      </c>
    </row>
    <row r="14" spans="1:22" ht="114.75" x14ac:dyDescent="0.2">
      <c r="A14" s="748">
        <f t="shared" si="2"/>
        <v>12</v>
      </c>
      <c r="B14" s="745" t="s">
        <v>123</v>
      </c>
      <c r="C14" s="745" t="s">
        <v>118</v>
      </c>
      <c r="D14" s="745" t="s">
        <v>281</v>
      </c>
      <c r="E14" s="745">
        <v>10</v>
      </c>
      <c r="F14" s="745">
        <v>1</v>
      </c>
      <c r="G14" s="745">
        <v>1</v>
      </c>
      <c r="H14" s="745">
        <v>4</v>
      </c>
      <c r="I14" s="743">
        <v>4.01</v>
      </c>
      <c r="J14" s="743">
        <v>0.1</v>
      </c>
      <c r="K14" s="743">
        <v>10</v>
      </c>
      <c r="L14" s="743">
        <v>3</v>
      </c>
      <c r="M14" s="814" t="s">
        <v>5099</v>
      </c>
      <c r="N14" s="745">
        <v>12</v>
      </c>
      <c r="O14" s="745">
        <v>0.5</v>
      </c>
      <c r="P14" s="743" t="s">
        <v>4887</v>
      </c>
      <c r="Q14" s="743">
        <v>1</v>
      </c>
      <c r="R14" s="743" t="s">
        <v>4879</v>
      </c>
      <c r="S14" s="743" t="s">
        <v>7120</v>
      </c>
      <c r="T14" s="813" t="s">
        <v>5099</v>
      </c>
      <c r="U14" s="746">
        <f t="shared" si="1"/>
        <v>24</v>
      </c>
      <c r="V14" s="746">
        <f t="shared" si="3"/>
        <v>12</v>
      </c>
    </row>
    <row r="15" spans="1:22" ht="25.5" x14ac:dyDescent="0.2">
      <c r="A15" s="748">
        <f t="shared" si="2"/>
        <v>13</v>
      </c>
      <c r="B15" s="744" t="s">
        <v>358</v>
      </c>
      <c r="C15" s="745" t="s">
        <v>4045</v>
      </c>
      <c r="D15" s="753" t="s">
        <v>139</v>
      </c>
      <c r="E15" s="745">
        <v>1</v>
      </c>
      <c r="F15" s="745">
        <v>1</v>
      </c>
      <c r="G15" s="745">
        <v>0.01</v>
      </c>
      <c r="H15" s="745">
        <v>0.1</v>
      </c>
      <c r="I15" s="743">
        <v>0.10100000000000001</v>
      </c>
      <c r="J15" s="743">
        <v>0</v>
      </c>
      <c r="K15" s="743">
        <v>1</v>
      </c>
      <c r="L15" s="743">
        <v>12</v>
      </c>
      <c r="M15" s="814" t="s">
        <v>5100</v>
      </c>
      <c r="N15" s="745">
        <v>12</v>
      </c>
      <c r="O15" s="745">
        <v>0.5</v>
      </c>
      <c r="P15" s="743" t="s">
        <v>4888</v>
      </c>
      <c r="Q15" s="743">
        <v>1</v>
      </c>
      <c r="R15" s="743" t="s">
        <v>4879</v>
      </c>
      <c r="S15" s="743" t="s">
        <v>7658</v>
      </c>
      <c r="T15" s="813" t="s">
        <v>5100</v>
      </c>
      <c r="U15" s="746">
        <f t="shared" si="1"/>
        <v>1</v>
      </c>
      <c r="V15" s="746">
        <f t="shared" si="3"/>
        <v>13</v>
      </c>
    </row>
    <row r="16" spans="1:22" ht="114.75" x14ac:dyDescent="0.2">
      <c r="A16" s="748">
        <f t="shared" si="2"/>
        <v>14</v>
      </c>
      <c r="B16" s="744" t="s">
        <v>304</v>
      </c>
      <c r="C16" s="745" t="s">
        <v>118</v>
      </c>
      <c r="D16" s="753" t="s">
        <v>451</v>
      </c>
      <c r="E16" s="745">
        <v>1</v>
      </c>
      <c r="F16" s="745">
        <v>1</v>
      </c>
      <c r="G16" s="745">
        <v>0.01</v>
      </c>
      <c r="H16" s="745">
        <v>1.5</v>
      </c>
      <c r="I16" s="743">
        <v>1.5009999999999999</v>
      </c>
      <c r="J16" s="743">
        <v>0</v>
      </c>
      <c r="K16" s="743">
        <v>1</v>
      </c>
      <c r="L16" s="743">
        <v>3</v>
      </c>
      <c r="M16" s="814" t="s">
        <v>5101</v>
      </c>
      <c r="N16" s="745">
        <v>12</v>
      </c>
      <c r="O16" s="745">
        <v>0.5</v>
      </c>
      <c r="P16" s="743" t="s">
        <v>4889</v>
      </c>
      <c r="Q16" s="743">
        <v>1</v>
      </c>
      <c r="R16" s="743" t="s">
        <v>4879</v>
      </c>
      <c r="S16" s="743" t="s">
        <v>7121</v>
      </c>
      <c r="T16" s="813" t="s">
        <v>5101</v>
      </c>
      <c r="U16" s="746">
        <f t="shared" si="1"/>
        <v>16.666666666666668</v>
      </c>
      <c r="V16" s="746">
        <f t="shared" si="3"/>
        <v>14</v>
      </c>
    </row>
    <row r="17" spans="1:22" ht="102" x14ac:dyDescent="0.2">
      <c r="A17" s="748">
        <f t="shared" si="2"/>
        <v>15</v>
      </c>
      <c r="B17" s="744" t="s">
        <v>359</v>
      </c>
      <c r="C17" s="745" t="s">
        <v>118</v>
      </c>
      <c r="D17" s="753" t="s">
        <v>280</v>
      </c>
      <c r="E17" s="745">
        <v>5</v>
      </c>
      <c r="F17" s="745">
        <v>1</v>
      </c>
      <c r="G17" s="745">
        <v>0.25</v>
      </c>
      <c r="H17" s="745">
        <v>3</v>
      </c>
      <c r="I17" s="743">
        <v>3.01</v>
      </c>
      <c r="J17" s="743">
        <v>0</v>
      </c>
      <c r="K17" s="743">
        <v>5</v>
      </c>
      <c r="L17" s="743">
        <v>3</v>
      </c>
      <c r="M17" s="814" t="s">
        <v>5102</v>
      </c>
      <c r="N17" s="745">
        <v>12</v>
      </c>
      <c r="O17" s="745">
        <v>0.5</v>
      </c>
      <c r="P17" s="743" t="s">
        <v>4890</v>
      </c>
      <c r="Q17" s="743">
        <v>1</v>
      </c>
      <c r="R17" s="743" t="s">
        <v>4879</v>
      </c>
      <c r="S17" s="743" t="s">
        <v>7122</v>
      </c>
      <c r="T17" s="813" t="s">
        <v>5102</v>
      </c>
      <c r="U17" s="746">
        <f t="shared" si="1"/>
        <v>1</v>
      </c>
      <c r="V17" s="746">
        <f t="shared" si="3"/>
        <v>15</v>
      </c>
    </row>
    <row r="18" spans="1:22" ht="114.75" x14ac:dyDescent="0.2">
      <c r="A18" s="748">
        <f t="shared" si="2"/>
        <v>16</v>
      </c>
      <c r="B18" s="744" t="s">
        <v>4246</v>
      </c>
      <c r="C18" s="745" t="s">
        <v>118</v>
      </c>
      <c r="D18" s="753" t="s">
        <v>280</v>
      </c>
      <c r="E18" s="745">
        <v>20</v>
      </c>
      <c r="F18" s="745">
        <v>1</v>
      </c>
      <c r="G18" s="745">
        <v>5</v>
      </c>
      <c r="H18" s="745">
        <v>7</v>
      </c>
      <c r="I18" s="743">
        <v>7.01</v>
      </c>
      <c r="J18" s="743">
        <v>0</v>
      </c>
      <c r="K18" s="743">
        <v>20</v>
      </c>
      <c r="L18" s="743">
        <v>3</v>
      </c>
      <c r="M18" s="814" t="s">
        <v>5103</v>
      </c>
      <c r="N18" s="745">
        <v>48</v>
      </c>
      <c r="O18" s="745">
        <v>2</v>
      </c>
      <c r="P18" s="743" t="s">
        <v>4891</v>
      </c>
      <c r="Q18" s="743">
        <v>1</v>
      </c>
      <c r="R18" s="743" t="s">
        <v>4879</v>
      </c>
      <c r="S18" s="743" t="s">
        <v>7123</v>
      </c>
      <c r="T18" s="813" t="s">
        <v>5103</v>
      </c>
      <c r="U18" s="746">
        <f t="shared" si="1"/>
        <v>1</v>
      </c>
      <c r="V18" s="746">
        <f t="shared" si="3"/>
        <v>16</v>
      </c>
    </row>
    <row r="19" spans="1:22" ht="114.75" x14ac:dyDescent="0.2">
      <c r="A19" s="748">
        <f t="shared" si="2"/>
        <v>17</v>
      </c>
      <c r="B19" s="745" t="s">
        <v>275</v>
      </c>
      <c r="C19" s="745" t="s">
        <v>118</v>
      </c>
      <c r="D19" s="745" t="s">
        <v>280</v>
      </c>
      <c r="E19" s="745">
        <v>5</v>
      </c>
      <c r="F19" s="745">
        <v>1</v>
      </c>
      <c r="G19" s="745">
        <v>0.05</v>
      </c>
      <c r="H19" s="745">
        <v>5</v>
      </c>
      <c r="I19" s="743">
        <v>5.01</v>
      </c>
      <c r="J19" s="743">
        <v>0</v>
      </c>
      <c r="K19" s="743">
        <v>5</v>
      </c>
      <c r="L19" s="743">
        <v>3</v>
      </c>
      <c r="M19" s="814" t="s">
        <v>5104</v>
      </c>
      <c r="N19" s="745">
        <v>12</v>
      </c>
      <c r="O19" s="745">
        <v>0.5</v>
      </c>
      <c r="P19" s="745" t="s">
        <v>4892</v>
      </c>
      <c r="Q19" s="745">
        <v>1</v>
      </c>
      <c r="R19" s="745" t="s">
        <v>4879</v>
      </c>
      <c r="S19" s="745" t="s">
        <v>7124</v>
      </c>
      <c r="T19" s="813" t="s">
        <v>5104</v>
      </c>
      <c r="U19" s="746">
        <f t="shared" si="1"/>
        <v>1</v>
      </c>
      <c r="V19" s="746">
        <f t="shared" si="3"/>
        <v>17</v>
      </c>
    </row>
    <row r="20" spans="1:22" ht="114.75" x14ac:dyDescent="0.2">
      <c r="A20" s="748">
        <f t="shared" si="2"/>
        <v>18</v>
      </c>
      <c r="B20" s="744" t="s">
        <v>361</v>
      </c>
      <c r="C20" s="745" t="s">
        <v>118</v>
      </c>
      <c r="D20" s="753" t="s">
        <v>451</v>
      </c>
      <c r="E20" s="745">
        <v>1</v>
      </c>
      <c r="F20" s="745">
        <v>1</v>
      </c>
      <c r="G20" s="745">
        <v>0.25</v>
      </c>
      <c r="H20" s="745">
        <v>0.75</v>
      </c>
      <c r="I20" s="743">
        <v>0.75009999999999999</v>
      </c>
      <c r="J20" s="743">
        <v>0</v>
      </c>
      <c r="K20" s="743">
        <v>1</v>
      </c>
      <c r="L20" s="743">
        <v>3</v>
      </c>
      <c r="M20" s="814" t="s">
        <v>5105</v>
      </c>
      <c r="N20" s="745">
        <v>12</v>
      </c>
      <c r="O20" s="745">
        <v>0.5</v>
      </c>
      <c r="P20" s="743" t="s">
        <v>4893</v>
      </c>
      <c r="Q20" s="743">
        <v>1</v>
      </c>
      <c r="R20" s="743" t="s">
        <v>4879</v>
      </c>
      <c r="S20" s="743" t="s">
        <v>7125</v>
      </c>
      <c r="T20" s="813" t="s">
        <v>5105</v>
      </c>
      <c r="U20" s="746">
        <f t="shared" si="1"/>
        <v>16.666666666666668</v>
      </c>
      <c r="V20" s="746">
        <f t="shared" si="3"/>
        <v>18</v>
      </c>
    </row>
    <row r="21" spans="1:22" ht="114.75" x14ac:dyDescent="0.2">
      <c r="A21" s="748">
        <f t="shared" si="2"/>
        <v>19</v>
      </c>
      <c r="B21" s="744" t="s">
        <v>89</v>
      </c>
      <c r="C21" s="745" t="s">
        <v>118</v>
      </c>
      <c r="D21" s="753" t="s">
        <v>281</v>
      </c>
      <c r="E21" s="745">
        <v>1</v>
      </c>
      <c r="F21" s="745">
        <v>1</v>
      </c>
      <c r="G21" s="745">
        <v>0.125</v>
      </c>
      <c r="H21" s="745">
        <v>0.5</v>
      </c>
      <c r="I21" s="743">
        <v>0.501</v>
      </c>
      <c r="J21" s="743">
        <v>0</v>
      </c>
      <c r="K21" s="743">
        <v>1</v>
      </c>
      <c r="L21" s="743">
        <v>3</v>
      </c>
      <c r="M21" s="814" t="s">
        <v>5106</v>
      </c>
      <c r="N21" s="745">
        <v>12</v>
      </c>
      <c r="O21" s="745">
        <v>0.5</v>
      </c>
      <c r="P21" s="743" t="s">
        <v>7136</v>
      </c>
      <c r="Q21" s="743">
        <v>1</v>
      </c>
      <c r="R21" s="743" t="s">
        <v>4879</v>
      </c>
      <c r="S21" s="743" t="s">
        <v>7126</v>
      </c>
      <c r="T21" s="813" t="s">
        <v>5106</v>
      </c>
      <c r="U21" s="746">
        <f t="shared" si="1"/>
        <v>24</v>
      </c>
      <c r="V21" s="746">
        <f t="shared" si="3"/>
        <v>19</v>
      </c>
    </row>
    <row r="22" spans="1:22" ht="114.75" x14ac:dyDescent="0.2">
      <c r="A22" s="748">
        <f t="shared" si="2"/>
        <v>20</v>
      </c>
      <c r="B22" s="744" t="s">
        <v>4247</v>
      </c>
      <c r="C22" s="745" t="s">
        <v>118</v>
      </c>
      <c r="D22" s="753" t="s">
        <v>451</v>
      </c>
      <c r="E22" s="745">
        <v>1</v>
      </c>
      <c r="F22" s="745">
        <v>1</v>
      </c>
      <c r="G22" s="745">
        <v>0.5</v>
      </c>
      <c r="H22" s="745">
        <v>2</v>
      </c>
      <c r="I22" s="743">
        <v>2.0099999999999998</v>
      </c>
      <c r="J22" s="743">
        <v>0</v>
      </c>
      <c r="K22" s="743">
        <v>1</v>
      </c>
      <c r="L22" s="743">
        <v>3</v>
      </c>
      <c r="M22" s="814" t="s">
        <v>5107</v>
      </c>
      <c r="N22" s="745">
        <v>12</v>
      </c>
      <c r="O22" s="745">
        <v>0.5</v>
      </c>
      <c r="P22" s="743" t="s">
        <v>4894</v>
      </c>
      <c r="Q22" s="743">
        <v>1</v>
      </c>
      <c r="R22" s="743" t="s">
        <v>4879</v>
      </c>
      <c r="S22" s="743" t="s">
        <v>7127</v>
      </c>
      <c r="T22" s="813" t="s">
        <v>5107</v>
      </c>
      <c r="U22" s="746">
        <f t="shared" si="1"/>
        <v>16.666666666666668</v>
      </c>
      <c r="V22" s="746">
        <f t="shared" si="3"/>
        <v>20</v>
      </c>
    </row>
    <row r="23" spans="1:22" ht="114.75" x14ac:dyDescent="0.2">
      <c r="A23" s="748">
        <f t="shared" si="2"/>
        <v>21</v>
      </c>
      <c r="B23" s="745" t="s">
        <v>48</v>
      </c>
      <c r="C23" s="745" t="s">
        <v>118</v>
      </c>
      <c r="D23" s="745" t="s">
        <v>451</v>
      </c>
      <c r="E23" s="745">
        <v>25</v>
      </c>
      <c r="F23" s="745">
        <v>1</v>
      </c>
      <c r="G23" s="745">
        <v>0.5</v>
      </c>
      <c r="H23" s="745">
        <v>8</v>
      </c>
      <c r="I23" s="743">
        <v>8.01</v>
      </c>
      <c r="J23" s="743">
        <v>0</v>
      </c>
      <c r="K23" s="743">
        <v>25</v>
      </c>
      <c r="L23" s="743">
        <v>3</v>
      </c>
      <c r="M23" s="814" t="s">
        <v>5108</v>
      </c>
      <c r="N23" s="745">
        <v>12</v>
      </c>
      <c r="O23" s="745">
        <v>0.5</v>
      </c>
      <c r="P23" s="743" t="s">
        <v>7897</v>
      </c>
      <c r="Q23" s="743">
        <v>1</v>
      </c>
      <c r="R23" s="743" t="s">
        <v>4879</v>
      </c>
      <c r="S23" s="743" t="s">
        <v>7898</v>
      </c>
      <c r="T23" s="813" t="s">
        <v>5108</v>
      </c>
      <c r="U23" s="746">
        <f t="shared" si="1"/>
        <v>16.666666666666668</v>
      </c>
      <c r="V23" s="746">
        <f t="shared" si="3"/>
        <v>21</v>
      </c>
    </row>
    <row r="24" spans="1:22" ht="114.75" x14ac:dyDescent="0.2">
      <c r="A24" s="748">
        <f t="shared" si="2"/>
        <v>22</v>
      </c>
      <c r="B24" s="744" t="s">
        <v>300</v>
      </c>
      <c r="C24" s="745" t="s">
        <v>118</v>
      </c>
      <c r="D24" s="753" t="s">
        <v>451</v>
      </c>
      <c r="E24" s="745">
        <v>1</v>
      </c>
      <c r="F24" s="745">
        <v>1</v>
      </c>
      <c r="G24" s="745">
        <v>0.05</v>
      </c>
      <c r="H24" s="745">
        <v>2</v>
      </c>
      <c r="I24" s="743">
        <v>2.0099999999999998</v>
      </c>
      <c r="J24" s="743">
        <v>0</v>
      </c>
      <c r="K24" s="743">
        <v>1</v>
      </c>
      <c r="L24" s="743">
        <v>3</v>
      </c>
      <c r="M24" s="814" t="s">
        <v>5109</v>
      </c>
      <c r="N24" s="745">
        <v>12</v>
      </c>
      <c r="O24" s="745">
        <v>0.5</v>
      </c>
      <c r="P24" s="743" t="s">
        <v>4895</v>
      </c>
      <c r="Q24" s="743">
        <v>1</v>
      </c>
      <c r="R24" s="743" t="s">
        <v>4879</v>
      </c>
      <c r="S24" s="743" t="s">
        <v>7128</v>
      </c>
      <c r="T24" s="813" t="s">
        <v>5109</v>
      </c>
      <c r="U24" s="746">
        <f t="shared" si="1"/>
        <v>16.666666666666668</v>
      </c>
      <c r="V24" s="746">
        <f t="shared" si="3"/>
        <v>22</v>
      </c>
    </row>
    <row r="25" spans="1:22" ht="114.75" x14ac:dyDescent="0.2">
      <c r="A25" s="748">
        <f t="shared" si="2"/>
        <v>23</v>
      </c>
      <c r="B25" s="744" t="s">
        <v>206</v>
      </c>
      <c r="C25" s="745" t="s">
        <v>118</v>
      </c>
      <c r="D25" s="753" t="s">
        <v>280</v>
      </c>
      <c r="E25" s="745">
        <v>10</v>
      </c>
      <c r="F25" s="745">
        <v>1</v>
      </c>
      <c r="G25" s="745">
        <v>0.3</v>
      </c>
      <c r="H25" s="745">
        <v>2.2000000000000002</v>
      </c>
      <c r="I25" s="743">
        <v>2.2010000000000001</v>
      </c>
      <c r="J25" s="743">
        <v>0</v>
      </c>
      <c r="K25" s="743">
        <v>10</v>
      </c>
      <c r="L25" s="743">
        <v>3</v>
      </c>
      <c r="M25" s="814" t="s">
        <v>5110</v>
      </c>
      <c r="N25" s="745">
        <v>12</v>
      </c>
      <c r="O25" s="745">
        <v>0.5</v>
      </c>
      <c r="P25" s="743" t="s">
        <v>4896</v>
      </c>
      <c r="Q25" s="743">
        <v>1</v>
      </c>
      <c r="R25" s="743" t="s">
        <v>4879</v>
      </c>
      <c r="S25" s="743" t="s">
        <v>7129</v>
      </c>
      <c r="T25" s="813" t="s">
        <v>5110</v>
      </c>
      <c r="U25" s="746">
        <f t="shared" si="1"/>
        <v>1</v>
      </c>
      <c r="V25" s="746">
        <f t="shared" si="3"/>
        <v>23</v>
      </c>
    </row>
    <row r="26" spans="1:22" ht="114.75" x14ac:dyDescent="0.2">
      <c r="A26" s="748">
        <f t="shared" si="2"/>
        <v>24</v>
      </c>
      <c r="B26" s="744" t="s">
        <v>7629</v>
      </c>
      <c r="C26" s="745" t="s">
        <v>119</v>
      </c>
      <c r="D26" s="753" t="s">
        <v>6947</v>
      </c>
      <c r="E26" s="745">
        <v>1</v>
      </c>
      <c r="F26" s="745">
        <v>1</v>
      </c>
      <c r="G26" s="745">
        <v>2</v>
      </c>
      <c r="H26" s="745">
        <v>4</v>
      </c>
      <c r="I26" s="743">
        <v>4.01</v>
      </c>
      <c r="J26" s="743">
        <v>0</v>
      </c>
      <c r="K26" s="743">
        <v>0</v>
      </c>
      <c r="L26" s="743">
        <v>12</v>
      </c>
      <c r="M26" s="814" t="s">
        <v>7628</v>
      </c>
      <c r="N26" s="745">
        <v>24</v>
      </c>
      <c r="O26" s="745">
        <v>1</v>
      </c>
      <c r="P26" s="743" t="s">
        <v>7656</v>
      </c>
      <c r="Q26" s="743">
        <v>1</v>
      </c>
      <c r="R26" s="743" t="s">
        <v>4879</v>
      </c>
      <c r="S26" s="743" t="s">
        <v>7657</v>
      </c>
      <c r="T26" s="813" t="s">
        <v>7628</v>
      </c>
      <c r="U26" s="746">
        <f>HLOOKUP(C26,Tbl_Glob_Conv_EenhCont,VLOOKUP(D26,Tbl_Glob_Conv_EenhCont,2,FALSE),FALSE)</f>
        <v>24</v>
      </c>
      <c r="V26" s="746">
        <f t="shared" si="3"/>
        <v>24</v>
      </c>
    </row>
    <row r="27" spans="1:22" s="755" customFormat="1" x14ac:dyDescent="0.2">
      <c r="A27" s="754" t="s">
        <v>4075</v>
      </c>
      <c r="B27" s="755">
        <v>1</v>
      </c>
      <c r="C27" s="755">
        <f>B27+1</f>
        <v>2</v>
      </c>
      <c r="D27" s="755">
        <f t="shared" ref="D27:I27" si="4">C27+1</f>
        <v>3</v>
      </c>
      <c r="E27" s="755">
        <f t="shared" si="4"/>
        <v>4</v>
      </c>
      <c r="F27" s="755">
        <f t="shared" si="4"/>
        <v>5</v>
      </c>
      <c r="G27" s="755">
        <f t="shared" si="4"/>
        <v>6</v>
      </c>
      <c r="H27" s="755">
        <f t="shared" si="4"/>
        <v>7</v>
      </c>
      <c r="I27" s="755">
        <f t="shared" si="4"/>
        <v>8</v>
      </c>
      <c r="J27" s="755">
        <f t="shared" ref="J27" si="5">I27+1</f>
        <v>9</v>
      </c>
      <c r="K27" s="755">
        <f t="shared" ref="K27" si="6">J27+1</f>
        <v>10</v>
      </c>
      <c r="L27" s="755">
        <f t="shared" ref="L27" si="7">K27+1</f>
        <v>11</v>
      </c>
      <c r="M27" s="755">
        <f t="shared" ref="M27" si="8">L27+1</f>
        <v>12</v>
      </c>
      <c r="N27" s="755">
        <f t="shared" ref="N27" si="9">M27+1</f>
        <v>13</v>
      </c>
      <c r="O27" s="755">
        <f t="shared" ref="O27" si="10">N27+1</f>
        <v>14</v>
      </c>
      <c r="P27" s="755">
        <f t="shared" ref="P27" si="11">O27+1</f>
        <v>15</v>
      </c>
      <c r="Q27" s="755">
        <f t="shared" ref="Q27" si="12">P27+1</f>
        <v>16</v>
      </c>
      <c r="R27" s="755">
        <f t="shared" ref="R27" si="13">Q27+1</f>
        <v>17</v>
      </c>
      <c r="S27" s="755">
        <f t="shared" ref="S27" si="14">R27+1</f>
        <v>18</v>
      </c>
      <c r="T27" s="755">
        <f t="shared" ref="T27" si="15">S27+1</f>
        <v>19</v>
      </c>
      <c r="U27" s="755">
        <f t="shared" ref="U27" si="16">T27+1</f>
        <v>20</v>
      </c>
      <c r="V27" s="755">
        <v>21</v>
      </c>
    </row>
    <row r="29" spans="1:22" x14ac:dyDescent="0.2">
      <c r="B29" s="756" t="s">
        <v>6922</v>
      </c>
    </row>
    <row r="30" spans="1:22" ht="12.75" customHeight="1" x14ac:dyDescent="0.2">
      <c r="B30" s="898" t="s">
        <v>7130</v>
      </c>
      <c r="C30" s="898" t="s">
        <v>7130</v>
      </c>
      <c r="D30" s="898" t="s">
        <v>7130</v>
      </c>
      <c r="E30" s="898" t="s">
        <v>7130</v>
      </c>
      <c r="F30" s="898" t="s">
        <v>7130</v>
      </c>
      <c r="G30" s="898" t="s">
        <v>7130</v>
      </c>
      <c r="H30" s="898" t="s">
        <v>7130</v>
      </c>
      <c r="I30" s="898" t="s">
        <v>7130</v>
      </c>
      <c r="J30" s="898" t="s">
        <v>7130</v>
      </c>
      <c r="K30" s="898" t="s">
        <v>7130</v>
      </c>
      <c r="L30" s="898" t="s">
        <v>7130</v>
      </c>
    </row>
    <row r="31" spans="1:22" x14ac:dyDescent="0.2">
      <c r="B31" s="898" t="s">
        <v>7130</v>
      </c>
      <c r="C31" s="898" t="s">
        <v>7130</v>
      </c>
      <c r="D31" s="898" t="s">
        <v>7130</v>
      </c>
      <c r="E31" s="898" t="s">
        <v>7130</v>
      </c>
      <c r="F31" s="898" t="s">
        <v>7130</v>
      </c>
      <c r="G31" s="898" t="s">
        <v>7130</v>
      </c>
      <c r="H31" s="898" t="s">
        <v>7130</v>
      </c>
      <c r="I31" s="898" t="s">
        <v>7130</v>
      </c>
      <c r="J31" s="898" t="s">
        <v>7130</v>
      </c>
      <c r="K31" s="898" t="s">
        <v>7130</v>
      </c>
      <c r="L31" s="898" t="s">
        <v>7130</v>
      </c>
    </row>
    <row r="32" spans="1:22" x14ac:dyDescent="0.2">
      <c r="B32" s="898" t="s">
        <v>7130</v>
      </c>
      <c r="C32" s="898" t="s">
        <v>7130</v>
      </c>
      <c r="D32" s="898" t="s">
        <v>7130</v>
      </c>
      <c r="E32" s="898" t="s">
        <v>7130</v>
      </c>
      <c r="F32" s="898" t="s">
        <v>7130</v>
      </c>
      <c r="G32" s="898" t="s">
        <v>7130</v>
      </c>
      <c r="H32" s="898" t="s">
        <v>7130</v>
      </c>
      <c r="I32" s="898" t="s">
        <v>7130</v>
      </c>
      <c r="J32" s="898" t="s">
        <v>7130</v>
      </c>
      <c r="K32" s="898" t="s">
        <v>7130</v>
      </c>
      <c r="L32" s="898" t="s">
        <v>7130</v>
      </c>
    </row>
    <row r="33" spans="2:12" x14ac:dyDescent="0.2">
      <c r="B33" s="898" t="s">
        <v>7130</v>
      </c>
      <c r="C33" s="898" t="s">
        <v>7130</v>
      </c>
      <c r="D33" s="898" t="s">
        <v>7130</v>
      </c>
      <c r="E33" s="898" t="s">
        <v>7130</v>
      </c>
      <c r="F33" s="898" t="s">
        <v>7130</v>
      </c>
      <c r="G33" s="898" t="s">
        <v>7130</v>
      </c>
      <c r="H33" s="898" t="s">
        <v>7130</v>
      </c>
      <c r="I33" s="898" t="s">
        <v>7130</v>
      </c>
      <c r="J33" s="898" t="s">
        <v>7130</v>
      </c>
      <c r="K33" s="898" t="s">
        <v>7130</v>
      </c>
      <c r="L33" s="898" t="s">
        <v>7130</v>
      </c>
    </row>
    <row r="34" spans="2:12" x14ac:dyDescent="0.2">
      <c r="B34" s="898" t="s">
        <v>7130</v>
      </c>
      <c r="C34" s="898" t="s">
        <v>7130</v>
      </c>
      <c r="D34" s="898" t="s">
        <v>7130</v>
      </c>
      <c r="E34" s="898" t="s">
        <v>7130</v>
      </c>
      <c r="F34" s="898" t="s">
        <v>7130</v>
      </c>
      <c r="G34" s="898" t="s">
        <v>7130</v>
      </c>
      <c r="H34" s="898" t="s">
        <v>7130</v>
      </c>
      <c r="I34" s="898" t="s">
        <v>7130</v>
      </c>
      <c r="J34" s="898" t="s">
        <v>7130</v>
      </c>
      <c r="K34" s="898" t="s">
        <v>7130</v>
      </c>
      <c r="L34" s="898" t="s">
        <v>7130</v>
      </c>
    </row>
    <row r="35" spans="2:12" x14ac:dyDescent="0.2">
      <c r="B35" s="898" t="s">
        <v>7130</v>
      </c>
      <c r="C35" s="898" t="s">
        <v>7130</v>
      </c>
      <c r="D35" s="898" t="s">
        <v>7130</v>
      </c>
      <c r="E35" s="898" t="s">
        <v>7130</v>
      </c>
      <c r="F35" s="898" t="s">
        <v>7130</v>
      </c>
      <c r="G35" s="898" t="s">
        <v>7130</v>
      </c>
      <c r="H35" s="898" t="s">
        <v>7130</v>
      </c>
      <c r="I35" s="898" t="s">
        <v>7130</v>
      </c>
      <c r="J35" s="898" t="s">
        <v>7130</v>
      </c>
      <c r="K35" s="898" t="s">
        <v>7130</v>
      </c>
      <c r="L35" s="898" t="s">
        <v>7130</v>
      </c>
    </row>
    <row r="36" spans="2:12" x14ac:dyDescent="0.2">
      <c r="B36" s="898" t="s">
        <v>7130</v>
      </c>
      <c r="C36" s="898" t="s">
        <v>7130</v>
      </c>
      <c r="D36" s="898" t="s">
        <v>7130</v>
      </c>
      <c r="E36" s="898" t="s">
        <v>7130</v>
      </c>
      <c r="F36" s="898" t="s">
        <v>7130</v>
      </c>
      <c r="G36" s="898" t="s">
        <v>7130</v>
      </c>
      <c r="H36" s="898" t="s">
        <v>7130</v>
      </c>
      <c r="I36" s="898" t="s">
        <v>7130</v>
      </c>
      <c r="J36" s="898" t="s">
        <v>7130</v>
      </c>
      <c r="K36" s="898" t="s">
        <v>7130</v>
      </c>
      <c r="L36" s="898" t="s">
        <v>7130</v>
      </c>
    </row>
    <row r="37" spans="2:12" x14ac:dyDescent="0.2">
      <c r="B37" s="898" t="s">
        <v>7130</v>
      </c>
      <c r="C37" s="898" t="s">
        <v>7130</v>
      </c>
      <c r="D37" s="898" t="s">
        <v>7130</v>
      </c>
      <c r="E37" s="898" t="s">
        <v>7130</v>
      </c>
      <c r="F37" s="898" t="s">
        <v>7130</v>
      </c>
      <c r="G37" s="898" t="s">
        <v>7130</v>
      </c>
      <c r="H37" s="898" t="s">
        <v>7130</v>
      </c>
      <c r="I37" s="898" t="s">
        <v>7130</v>
      </c>
      <c r="J37" s="898" t="s">
        <v>7130</v>
      </c>
      <c r="K37" s="898" t="s">
        <v>7130</v>
      </c>
      <c r="L37" s="898" t="s">
        <v>7130</v>
      </c>
    </row>
    <row r="38" spans="2:12" x14ac:dyDescent="0.2">
      <c r="B38" s="898" t="s">
        <v>7130</v>
      </c>
      <c r="C38" s="898" t="s">
        <v>7130</v>
      </c>
      <c r="D38" s="898" t="s">
        <v>7130</v>
      </c>
      <c r="E38" s="898" t="s">
        <v>7130</v>
      </c>
      <c r="F38" s="898" t="s">
        <v>7130</v>
      </c>
      <c r="G38" s="898" t="s">
        <v>7130</v>
      </c>
      <c r="H38" s="898" t="s">
        <v>7130</v>
      </c>
      <c r="I38" s="898" t="s">
        <v>7130</v>
      </c>
      <c r="J38" s="898" t="s">
        <v>7130</v>
      </c>
      <c r="K38" s="898" t="s">
        <v>7130</v>
      </c>
      <c r="L38" s="898" t="s">
        <v>7130</v>
      </c>
    </row>
    <row r="39" spans="2:12" x14ac:dyDescent="0.2">
      <c r="B39" s="898" t="s">
        <v>7130</v>
      </c>
      <c r="C39" s="898" t="s">
        <v>7130</v>
      </c>
      <c r="D39" s="898" t="s">
        <v>7130</v>
      </c>
      <c r="E39" s="898" t="s">
        <v>7130</v>
      </c>
      <c r="F39" s="898" t="s">
        <v>7130</v>
      </c>
      <c r="G39" s="898" t="s">
        <v>7130</v>
      </c>
      <c r="H39" s="898" t="s">
        <v>7130</v>
      </c>
      <c r="I39" s="898" t="s">
        <v>7130</v>
      </c>
      <c r="J39" s="898" t="s">
        <v>7130</v>
      </c>
      <c r="K39" s="898" t="s">
        <v>7130</v>
      </c>
      <c r="L39" s="898" t="s">
        <v>7130</v>
      </c>
    </row>
  </sheetData>
  <sheetProtection selectLockedCells="1"/>
  <protectedRanges>
    <protectedRange password="CC20" sqref="B4:S26" name="NeoMedCont"/>
  </protectedRanges>
  <mergeCells count="1">
    <mergeCell ref="B30:L39"/>
  </mergeCells>
  <pageMargins left="0.7" right="0.7" top="0.75" bottom="0.75" header="0.3" footer="0.3"/>
  <pageSetup paperSize="9" scale="21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11" sqref="A11"/>
    </sheetView>
  </sheetViews>
  <sheetFormatPr defaultColWidth="9.140625" defaultRowHeight="12.75" x14ac:dyDescent="0.2"/>
  <cols>
    <col min="1" max="1" width="38.85546875" style="54" customWidth="1"/>
    <col min="2" max="16384" width="9.140625" style="54"/>
  </cols>
  <sheetData>
    <row r="1" spans="1:7" x14ac:dyDescent="0.2">
      <c r="A1" s="190" t="s">
        <v>4244</v>
      </c>
      <c r="B1" s="379">
        <v>1</v>
      </c>
      <c r="C1" s="379">
        <v>2</v>
      </c>
      <c r="D1" s="379">
        <v>3</v>
      </c>
      <c r="E1" s="379">
        <v>4</v>
      </c>
      <c r="F1" s="379">
        <v>5</v>
      </c>
      <c r="G1" s="379">
        <v>6</v>
      </c>
    </row>
    <row r="2" spans="1:7" x14ac:dyDescent="0.2">
      <c r="A2" s="366" t="s">
        <v>435</v>
      </c>
      <c r="B2" s="379"/>
      <c r="C2" s="379"/>
      <c r="D2" s="379"/>
      <c r="E2" s="379"/>
      <c r="F2" s="379"/>
      <c r="G2" s="379"/>
    </row>
    <row r="3" spans="1:7" x14ac:dyDescent="0.2">
      <c r="A3" s="146" t="s">
        <v>436</v>
      </c>
      <c r="B3" s="380">
        <v>50</v>
      </c>
      <c r="C3" s="380">
        <v>80</v>
      </c>
      <c r="D3" s="380">
        <v>110</v>
      </c>
      <c r="E3" s="380">
        <v>150</v>
      </c>
      <c r="F3" s="380">
        <v>150</v>
      </c>
      <c r="G3" s="380">
        <v>150</v>
      </c>
    </row>
    <row r="4" spans="1:7" x14ac:dyDescent="0.2">
      <c r="A4" s="146" t="s">
        <v>480</v>
      </c>
      <c r="B4" s="381">
        <f>80-(((_Pat_Gewicht)*1000)-500)/500*30</f>
        <v>110</v>
      </c>
      <c r="C4" s="381">
        <f>110-(((_Pat_Gewicht)*1000)-500)/500*30</f>
        <v>140</v>
      </c>
      <c r="D4" s="381">
        <f>150-(((_Pat_Gewicht)*1000)-500)/500*40</f>
        <v>190</v>
      </c>
      <c r="E4" s="381">
        <f>160-(((_Pat_Gewicht)*1000)-500)/500*10</f>
        <v>170</v>
      </c>
      <c r="F4" s="381">
        <v>160</v>
      </c>
      <c r="G4" s="381">
        <v>160</v>
      </c>
    </row>
    <row r="5" spans="1:7" x14ac:dyDescent="0.2">
      <c r="A5" s="193" t="s">
        <v>437</v>
      </c>
      <c r="B5" s="380">
        <v>30</v>
      </c>
      <c r="C5" s="380">
        <v>50</v>
      </c>
      <c r="D5" s="380">
        <v>70</v>
      </c>
      <c r="E5" s="380">
        <v>90</v>
      </c>
      <c r="F5" s="380">
        <v>110</v>
      </c>
      <c r="G5" s="380">
        <v>150</v>
      </c>
    </row>
    <row r="6" spans="1:7" x14ac:dyDescent="0.2">
      <c r="A6" s="146"/>
      <c r="B6" s="380"/>
      <c r="C6" s="380"/>
      <c r="D6" s="380"/>
      <c r="E6" s="380"/>
      <c r="F6" s="380"/>
      <c r="G6" s="380"/>
    </row>
    <row r="7" spans="1:7" x14ac:dyDescent="0.2">
      <c r="A7" s="148" t="s">
        <v>438</v>
      </c>
      <c r="B7" s="382"/>
      <c r="C7" s="382"/>
      <c r="D7" s="382"/>
      <c r="E7" s="382"/>
      <c r="F7" s="382"/>
      <c r="G7" s="382"/>
    </row>
    <row r="8" spans="1:7" x14ac:dyDescent="0.2">
      <c r="A8" s="146" t="s">
        <v>439</v>
      </c>
      <c r="B8" s="380"/>
      <c r="C8" s="380"/>
      <c r="D8" s="380"/>
      <c r="E8" s="380">
        <v>35</v>
      </c>
      <c r="F8" s="380">
        <v>35</v>
      </c>
      <c r="G8" s="380">
        <v>35</v>
      </c>
    </row>
    <row r="9" spans="1:7" x14ac:dyDescent="0.2">
      <c r="A9" s="146" t="s">
        <v>7889</v>
      </c>
      <c r="B9" s="380"/>
      <c r="C9" s="380" t="s">
        <v>440</v>
      </c>
      <c r="D9" s="380" t="s">
        <v>440</v>
      </c>
      <c r="E9" s="380"/>
      <c r="F9" s="380"/>
      <c r="G9" s="380"/>
    </row>
    <row r="10" spans="1:7" x14ac:dyDescent="0.2">
      <c r="A10" s="146" t="s">
        <v>402</v>
      </c>
      <c r="B10" s="380"/>
      <c r="C10" s="380" t="s">
        <v>441</v>
      </c>
      <c r="D10" s="380" t="s">
        <v>441</v>
      </c>
      <c r="E10" s="380"/>
      <c r="F10" s="380"/>
      <c r="G10" s="380"/>
    </row>
    <row r="11" spans="1:7" ht="15.75" x14ac:dyDescent="0.3">
      <c r="A11" s="146" t="s">
        <v>442</v>
      </c>
      <c r="B11" s="380" t="s">
        <v>440</v>
      </c>
      <c r="C11" s="380" t="s">
        <v>440</v>
      </c>
      <c r="D11" s="380" t="s">
        <v>440</v>
      </c>
      <c r="E11" s="380"/>
      <c r="F11" s="380"/>
      <c r="G11" s="380"/>
    </row>
    <row r="12" spans="1:7" ht="15.75" x14ac:dyDescent="0.3">
      <c r="A12" s="146" t="s">
        <v>443</v>
      </c>
      <c r="B12" s="380">
        <v>0.3</v>
      </c>
      <c r="C12" s="380">
        <v>0.3</v>
      </c>
      <c r="D12" s="380">
        <v>0.3</v>
      </c>
      <c r="E12" s="380"/>
      <c r="F12" s="380"/>
      <c r="G12" s="380"/>
    </row>
    <row r="13" spans="1:7" x14ac:dyDescent="0.2">
      <c r="A13" s="146" t="s">
        <v>160</v>
      </c>
      <c r="B13" s="380"/>
      <c r="C13" s="380">
        <v>1</v>
      </c>
      <c r="D13" s="380">
        <v>1</v>
      </c>
      <c r="E13" s="380"/>
      <c r="F13" s="380"/>
      <c r="G13" s="380"/>
    </row>
    <row r="14" spans="1:7" x14ac:dyDescent="0.2">
      <c r="A14" s="146" t="s">
        <v>444</v>
      </c>
      <c r="B14" s="380"/>
      <c r="C14" s="380">
        <v>7.5</v>
      </c>
      <c r="D14" s="380">
        <v>15</v>
      </c>
      <c r="E14" s="380"/>
      <c r="F14" s="380"/>
      <c r="G14" s="380"/>
    </row>
    <row r="15" spans="1:7" ht="12.75" customHeight="1" x14ac:dyDescent="0.2">
      <c r="A15" s="146" t="s">
        <v>445</v>
      </c>
      <c r="B15" s="380"/>
      <c r="C15" s="380">
        <v>2.5</v>
      </c>
      <c r="D15" s="380">
        <v>5</v>
      </c>
      <c r="E15" s="380">
        <v>7.5</v>
      </c>
      <c r="F15" s="380">
        <v>10</v>
      </c>
      <c r="G15" s="380">
        <v>12</v>
      </c>
    </row>
    <row r="16" spans="1:7" x14ac:dyDescent="0.2">
      <c r="A16" s="146"/>
      <c r="B16" s="146"/>
      <c r="C16" s="146"/>
      <c r="D16" s="55"/>
      <c r="E16" s="55"/>
      <c r="F16" s="55"/>
      <c r="G16" s="55"/>
    </row>
    <row r="18" spans="1:8" x14ac:dyDescent="0.2">
      <c r="B18" s="149"/>
      <c r="C18" s="149"/>
      <c r="D18" s="149"/>
      <c r="E18" s="149"/>
      <c r="F18" s="149"/>
      <c r="G18" s="149"/>
    </row>
    <row r="20" spans="1:8" x14ac:dyDescent="0.2">
      <c r="A20" s="62"/>
      <c r="B20" s="62"/>
      <c r="C20" s="62"/>
      <c r="D20" s="62"/>
      <c r="E20" s="62"/>
      <c r="F20" s="62"/>
      <c r="G20" s="62"/>
      <c r="H20" s="62"/>
    </row>
    <row r="21" spans="1:8" x14ac:dyDescent="0.2">
      <c r="A21" s="62"/>
      <c r="B21" s="62"/>
      <c r="C21" s="62"/>
      <c r="D21" s="62"/>
      <c r="E21" s="62"/>
      <c r="F21" s="62"/>
      <c r="G21" s="62"/>
      <c r="H21" s="62"/>
    </row>
    <row r="22" spans="1:8" x14ac:dyDescent="0.2">
      <c r="A22" s="62"/>
      <c r="B22" s="62"/>
      <c r="C22" s="62"/>
      <c r="D22" s="62"/>
      <c r="E22" s="62"/>
      <c r="F22" s="62"/>
      <c r="G22" s="62"/>
      <c r="H22" s="62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pageSetup paperSize="9" orientation="portrait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B34" sqref="B34"/>
    </sheetView>
  </sheetViews>
  <sheetFormatPr defaultColWidth="9.140625" defaultRowHeight="12.75" x14ac:dyDescent="0.2"/>
  <cols>
    <col min="1" max="1" width="32" style="162" customWidth="1"/>
    <col min="2" max="16384" width="9.140625" style="162"/>
  </cols>
  <sheetData>
    <row r="1" spans="1:13" x14ac:dyDescent="0.2">
      <c r="A1" s="364">
        <v>1</v>
      </c>
      <c r="B1" s="364">
        <v>2</v>
      </c>
      <c r="C1" s="364">
        <v>3</v>
      </c>
      <c r="D1" s="364">
        <v>4</v>
      </c>
      <c r="E1" s="364">
        <v>5</v>
      </c>
      <c r="F1" s="364">
        <v>6</v>
      </c>
      <c r="G1" s="364">
        <v>7</v>
      </c>
      <c r="H1" s="364">
        <v>8</v>
      </c>
      <c r="I1" s="364">
        <v>9</v>
      </c>
      <c r="J1" s="364">
        <v>10</v>
      </c>
      <c r="K1" s="364">
        <v>11</v>
      </c>
      <c r="L1" s="364">
        <v>12</v>
      </c>
      <c r="M1" s="364">
        <v>13</v>
      </c>
    </row>
    <row r="2" spans="1:13" x14ac:dyDescent="0.2">
      <c r="B2" s="364" t="s">
        <v>175</v>
      </c>
      <c r="C2" s="364" t="s">
        <v>144</v>
      </c>
      <c r="D2" s="364" t="s">
        <v>176</v>
      </c>
      <c r="E2" s="364" t="s">
        <v>145</v>
      </c>
      <c r="F2" s="364" t="s">
        <v>170</v>
      </c>
      <c r="G2" s="364" t="s">
        <v>171</v>
      </c>
      <c r="H2" s="364" t="s">
        <v>172</v>
      </c>
      <c r="I2" s="364" t="s">
        <v>177</v>
      </c>
      <c r="J2" s="364" t="s">
        <v>173</v>
      </c>
      <c r="K2" s="364" t="s">
        <v>723</v>
      </c>
      <c r="L2" s="364" t="s">
        <v>724</v>
      </c>
      <c r="M2" s="364" t="s">
        <v>449</v>
      </c>
    </row>
    <row r="3" spans="1:13" x14ac:dyDescent="0.2">
      <c r="A3" s="162" t="s">
        <v>4050</v>
      </c>
      <c r="B3" s="364" t="str">
        <f t="shared" ref="B3:M3" si="0">VLOOKUP(B$2,Tbl_Glob_Conversie,3,FALSE)</f>
        <v>kcal</v>
      </c>
      <c r="C3" s="364" t="str">
        <f t="shared" si="0"/>
        <v>gram</v>
      </c>
      <c r="D3" s="364" t="str">
        <f t="shared" si="0"/>
        <v>gram</v>
      </c>
      <c r="E3" s="364" t="str">
        <f t="shared" si="0"/>
        <v>gram</v>
      </c>
      <c r="F3" s="364" t="str">
        <f t="shared" si="0"/>
        <v>mmol</v>
      </c>
      <c r="G3" s="364" t="str">
        <f t="shared" si="0"/>
        <v>mmol</v>
      </c>
      <c r="H3" s="364" t="str">
        <f t="shared" si="0"/>
        <v>mmol</v>
      </c>
      <c r="I3" s="364" t="str">
        <f t="shared" si="0"/>
        <v>mmol</v>
      </c>
      <c r="J3" s="364" t="str">
        <f t="shared" si="0"/>
        <v>mmol</v>
      </c>
      <c r="K3" s="364" t="str">
        <f t="shared" si="0"/>
        <v>mmol</v>
      </c>
      <c r="L3" s="364" t="str">
        <f t="shared" si="0"/>
        <v>IE</v>
      </c>
      <c r="M3" s="364" t="str">
        <f t="shared" si="0"/>
        <v>mmol</v>
      </c>
    </row>
    <row r="5" spans="1:13" x14ac:dyDescent="0.2">
      <c r="A5" s="162" t="s">
        <v>120</v>
      </c>
      <c r="B5" s="162">
        <f t="shared" ref="B5:M15" si="1">VLOOKUP($A5,Tbl_Glob_BerVoeding,B$1,FALSE)</f>
        <v>0.68</v>
      </c>
      <c r="C5" s="162">
        <f t="shared" si="1"/>
        <v>0.01</v>
      </c>
      <c r="D5" s="162">
        <f t="shared" si="1"/>
        <v>7.0000000000000007E-2</v>
      </c>
      <c r="E5" s="162">
        <f t="shared" si="1"/>
        <v>0.04</v>
      </c>
      <c r="F5" s="162">
        <f t="shared" si="1"/>
        <v>8.6956000000000012E-3</v>
      </c>
      <c r="G5" s="162">
        <f t="shared" si="1"/>
        <v>1.2820500000000002E-2</v>
      </c>
      <c r="H5" s="162">
        <f t="shared" si="1"/>
        <v>7.4700000000000001E-3</v>
      </c>
      <c r="I5" s="162">
        <f t="shared" si="1"/>
        <v>4.8433499999999997E-3</v>
      </c>
      <c r="J5" s="162">
        <f t="shared" si="1"/>
        <v>1.23423E-3</v>
      </c>
      <c r="K5" s="162">
        <f t="shared" si="1"/>
        <v>1.7899999999999998E-5</v>
      </c>
      <c r="L5" s="162">
        <f t="shared" si="1"/>
        <v>0</v>
      </c>
      <c r="M5" s="162">
        <f t="shared" si="1"/>
        <v>1.212858E-2</v>
      </c>
    </row>
    <row r="6" spans="1:13" x14ac:dyDescent="0.2">
      <c r="A6" s="162" t="s">
        <v>794</v>
      </c>
      <c r="B6" s="162">
        <f t="shared" si="1"/>
        <v>0.68</v>
      </c>
      <c r="C6" s="162">
        <f t="shared" si="1"/>
        <v>0.01</v>
      </c>
      <c r="D6" s="162">
        <f t="shared" si="1"/>
        <v>7.0000000000000007E-2</v>
      </c>
      <c r="E6" s="162">
        <f t="shared" si="1"/>
        <v>0.04</v>
      </c>
      <c r="F6" s="162">
        <f t="shared" si="1"/>
        <v>8.6956000000000012E-3</v>
      </c>
      <c r="G6" s="162">
        <f t="shared" si="1"/>
        <v>1.2820500000000002E-2</v>
      </c>
      <c r="H6" s="162">
        <f t="shared" si="1"/>
        <v>7.4700000000000001E-3</v>
      </c>
      <c r="I6" s="162">
        <f t="shared" si="1"/>
        <v>4.8433499999999997E-3</v>
      </c>
      <c r="J6" s="162">
        <f t="shared" si="1"/>
        <v>1.23423E-3</v>
      </c>
      <c r="K6" s="162">
        <f t="shared" si="1"/>
        <v>1.7899999999999998E-5</v>
      </c>
      <c r="L6" s="162">
        <f t="shared" si="1"/>
        <v>0</v>
      </c>
      <c r="M6" s="162">
        <f t="shared" si="1"/>
        <v>1.212858E-2</v>
      </c>
    </row>
    <row r="7" spans="1:13" x14ac:dyDescent="0.2">
      <c r="A7" s="162" t="s">
        <v>795</v>
      </c>
      <c r="B7" s="162">
        <f t="shared" si="1"/>
        <v>0.68</v>
      </c>
      <c r="C7" s="162">
        <f t="shared" si="1"/>
        <v>0.01</v>
      </c>
      <c r="D7" s="162">
        <f t="shared" si="1"/>
        <v>7.0000000000000007E-2</v>
      </c>
      <c r="E7" s="162">
        <f t="shared" si="1"/>
        <v>0.04</v>
      </c>
      <c r="F7" s="162">
        <f t="shared" si="1"/>
        <v>8.6956000000000012E-3</v>
      </c>
      <c r="G7" s="162">
        <f t="shared" si="1"/>
        <v>1.2820500000000002E-2</v>
      </c>
      <c r="H7" s="162">
        <f t="shared" si="1"/>
        <v>7.4700000000000001E-3</v>
      </c>
      <c r="I7" s="162">
        <f t="shared" si="1"/>
        <v>4.8433499999999997E-3</v>
      </c>
      <c r="J7" s="162">
        <f t="shared" si="1"/>
        <v>1.23423E-3</v>
      </c>
      <c r="K7" s="162">
        <f t="shared" si="1"/>
        <v>1.7899999999999998E-5</v>
      </c>
      <c r="L7" s="162">
        <f t="shared" si="1"/>
        <v>0</v>
      </c>
      <c r="M7" s="162">
        <f t="shared" si="1"/>
        <v>1.212858E-2</v>
      </c>
    </row>
    <row r="8" spans="1:13" x14ac:dyDescent="0.2">
      <c r="A8" s="162" t="s">
        <v>796</v>
      </c>
      <c r="B8" s="162">
        <f t="shared" si="1"/>
        <v>0.68</v>
      </c>
      <c r="C8" s="162">
        <f t="shared" si="1"/>
        <v>0.01</v>
      </c>
      <c r="D8" s="162">
        <f t="shared" si="1"/>
        <v>7.0000000000000007E-2</v>
      </c>
      <c r="E8" s="162">
        <f t="shared" si="1"/>
        <v>0.04</v>
      </c>
      <c r="F8" s="162">
        <f t="shared" si="1"/>
        <v>8.6956000000000012E-3</v>
      </c>
      <c r="G8" s="162">
        <f t="shared" si="1"/>
        <v>1.2820500000000002E-2</v>
      </c>
      <c r="H8" s="162">
        <f t="shared" si="1"/>
        <v>7.4700000000000001E-3</v>
      </c>
      <c r="I8" s="162">
        <f t="shared" si="1"/>
        <v>4.8433499999999997E-3</v>
      </c>
      <c r="J8" s="162">
        <f t="shared" si="1"/>
        <v>1.23423E-3</v>
      </c>
      <c r="K8" s="162">
        <f t="shared" si="1"/>
        <v>1.7899999999999998E-5</v>
      </c>
      <c r="L8" s="162">
        <f t="shared" si="1"/>
        <v>0</v>
      </c>
      <c r="M8" s="162">
        <f t="shared" si="1"/>
        <v>1.212858E-2</v>
      </c>
    </row>
    <row r="9" spans="1:13" x14ac:dyDescent="0.2">
      <c r="A9" s="162" t="s">
        <v>797</v>
      </c>
      <c r="B9" s="162">
        <f t="shared" si="1"/>
        <v>0.68</v>
      </c>
      <c r="C9" s="162">
        <f t="shared" si="1"/>
        <v>0.01</v>
      </c>
      <c r="D9" s="162">
        <f t="shared" si="1"/>
        <v>7.0000000000000007E-2</v>
      </c>
      <c r="E9" s="162">
        <f t="shared" si="1"/>
        <v>0.04</v>
      </c>
      <c r="F9" s="162">
        <f t="shared" si="1"/>
        <v>8.6956000000000012E-3</v>
      </c>
      <c r="G9" s="162">
        <f t="shared" si="1"/>
        <v>1.2820500000000002E-2</v>
      </c>
      <c r="H9" s="162">
        <f t="shared" si="1"/>
        <v>7.4700000000000001E-3</v>
      </c>
      <c r="I9" s="162">
        <f t="shared" si="1"/>
        <v>4.8433499999999997E-3</v>
      </c>
      <c r="J9" s="162">
        <f t="shared" si="1"/>
        <v>1.23423E-3</v>
      </c>
      <c r="K9" s="162">
        <f t="shared" si="1"/>
        <v>1.7899999999999998E-5</v>
      </c>
      <c r="L9" s="162">
        <f t="shared" si="1"/>
        <v>0</v>
      </c>
      <c r="M9" s="162">
        <f t="shared" si="1"/>
        <v>1.212858E-2</v>
      </c>
    </row>
    <row r="10" spans="1:13" x14ac:dyDescent="0.2">
      <c r="A10" s="162" t="s">
        <v>798</v>
      </c>
      <c r="B10" s="162">
        <f t="shared" si="1"/>
        <v>0.68</v>
      </c>
      <c r="C10" s="162">
        <f t="shared" si="1"/>
        <v>0.01</v>
      </c>
      <c r="D10" s="162">
        <f t="shared" si="1"/>
        <v>7.0000000000000007E-2</v>
      </c>
      <c r="E10" s="162">
        <f t="shared" si="1"/>
        <v>0.04</v>
      </c>
      <c r="F10" s="162">
        <f t="shared" si="1"/>
        <v>8.6956000000000012E-3</v>
      </c>
      <c r="G10" s="162">
        <f t="shared" si="1"/>
        <v>1.2820500000000002E-2</v>
      </c>
      <c r="H10" s="162">
        <f t="shared" si="1"/>
        <v>7.4700000000000001E-3</v>
      </c>
      <c r="I10" s="162">
        <f t="shared" si="1"/>
        <v>4.8433499999999997E-3</v>
      </c>
      <c r="J10" s="162">
        <f t="shared" si="1"/>
        <v>1.23423E-3</v>
      </c>
      <c r="K10" s="162">
        <f t="shared" si="1"/>
        <v>1.7899999999999998E-5</v>
      </c>
      <c r="L10" s="162">
        <f t="shared" si="1"/>
        <v>0</v>
      </c>
      <c r="M10" s="162">
        <f t="shared" si="1"/>
        <v>1.212858E-2</v>
      </c>
    </row>
    <row r="11" spans="1:13" x14ac:dyDescent="0.2">
      <c r="A11" s="162" t="s">
        <v>799</v>
      </c>
      <c r="B11" s="162">
        <f t="shared" si="1"/>
        <v>0.68</v>
      </c>
      <c r="C11" s="162">
        <f t="shared" si="1"/>
        <v>0.01</v>
      </c>
      <c r="D11" s="162">
        <f t="shared" si="1"/>
        <v>7.0000000000000007E-2</v>
      </c>
      <c r="E11" s="162">
        <f t="shared" si="1"/>
        <v>0.04</v>
      </c>
      <c r="F11" s="162">
        <f t="shared" si="1"/>
        <v>8.6956000000000012E-3</v>
      </c>
      <c r="G11" s="162">
        <f t="shared" si="1"/>
        <v>1.2820500000000002E-2</v>
      </c>
      <c r="H11" s="162">
        <f t="shared" si="1"/>
        <v>7.4700000000000001E-3</v>
      </c>
      <c r="I11" s="162">
        <f t="shared" si="1"/>
        <v>4.8433499999999997E-3</v>
      </c>
      <c r="J11" s="162">
        <f t="shared" si="1"/>
        <v>1.23423E-3</v>
      </c>
      <c r="K11" s="162">
        <f t="shared" si="1"/>
        <v>1.7899999999999998E-5</v>
      </c>
      <c r="L11" s="162">
        <f t="shared" si="1"/>
        <v>0</v>
      </c>
      <c r="M11" s="162">
        <f t="shared" si="1"/>
        <v>1.212858E-2</v>
      </c>
    </row>
    <row r="12" spans="1:13" x14ac:dyDescent="0.2">
      <c r="A12" s="162" t="s">
        <v>728</v>
      </c>
      <c r="B12" s="162">
        <f t="shared" si="1"/>
        <v>0.8</v>
      </c>
      <c r="C12" s="162">
        <f t="shared" si="1"/>
        <v>2.6000000000000002E-2</v>
      </c>
      <c r="D12" s="162">
        <f t="shared" si="1"/>
        <v>8.4000000000000005E-2</v>
      </c>
      <c r="E12" s="162">
        <f t="shared" si="1"/>
        <v>3.9E-2</v>
      </c>
      <c r="F12" s="162">
        <f t="shared" si="1"/>
        <v>3.0434599999999999E-2</v>
      </c>
      <c r="G12" s="162">
        <f t="shared" si="1"/>
        <v>2.0512800000000001E-2</v>
      </c>
      <c r="H12" s="162">
        <f t="shared" si="1"/>
        <v>2.4899999999999999E-2</v>
      </c>
      <c r="I12" s="162">
        <f t="shared" si="1"/>
        <v>1.8081839999999998E-2</v>
      </c>
      <c r="J12" s="162">
        <f t="shared" si="1"/>
        <v>3.2912799999999997E-3</v>
      </c>
      <c r="K12" s="162">
        <f t="shared" si="1"/>
        <v>2.8639999999999997E-4</v>
      </c>
      <c r="L12" s="162">
        <f t="shared" si="1"/>
        <v>1.2</v>
      </c>
      <c r="M12" s="162">
        <f t="shared" si="1"/>
        <v>2.3975099999999999E-2</v>
      </c>
    </row>
    <row r="13" spans="1:13" x14ac:dyDescent="0.2">
      <c r="A13" s="162" t="s">
        <v>729</v>
      </c>
      <c r="B13" s="162">
        <f t="shared" si="1"/>
        <v>0.75</v>
      </c>
      <c r="C13" s="162">
        <f t="shared" si="1"/>
        <v>0.02</v>
      </c>
      <c r="D13" s="162">
        <f t="shared" si="1"/>
        <v>7.4999999999999997E-2</v>
      </c>
      <c r="E13" s="162">
        <f t="shared" si="1"/>
        <v>0.04</v>
      </c>
      <c r="F13" s="162">
        <f t="shared" si="1"/>
        <v>1.217384E-2</v>
      </c>
      <c r="G13" s="162">
        <f t="shared" si="1"/>
        <v>1.9743570000000002E-2</v>
      </c>
      <c r="H13" s="162">
        <f t="shared" si="1"/>
        <v>2.1662999999999998E-2</v>
      </c>
      <c r="I13" s="162">
        <f t="shared" si="1"/>
        <v>1.517583E-2</v>
      </c>
      <c r="J13" s="162">
        <f t="shared" si="1"/>
        <v>2.8798700000000001E-3</v>
      </c>
      <c r="K13" s="162">
        <f t="shared" si="1"/>
        <v>2.1479999999999999E-4</v>
      </c>
      <c r="L13" s="162">
        <f t="shared" si="1"/>
        <v>0.68</v>
      </c>
      <c r="M13" s="162">
        <f t="shared" si="1"/>
        <v>1.5513299999999999E-2</v>
      </c>
    </row>
    <row r="14" spans="1:13" x14ac:dyDescent="0.2">
      <c r="A14" s="162" t="s">
        <v>452</v>
      </c>
      <c r="B14" s="162">
        <f t="shared" si="1"/>
        <v>0.66</v>
      </c>
      <c r="C14" s="162">
        <f t="shared" si="1"/>
        <v>1.3000000000000001E-2</v>
      </c>
      <c r="D14" s="162">
        <f t="shared" si="1"/>
        <v>7.2999999999999995E-2</v>
      </c>
      <c r="E14" s="162">
        <f t="shared" si="1"/>
        <v>3.4000000000000002E-2</v>
      </c>
      <c r="F14" s="162">
        <f t="shared" si="1"/>
        <v>7.3912600000000002E-3</v>
      </c>
      <c r="G14" s="162">
        <f t="shared" si="1"/>
        <v>1.7435880000000001E-2</v>
      </c>
      <c r="H14" s="162">
        <f t="shared" si="1"/>
        <v>1.4193000000000001E-2</v>
      </c>
      <c r="I14" s="162">
        <f t="shared" si="1"/>
        <v>1.033248E-2</v>
      </c>
      <c r="J14" s="162">
        <f t="shared" si="1"/>
        <v>2.0981909999999997E-3</v>
      </c>
      <c r="K14" s="162">
        <f t="shared" si="1"/>
        <v>6.981E-4</v>
      </c>
      <c r="L14" s="162">
        <f t="shared" si="1"/>
        <v>3.48</v>
      </c>
      <c r="M14" s="162">
        <f t="shared" si="1"/>
        <v>1.1846520000000001E-2</v>
      </c>
    </row>
    <row r="15" spans="1:13" x14ac:dyDescent="0.2">
      <c r="A15" s="162" t="s">
        <v>793</v>
      </c>
      <c r="B15" s="162">
        <f t="shared" si="1"/>
        <v>0.68</v>
      </c>
      <c r="C15" s="162">
        <f t="shared" si="1"/>
        <v>1.3999999999999999E-2</v>
      </c>
      <c r="D15" s="162">
        <f t="shared" si="1"/>
        <v>8.5999999999999993E-2</v>
      </c>
      <c r="E15" s="162">
        <f t="shared" si="1"/>
        <v>0.03</v>
      </c>
      <c r="F15" s="162">
        <f t="shared" si="1"/>
        <v>9.9999400000000006E-3</v>
      </c>
      <c r="G15" s="162">
        <f t="shared" si="1"/>
        <v>1.8974339999999999E-2</v>
      </c>
      <c r="H15" s="162">
        <f t="shared" si="1"/>
        <v>1.6184999999999998E-2</v>
      </c>
      <c r="I15" s="162">
        <f t="shared" si="1"/>
        <v>1.162404E-2</v>
      </c>
      <c r="J15" s="162">
        <f t="shared" si="1"/>
        <v>1.974768E-3</v>
      </c>
      <c r="K15" s="162">
        <f t="shared" si="1"/>
        <v>1.253E-3</v>
      </c>
      <c r="L15" s="162">
        <f t="shared" si="1"/>
        <v>0.56000000000000005</v>
      </c>
      <c r="M15" s="162">
        <f t="shared" si="1"/>
        <v>1.3256820000000001E-2</v>
      </c>
    </row>
    <row r="16" spans="1:13" x14ac:dyDescent="0.2">
      <c r="A16" s="162" t="s">
        <v>730</v>
      </c>
      <c r="B16" s="162">
        <f t="shared" ref="B16:M20" si="2">VLOOKUP($A16,Tbl_Glob_BerVoeding,B$1,FALSE)</f>
        <v>0.66</v>
      </c>
      <c r="C16" s="162">
        <f t="shared" si="2"/>
        <v>1.4999999999999999E-2</v>
      </c>
      <c r="D16" s="162">
        <f t="shared" si="2"/>
        <v>7.2000000000000008E-2</v>
      </c>
      <c r="E16" s="162">
        <f t="shared" si="2"/>
        <v>3.4000000000000002E-2</v>
      </c>
      <c r="F16" s="162">
        <f t="shared" si="2"/>
        <v>1.0869500000000001E-2</v>
      </c>
      <c r="G16" s="162">
        <f t="shared" si="2"/>
        <v>1.8717930000000001E-2</v>
      </c>
      <c r="H16" s="162">
        <f t="shared" si="2"/>
        <v>1.1453999999999999E-2</v>
      </c>
      <c r="I16" s="162">
        <f t="shared" si="2"/>
        <v>8.3951400000000006E-3</v>
      </c>
      <c r="J16" s="162">
        <f t="shared" si="2"/>
        <v>2.0981909999999997E-3</v>
      </c>
      <c r="K16" s="162">
        <f t="shared" si="2"/>
        <v>9.4870000000000005E-5</v>
      </c>
      <c r="L16" s="162">
        <f t="shared" si="2"/>
        <v>0.48</v>
      </c>
      <c r="M16" s="162">
        <f t="shared" si="2"/>
        <v>1.1564459999999999E-2</v>
      </c>
    </row>
    <row r="17" spans="1:13" x14ac:dyDescent="0.2">
      <c r="A17" s="162" t="s">
        <v>802</v>
      </c>
      <c r="B17" s="162">
        <f t="shared" si="2"/>
        <v>0.66299999999999992</v>
      </c>
      <c r="C17" s="162">
        <f t="shared" si="2"/>
        <v>1.4999999999999999E-2</v>
      </c>
      <c r="D17" s="162">
        <f t="shared" si="2"/>
        <v>7.0000000000000007E-2</v>
      </c>
      <c r="E17" s="162">
        <f t="shared" si="2"/>
        <v>3.6000000000000004E-2</v>
      </c>
      <c r="F17" s="162">
        <f t="shared" si="2"/>
        <v>8.826034E-3</v>
      </c>
      <c r="G17" s="162">
        <f t="shared" si="2"/>
        <v>1.7179470000000002E-2</v>
      </c>
      <c r="H17" s="162">
        <f t="shared" si="2"/>
        <v>1.3271699999999999E-2</v>
      </c>
      <c r="I17" s="162">
        <f t="shared" si="2"/>
        <v>9.4283879999999994E-3</v>
      </c>
      <c r="J17" s="162">
        <f t="shared" si="2"/>
        <v>3.2912799999999994E-5</v>
      </c>
      <c r="K17" s="162">
        <f t="shared" si="2"/>
        <v>9.1290000000000002E-5</v>
      </c>
      <c r="L17" s="162">
        <f t="shared" si="2"/>
        <v>0.76</v>
      </c>
      <c r="M17" s="162">
        <f t="shared" si="2"/>
        <v>1.12824E-2</v>
      </c>
    </row>
    <row r="18" spans="1:13" x14ac:dyDescent="0.2">
      <c r="A18" s="162" t="s">
        <v>731</v>
      </c>
      <c r="B18" s="162">
        <f t="shared" si="2"/>
        <v>0.67</v>
      </c>
      <c r="C18" s="162">
        <f t="shared" si="2"/>
        <v>1.8000000000000002E-2</v>
      </c>
      <c r="D18" s="162">
        <f t="shared" si="2"/>
        <v>7.2000000000000008E-2</v>
      </c>
      <c r="E18" s="162">
        <f t="shared" si="2"/>
        <v>3.4000000000000002E-2</v>
      </c>
      <c r="F18" s="162">
        <f t="shared" si="2"/>
        <v>1.1347758000000001E-2</v>
      </c>
      <c r="G18" s="162">
        <f t="shared" si="2"/>
        <v>1.8589725000000001E-2</v>
      </c>
      <c r="H18" s="162">
        <f t="shared" si="2"/>
        <v>1.6334399999999999E-2</v>
      </c>
      <c r="I18" s="162">
        <f t="shared" si="2"/>
        <v>1.5208118999999999E-2</v>
      </c>
      <c r="J18" s="162">
        <f t="shared" si="2"/>
        <v>2.8798700000000001E-3</v>
      </c>
      <c r="K18" s="162">
        <f t="shared" si="2"/>
        <v>1.7899999999999999E-4</v>
      </c>
      <c r="L18" s="162">
        <f t="shared" si="2"/>
        <v>0.48</v>
      </c>
      <c r="M18" s="162">
        <f t="shared" si="2"/>
        <v>1.5033797999999998E-2</v>
      </c>
    </row>
    <row r="19" spans="1:13" x14ac:dyDescent="0.2">
      <c r="A19" s="162" t="s">
        <v>805</v>
      </c>
      <c r="B19" s="162">
        <f t="shared" si="2"/>
        <v>0.67</v>
      </c>
      <c r="C19" s="162">
        <f t="shared" si="2"/>
        <v>1.6E-2</v>
      </c>
      <c r="D19" s="162">
        <f t="shared" si="2"/>
        <v>7.0000000000000007E-2</v>
      </c>
      <c r="E19" s="162">
        <f t="shared" si="2"/>
        <v>3.5000000000000003E-2</v>
      </c>
      <c r="F19" s="162">
        <f t="shared" si="2"/>
        <v>8.6956000000000012E-3</v>
      </c>
      <c r="G19" s="162">
        <f t="shared" si="2"/>
        <v>2.076921E-2</v>
      </c>
      <c r="H19" s="162">
        <f t="shared" si="2"/>
        <v>1.1702999999999998E-2</v>
      </c>
      <c r="I19" s="162">
        <f t="shared" si="2"/>
        <v>8.3951400000000006E-3</v>
      </c>
      <c r="J19" s="162">
        <f t="shared" si="2"/>
        <v>2.1804729999999996E-3</v>
      </c>
      <c r="K19" s="162">
        <f t="shared" si="2"/>
        <v>9.4870000000000005E-5</v>
      </c>
      <c r="L19" s="162">
        <f t="shared" si="2"/>
        <v>0.52</v>
      </c>
      <c r="M19" s="162">
        <f t="shared" si="2"/>
        <v>1.12824E-2</v>
      </c>
    </row>
    <row r="20" spans="1:13" x14ac:dyDescent="0.2">
      <c r="A20" s="162" t="s">
        <v>733</v>
      </c>
      <c r="B20" s="162">
        <f t="shared" si="2"/>
        <v>0.66</v>
      </c>
      <c r="C20" s="162">
        <f t="shared" si="2"/>
        <v>1.3999999999999999E-2</v>
      </c>
      <c r="D20" s="162">
        <f t="shared" si="2"/>
        <v>7.2000000000000008E-2</v>
      </c>
      <c r="E20" s="162">
        <f t="shared" si="2"/>
        <v>3.5000000000000003E-2</v>
      </c>
      <c r="F20" s="162">
        <f t="shared" si="2"/>
        <v>8.6956000000000012E-3</v>
      </c>
      <c r="G20" s="162">
        <f t="shared" si="2"/>
        <v>1.6666650000000002E-2</v>
      </c>
      <c r="H20" s="162">
        <f t="shared" si="2"/>
        <v>1.2449999999999999E-2</v>
      </c>
      <c r="I20" s="162">
        <f t="shared" si="2"/>
        <v>9.6866999999999995E-3</v>
      </c>
      <c r="J20" s="162">
        <f t="shared" si="2"/>
        <v>2.46846E-3</v>
      </c>
      <c r="K20" s="162">
        <f t="shared" si="2"/>
        <v>1.3961999999999999E-4</v>
      </c>
      <c r="L20" s="162">
        <f t="shared" si="2"/>
        <v>0.48</v>
      </c>
      <c r="M20" s="162">
        <f t="shared" si="2"/>
        <v>1.1846520000000001E-2</v>
      </c>
    </row>
    <row r="22" spans="1:13" x14ac:dyDescent="0.2">
      <c r="A22" s="162" t="s">
        <v>4051</v>
      </c>
    </row>
    <row r="24" spans="1:13" x14ac:dyDescent="0.2">
      <c r="A24" s="262" t="s">
        <v>455</v>
      </c>
      <c r="B24" s="162">
        <f t="shared" ref="B24:M30" si="3">VLOOKUP($A24,Tbl_Glob_BerPoeder,B$1,FALSE)</f>
        <v>3.47</v>
      </c>
      <c r="C24" s="162">
        <f t="shared" si="3"/>
        <v>0.252</v>
      </c>
      <c r="D24" s="162">
        <f t="shared" si="3"/>
        <v>0.622</v>
      </c>
      <c r="E24" s="162">
        <f t="shared" si="3"/>
        <v>0</v>
      </c>
      <c r="F24" s="162">
        <f t="shared" si="3"/>
        <v>0.34912834000000004</v>
      </c>
      <c r="G24" s="162">
        <f t="shared" si="3"/>
        <v>0.13538448</v>
      </c>
      <c r="H24" s="162">
        <f t="shared" si="3"/>
        <v>0.37125899999999995</v>
      </c>
      <c r="I24" s="162">
        <f t="shared" si="3"/>
        <v>0.28156007999999999</v>
      </c>
      <c r="J24" s="162">
        <f t="shared" si="3"/>
        <v>4.7312149999999997E-2</v>
      </c>
      <c r="K24" s="162">
        <f t="shared" si="3"/>
        <v>0</v>
      </c>
      <c r="L24" s="162">
        <f t="shared" si="3"/>
        <v>46</v>
      </c>
      <c r="M24" s="162">
        <f t="shared" si="3"/>
        <v>0.16162037999999998</v>
      </c>
    </row>
    <row r="25" spans="1:13" x14ac:dyDescent="0.2">
      <c r="A25" s="262" t="s">
        <v>410</v>
      </c>
      <c r="B25" s="162">
        <f t="shared" si="3"/>
        <v>3.84</v>
      </c>
      <c r="C25" s="162">
        <f t="shared" si="3"/>
        <v>0</v>
      </c>
      <c r="D25" s="162">
        <f t="shared" si="3"/>
        <v>0.96</v>
      </c>
      <c r="E25" s="162">
        <f t="shared" si="3"/>
        <v>0</v>
      </c>
      <c r="F25" s="162">
        <f t="shared" si="3"/>
        <v>8.6956000000000002E-4</v>
      </c>
      <c r="G25" s="162">
        <f t="shared" si="3"/>
        <v>0</v>
      </c>
      <c r="H25" s="162">
        <f t="shared" si="3"/>
        <v>0</v>
      </c>
      <c r="I25" s="162">
        <f t="shared" si="3"/>
        <v>0</v>
      </c>
      <c r="J25" s="162">
        <f t="shared" si="3"/>
        <v>0</v>
      </c>
      <c r="K25" s="162">
        <f t="shared" si="3"/>
        <v>0</v>
      </c>
      <c r="L25" s="162">
        <f t="shared" si="3"/>
        <v>0</v>
      </c>
      <c r="M25" s="162">
        <f t="shared" si="3"/>
        <v>0</v>
      </c>
    </row>
    <row r="26" spans="1:13" x14ac:dyDescent="0.2">
      <c r="A26" s="262" t="s">
        <v>818</v>
      </c>
      <c r="B26" s="162">
        <f t="shared" si="3"/>
        <v>4.84</v>
      </c>
      <c r="C26" s="162">
        <f t="shared" si="3"/>
        <v>9.6999999999999989E-2</v>
      </c>
      <c r="D26" s="162">
        <f t="shared" si="3"/>
        <v>0.53799999999999992</v>
      </c>
      <c r="E26" s="162">
        <f t="shared" si="3"/>
        <v>0.247</v>
      </c>
      <c r="F26" s="162">
        <f t="shared" si="3"/>
        <v>5.43475E-2</v>
      </c>
      <c r="G26" s="162">
        <f t="shared" si="3"/>
        <v>0.12846141</v>
      </c>
      <c r="H26" s="162">
        <f t="shared" si="3"/>
        <v>0.10408199999999999</v>
      </c>
      <c r="I26" s="162">
        <f t="shared" si="3"/>
        <v>7.6524929999999991E-2</v>
      </c>
      <c r="J26" s="162">
        <f t="shared" si="3"/>
        <v>1.522217E-2</v>
      </c>
      <c r="K26" s="162">
        <f t="shared" si="3"/>
        <v>6.981E-4</v>
      </c>
      <c r="L26" s="162">
        <f t="shared" si="3"/>
        <v>3.48</v>
      </c>
      <c r="M26" s="162">
        <f t="shared" si="3"/>
        <v>8.5746240000000001E-2</v>
      </c>
    </row>
    <row r="27" spans="1:13" x14ac:dyDescent="0.2">
      <c r="A27" s="262" t="s">
        <v>742</v>
      </c>
      <c r="B27" s="162">
        <f t="shared" si="3"/>
        <v>4.74</v>
      </c>
      <c r="C27" s="162">
        <f t="shared" si="3"/>
        <v>0.156</v>
      </c>
      <c r="D27" s="162">
        <f t="shared" si="3"/>
        <v>0.22899999999999998</v>
      </c>
      <c r="E27" s="162">
        <f t="shared" si="3"/>
        <v>0.498</v>
      </c>
      <c r="F27" s="162">
        <f t="shared" si="3"/>
        <v>0.1804337</v>
      </c>
      <c r="G27" s="162">
        <f t="shared" si="3"/>
        <v>0.12153833999999999</v>
      </c>
      <c r="H27" s="162">
        <f t="shared" si="3"/>
        <v>0.14765699999999998</v>
      </c>
      <c r="I27" s="162">
        <f t="shared" si="3"/>
        <v>0.10719947999999999</v>
      </c>
      <c r="J27" s="162">
        <f t="shared" si="3"/>
        <v>1.9336269999999999E-2</v>
      </c>
      <c r="K27" s="162">
        <f t="shared" si="3"/>
        <v>1.7004999999999998E-3</v>
      </c>
      <c r="L27" s="162">
        <f t="shared" si="3"/>
        <v>7.2</v>
      </c>
      <c r="M27" s="162">
        <f t="shared" si="3"/>
        <v>0.14215823999999999</v>
      </c>
    </row>
    <row r="28" spans="1:13" x14ac:dyDescent="0.2">
      <c r="A28" s="262" t="s">
        <v>743</v>
      </c>
      <c r="B28" s="162">
        <f t="shared" si="3"/>
        <v>3.38</v>
      </c>
      <c r="C28" s="162">
        <f t="shared" si="3"/>
        <v>0.82099999999999995</v>
      </c>
      <c r="D28" s="162">
        <f t="shared" si="3"/>
        <v>2.2000000000000002E-2</v>
      </c>
      <c r="E28" s="162">
        <f t="shared" si="3"/>
        <v>1E-3</v>
      </c>
      <c r="F28" s="162">
        <f t="shared" si="3"/>
        <v>0.33738928000000001</v>
      </c>
      <c r="G28" s="162">
        <f t="shared" si="3"/>
        <v>0.31435866000000001</v>
      </c>
      <c r="H28" s="162">
        <f t="shared" si="3"/>
        <v>0.13047599999999998</v>
      </c>
      <c r="I28" s="162">
        <f t="shared" si="3"/>
        <v>0.16661123999999997</v>
      </c>
      <c r="J28" s="162">
        <f t="shared" si="3"/>
        <v>1.8924859999999998E-2</v>
      </c>
      <c r="K28" s="162">
        <f t="shared" si="3"/>
        <v>0</v>
      </c>
      <c r="L28" s="162">
        <f t="shared" si="3"/>
        <v>0</v>
      </c>
      <c r="M28" s="162">
        <f t="shared" si="3"/>
        <v>1.8615959999999997E-2</v>
      </c>
    </row>
    <row r="29" spans="1:13" x14ac:dyDescent="0.2">
      <c r="A29" s="262" t="s">
        <v>744</v>
      </c>
      <c r="B29" s="162">
        <f t="shared" si="3"/>
        <v>4.5</v>
      </c>
      <c r="C29" s="162">
        <f t="shared" si="3"/>
        <v>0</v>
      </c>
      <c r="D29" s="162">
        <f t="shared" si="3"/>
        <v>0</v>
      </c>
      <c r="E29" s="162">
        <f t="shared" si="3"/>
        <v>0.5</v>
      </c>
      <c r="F29" s="162">
        <f t="shared" si="3"/>
        <v>3.04346E-3</v>
      </c>
      <c r="G29" s="162">
        <f t="shared" si="3"/>
        <v>0</v>
      </c>
      <c r="H29" s="162">
        <f t="shared" si="3"/>
        <v>0</v>
      </c>
      <c r="I29" s="162">
        <f t="shared" si="3"/>
        <v>0</v>
      </c>
      <c r="J29" s="162">
        <f t="shared" si="3"/>
        <v>0</v>
      </c>
      <c r="K29" s="162">
        <f t="shared" si="3"/>
        <v>0</v>
      </c>
      <c r="L29" s="162">
        <f t="shared" si="3"/>
        <v>0</v>
      </c>
      <c r="M29" s="162">
        <f t="shared" si="3"/>
        <v>2.8206000000000001E-5</v>
      </c>
    </row>
    <row r="30" spans="1:13" x14ac:dyDescent="0.2">
      <c r="A30" s="262" t="s">
        <v>801</v>
      </c>
      <c r="B30" s="162">
        <f t="shared" si="3"/>
        <v>3.18</v>
      </c>
      <c r="C30" s="162">
        <f t="shared" si="3"/>
        <v>0</v>
      </c>
      <c r="D30" s="162">
        <f t="shared" si="3"/>
        <v>0.66200000000000003</v>
      </c>
      <c r="E30" s="162">
        <f t="shared" si="3"/>
        <v>3.0000000000000001E-3</v>
      </c>
      <c r="F30" s="162">
        <f t="shared" si="3"/>
        <v>2.6086799999999999E-3</v>
      </c>
      <c r="G30" s="162">
        <f t="shared" si="3"/>
        <v>2.3333310000000003E-2</v>
      </c>
      <c r="H30" s="162">
        <f t="shared" si="3"/>
        <v>8.3415000000000003E-2</v>
      </c>
      <c r="I30" s="162">
        <f t="shared" si="3"/>
        <v>3.8746799999999997E-3</v>
      </c>
      <c r="J30" s="162">
        <f t="shared" si="3"/>
        <v>3.7438309999999995E-3</v>
      </c>
      <c r="K30" s="162">
        <f t="shared" si="3"/>
        <v>1.5751999999999999E-3</v>
      </c>
      <c r="L30" s="162">
        <f t="shared" si="3"/>
        <v>0</v>
      </c>
      <c r="M30" s="162">
        <f t="shared" si="3"/>
        <v>3.0744539999999997E-2</v>
      </c>
    </row>
    <row r="32" spans="1:13" x14ac:dyDescent="0.2">
      <c r="A32" s="162" t="s">
        <v>4052</v>
      </c>
    </row>
    <row r="34" spans="1:13" x14ac:dyDescent="0.2">
      <c r="A34" s="262" t="s">
        <v>744</v>
      </c>
      <c r="B34" s="162">
        <f t="shared" ref="B34:M37" si="4">VLOOKUP($A34,Tbl_Glob_BerPoeder,B$1,FALSE)</f>
        <v>4.5</v>
      </c>
      <c r="C34" s="162">
        <f t="shared" si="4"/>
        <v>0</v>
      </c>
      <c r="D34" s="162">
        <f t="shared" si="4"/>
        <v>0</v>
      </c>
      <c r="E34" s="162">
        <f t="shared" si="4"/>
        <v>0.5</v>
      </c>
      <c r="F34" s="162">
        <f t="shared" si="4"/>
        <v>3.04346E-3</v>
      </c>
      <c r="G34" s="162">
        <f t="shared" si="4"/>
        <v>0</v>
      </c>
      <c r="H34" s="162">
        <f t="shared" si="4"/>
        <v>0</v>
      </c>
      <c r="I34" s="162">
        <f t="shared" si="4"/>
        <v>0</v>
      </c>
      <c r="J34" s="162">
        <f t="shared" si="4"/>
        <v>0</v>
      </c>
      <c r="K34" s="162">
        <f t="shared" si="4"/>
        <v>0</v>
      </c>
      <c r="L34" s="162">
        <f t="shared" si="4"/>
        <v>0</v>
      </c>
      <c r="M34" s="162">
        <f t="shared" si="4"/>
        <v>2.8206000000000001E-5</v>
      </c>
    </row>
    <row r="35" spans="1:13" x14ac:dyDescent="0.2">
      <c r="A35" s="262" t="s">
        <v>410</v>
      </c>
      <c r="B35" s="162">
        <f t="shared" si="4"/>
        <v>3.84</v>
      </c>
      <c r="C35" s="162">
        <f t="shared" si="4"/>
        <v>0</v>
      </c>
      <c r="D35" s="162">
        <f t="shared" si="4"/>
        <v>0.96</v>
      </c>
      <c r="E35" s="162">
        <f t="shared" si="4"/>
        <v>0</v>
      </c>
      <c r="F35" s="162">
        <f t="shared" si="4"/>
        <v>8.6956000000000002E-4</v>
      </c>
      <c r="G35" s="162">
        <f t="shared" si="4"/>
        <v>0</v>
      </c>
      <c r="H35" s="162">
        <f t="shared" si="4"/>
        <v>0</v>
      </c>
      <c r="I35" s="162">
        <f t="shared" si="4"/>
        <v>0</v>
      </c>
      <c r="J35" s="162">
        <f t="shared" si="4"/>
        <v>0</v>
      </c>
      <c r="K35" s="162">
        <f t="shared" si="4"/>
        <v>0</v>
      </c>
      <c r="L35" s="162">
        <f t="shared" si="4"/>
        <v>0</v>
      </c>
      <c r="M35" s="162">
        <f t="shared" si="4"/>
        <v>0</v>
      </c>
    </row>
    <row r="36" spans="1:13" x14ac:dyDescent="0.2">
      <c r="A36" s="262" t="s">
        <v>742</v>
      </c>
      <c r="B36" s="162">
        <f t="shared" si="4"/>
        <v>4.74</v>
      </c>
      <c r="C36" s="162">
        <f t="shared" si="4"/>
        <v>0.156</v>
      </c>
      <c r="D36" s="162">
        <f t="shared" si="4"/>
        <v>0.22899999999999998</v>
      </c>
      <c r="E36" s="162">
        <f t="shared" si="4"/>
        <v>0.498</v>
      </c>
      <c r="F36" s="162">
        <f t="shared" si="4"/>
        <v>0.1804337</v>
      </c>
      <c r="G36" s="162">
        <f t="shared" si="4"/>
        <v>0.12153833999999999</v>
      </c>
      <c r="H36" s="162">
        <f t="shared" si="4"/>
        <v>0.14765699999999998</v>
      </c>
      <c r="I36" s="162">
        <f t="shared" si="4"/>
        <v>0.10719947999999999</v>
      </c>
      <c r="J36" s="162">
        <f t="shared" si="4"/>
        <v>1.9336269999999999E-2</v>
      </c>
      <c r="K36" s="162">
        <f t="shared" si="4"/>
        <v>1.7004999999999998E-3</v>
      </c>
      <c r="L36" s="162">
        <f t="shared" si="4"/>
        <v>7.2</v>
      </c>
      <c r="M36" s="162">
        <f t="shared" si="4"/>
        <v>0.14215823999999999</v>
      </c>
    </row>
    <row r="37" spans="1:13" x14ac:dyDescent="0.2">
      <c r="A37" s="262" t="s">
        <v>801</v>
      </c>
      <c r="B37" s="162">
        <f t="shared" si="4"/>
        <v>3.18</v>
      </c>
      <c r="C37" s="162">
        <f t="shared" si="4"/>
        <v>0</v>
      </c>
      <c r="D37" s="162">
        <f t="shared" si="4"/>
        <v>0.66200000000000003</v>
      </c>
      <c r="E37" s="162">
        <f t="shared" si="4"/>
        <v>3.0000000000000001E-3</v>
      </c>
      <c r="F37" s="162">
        <f t="shared" si="4"/>
        <v>2.6086799999999999E-3</v>
      </c>
      <c r="G37" s="162">
        <f t="shared" si="4"/>
        <v>2.3333310000000003E-2</v>
      </c>
      <c r="H37" s="162">
        <f t="shared" si="4"/>
        <v>8.3415000000000003E-2</v>
      </c>
      <c r="I37" s="162">
        <f t="shared" si="4"/>
        <v>3.8746799999999997E-3</v>
      </c>
      <c r="J37" s="162">
        <f t="shared" si="4"/>
        <v>3.7438309999999995E-3</v>
      </c>
      <c r="K37" s="162">
        <f t="shared" si="4"/>
        <v>1.5751999999999999E-3</v>
      </c>
      <c r="L37" s="162">
        <f t="shared" si="4"/>
        <v>0</v>
      </c>
      <c r="M37" s="162">
        <f t="shared" si="4"/>
        <v>3.0744539999999997E-2</v>
      </c>
    </row>
  </sheetData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F18" sqref="F18"/>
    </sheetView>
  </sheetViews>
  <sheetFormatPr defaultColWidth="9.140625" defaultRowHeight="12.75" x14ac:dyDescent="0.2"/>
  <cols>
    <col min="1" max="1" width="19.140625" style="263" customWidth="1"/>
    <col min="2" max="2" width="9.140625" style="263"/>
    <col min="3" max="3" width="14.5703125" style="263" customWidth="1"/>
    <col min="4" max="4" width="15.28515625" style="263" customWidth="1"/>
    <col min="5" max="5" width="9.140625" style="263"/>
    <col min="6" max="6" width="23" style="263" bestFit="1" customWidth="1"/>
    <col min="7" max="16384" width="9.140625" style="263"/>
  </cols>
  <sheetData>
    <row r="1" spans="1:6" s="376" customFormat="1" ht="25.5" x14ac:dyDescent="0.2">
      <c r="A1" s="376" t="s">
        <v>4233</v>
      </c>
      <c r="C1" s="376" t="s">
        <v>711</v>
      </c>
      <c r="D1" s="376" t="s">
        <v>712</v>
      </c>
    </row>
    <row r="2" spans="1:6" x14ac:dyDescent="0.2">
      <c r="B2" s="695">
        <v>1</v>
      </c>
      <c r="F2" s="263" t="s">
        <v>433</v>
      </c>
    </row>
    <row r="3" spans="1:6" x14ac:dyDescent="0.2">
      <c r="A3" s="263" t="s">
        <v>450</v>
      </c>
      <c r="B3" s="695">
        <f>B2+1</f>
        <v>2</v>
      </c>
      <c r="C3" s="263">
        <v>2.2000000000000002</v>
      </c>
      <c r="D3" s="263">
        <v>0.5</v>
      </c>
      <c r="F3" s="263" t="s">
        <v>853</v>
      </c>
    </row>
    <row r="4" spans="1:6" x14ac:dyDescent="0.2">
      <c r="A4" s="263" t="s">
        <v>453</v>
      </c>
      <c r="B4" s="695">
        <f t="shared" ref="B4:B17" si="0">B3+1</f>
        <v>3</v>
      </c>
      <c r="C4" s="263">
        <v>4.4000000000000004</v>
      </c>
      <c r="D4" s="263">
        <v>1</v>
      </c>
    </row>
    <row r="5" spans="1:6" x14ac:dyDescent="0.2">
      <c r="A5" s="263" t="s">
        <v>454</v>
      </c>
      <c r="B5" s="695">
        <f t="shared" si="0"/>
        <v>4</v>
      </c>
      <c r="D5" s="263">
        <v>1.5</v>
      </c>
    </row>
    <row r="6" spans="1:6" x14ac:dyDescent="0.2">
      <c r="A6" s="263" t="s">
        <v>456</v>
      </c>
      <c r="B6" s="695">
        <f t="shared" si="0"/>
        <v>5</v>
      </c>
      <c r="D6" s="263">
        <v>2</v>
      </c>
    </row>
    <row r="7" spans="1:6" x14ac:dyDescent="0.2">
      <c r="A7" s="263" t="s">
        <v>457</v>
      </c>
      <c r="B7" s="695">
        <f t="shared" si="0"/>
        <v>6</v>
      </c>
      <c r="D7" s="263">
        <v>2.5</v>
      </c>
    </row>
    <row r="8" spans="1:6" x14ac:dyDescent="0.2">
      <c r="A8" s="263" t="s">
        <v>458</v>
      </c>
      <c r="B8" s="695">
        <f t="shared" si="0"/>
        <v>7</v>
      </c>
      <c r="D8" s="263">
        <v>3</v>
      </c>
    </row>
    <row r="9" spans="1:6" x14ac:dyDescent="0.2">
      <c r="A9" s="263" t="s">
        <v>459</v>
      </c>
      <c r="B9" s="695">
        <f t="shared" si="0"/>
        <v>8</v>
      </c>
      <c r="D9" s="263">
        <v>3.5</v>
      </c>
    </row>
    <row r="10" spans="1:6" x14ac:dyDescent="0.2">
      <c r="A10" s="263" t="s">
        <v>460</v>
      </c>
      <c r="B10" s="695">
        <f t="shared" si="0"/>
        <v>9</v>
      </c>
      <c r="D10" s="263">
        <v>4</v>
      </c>
    </row>
    <row r="11" spans="1:6" x14ac:dyDescent="0.2">
      <c r="A11" s="263" t="s">
        <v>461</v>
      </c>
      <c r="B11" s="695">
        <f t="shared" si="0"/>
        <v>10</v>
      </c>
      <c r="D11" s="263">
        <v>4.5</v>
      </c>
    </row>
    <row r="12" spans="1:6" x14ac:dyDescent="0.2">
      <c r="A12" s="263" t="s">
        <v>462</v>
      </c>
      <c r="B12" s="695">
        <f t="shared" si="0"/>
        <v>11</v>
      </c>
      <c r="D12" s="263">
        <v>5</v>
      </c>
    </row>
    <row r="13" spans="1:6" x14ac:dyDescent="0.2">
      <c r="A13" s="263" t="s">
        <v>233</v>
      </c>
      <c r="B13" s="695">
        <f t="shared" si="0"/>
        <v>12</v>
      </c>
    </row>
    <row r="14" spans="1:6" x14ac:dyDescent="0.2">
      <c r="A14" s="263" t="s">
        <v>463</v>
      </c>
      <c r="B14" s="695">
        <f t="shared" si="0"/>
        <v>13</v>
      </c>
    </row>
    <row r="15" spans="1:6" x14ac:dyDescent="0.2">
      <c r="A15" s="263" t="s">
        <v>46</v>
      </c>
      <c r="B15" s="695">
        <f t="shared" si="0"/>
        <v>14</v>
      </c>
    </row>
    <row r="16" spans="1:6" x14ac:dyDescent="0.2">
      <c r="A16" s="263" t="s">
        <v>7890</v>
      </c>
      <c r="B16" s="695">
        <f t="shared" si="0"/>
        <v>15</v>
      </c>
    </row>
    <row r="17" spans="1:2" x14ac:dyDescent="0.2">
      <c r="A17" s="263" t="s">
        <v>581</v>
      </c>
      <c r="B17" s="695">
        <f t="shared" si="0"/>
        <v>16</v>
      </c>
    </row>
    <row r="18" spans="1:2" x14ac:dyDescent="0.2">
      <c r="B18" s="374"/>
    </row>
    <row r="39" spans="2:2" x14ac:dyDescent="0.2">
      <c r="B39" s="375"/>
    </row>
    <row r="52" spans="2:2" x14ac:dyDescent="0.2">
      <c r="B52" s="371"/>
    </row>
    <row r="53" spans="2:2" x14ac:dyDescent="0.2">
      <c r="B53" s="371"/>
    </row>
    <row r="54" spans="2:2" x14ac:dyDescent="0.2">
      <c r="B54" s="371"/>
    </row>
    <row r="55" spans="2:2" x14ac:dyDescent="0.2">
      <c r="B55" s="371"/>
    </row>
    <row r="56" spans="2:2" x14ac:dyDescent="0.2">
      <c r="B56" s="371"/>
    </row>
    <row r="57" spans="2:2" x14ac:dyDescent="0.2">
      <c r="B57" s="371"/>
    </row>
    <row r="65" spans="1:2" x14ac:dyDescent="0.2">
      <c r="B65" s="375"/>
    </row>
    <row r="67" spans="1:2" x14ac:dyDescent="0.2">
      <c r="B67" s="371"/>
    </row>
    <row r="68" spans="1:2" x14ac:dyDescent="0.2">
      <c r="B68" s="371"/>
    </row>
    <row r="69" spans="1:2" x14ac:dyDescent="0.2">
      <c r="B69" s="372"/>
    </row>
    <row r="70" spans="1:2" x14ac:dyDescent="0.2">
      <c r="B70" s="372"/>
    </row>
    <row r="71" spans="1:2" x14ac:dyDescent="0.2">
      <c r="B71" s="372"/>
    </row>
    <row r="72" spans="1:2" x14ac:dyDescent="0.2">
      <c r="B72" s="372"/>
    </row>
    <row r="73" spans="1:2" x14ac:dyDescent="0.2">
      <c r="B73" s="371"/>
    </row>
    <row r="74" spans="1:2" x14ac:dyDescent="0.2">
      <c r="A74" s="373"/>
      <c r="B74" s="371"/>
    </row>
    <row r="75" spans="1:2" x14ac:dyDescent="0.2">
      <c r="A75" s="373"/>
      <c r="B75" s="371"/>
    </row>
    <row r="76" spans="1:2" x14ac:dyDescent="0.2">
      <c r="A76" s="50"/>
      <c r="B76" s="371"/>
    </row>
    <row r="77" spans="1:2" x14ac:dyDescent="0.2">
      <c r="A77" s="373"/>
    </row>
    <row r="78" spans="1:2" x14ac:dyDescent="0.2">
      <c r="A78" s="373"/>
    </row>
    <row r="79" spans="1:2" x14ac:dyDescent="0.2">
      <c r="A79" s="373"/>
    </row>
    <row r="80" spans="1:2" x14ac:dyDescent="0.2">
      <c r="A80" s="373"/>
      <c r="B80" s="371"/>
    </row>
    <row r="81" spans="1:2" x14ac:dyDescent="0.2">
      <c r="A81" s="50"/>
      <c r="B81" s="371"/>
    </row>
    <row r="82" spans="1:2" x14ac:dyDescent="0.2">
      <c r="A82" s="50"/>
      <c r="B82" s="371"/>
    </row>
    <row r="83" spans="1:2" x14ac:dyDescent="0.2">
      <c r="A83" s="373"/>
      <c r="B83" s="372"/>
    </row>
    <row r="84" spans="1:2" x14ac:dyDescent="0.2">
      <c r="A84" s="373"/>
      <c r="B84" s="372"/>
    </row>
    <row r="85" spans="1:2" x14ac:dyDescent="0.2">
      <c r="A85" s="373"/>
      <c r="B85" s="372"/>
    </row>
    <row r="86" spans="1:2" x14ac:dyDescent="0.2">
      <c r="A86" s="373"/>
      <c r="B86" s="371"/>
    </row>
    <row r="87" spans="1:2" x14ac:dyDescent="0.2">
      <c r="A87" s="373"/>
      <c r="B87" s="371"/>
    </row>
    <row r="88" spans="1:2" x14ac:dyDescent="0.2">
      <c r="A88" s="373"/>
      <c r="B88" s="371"/>
    </row>
    <row r="89" spans="1:2" x14ac:dyDescent="0.2">
      <c r="A89" s="373"/>
    </row>
    <row r="90" spans="1:2" x14ac:dyDescent="0.2">
      <c r="A90" s="373"/>
    </row>
    <row r="91" spans="1:2" x14ac:dyDescent="0.2">
      <c r="A91" s="373"/>
    </row>
    <row r="92" spans="1:2" x14ac:dyDescent="0.2">
      <c r="A92" s="373"/>
    </row>
    <row r="93" spans="1:2" x14ac:dyDescent="0.2">
      <c r="A93" s="373"/>
    </row>
    <row r="94" spans="1:2" x14ac:dyDescent="0.2">
      <c r="A94" s="373"/>
    </row>
    <row r="95" spans="1:2" x14ac:dyDescent="0.2">
      <c r="A95" s="373"/>
    </row>
    <row r="96" spans="1:2" x14ac:dyDescent="0.2">
      <c r="A96" s="373"/>
    </row>
    <row r="97" spans="1:1" x14ac:dyDescent="0.2">
      <c r="A97" s="373"/>
    </row>
    <row r="98" spans="1:1" x14ac:dyDescent="0.2">
      <c r="A98" s="373"/>
    </row>
    <row r="99" spans="1:1" x14ac:dyDescent="0.2">
      <c r="A99" s="373"/>
    </row>
    <row r="100" spans="1:1" x14ac:dyDescent="0.2">
      <c r="A100" s="373"/>
    </row>
    <row r="101" spans="1:1" x14ac:dyDescent="0.2">
      <c r="A101" s="373"/>
    </row>
    <row r="102" spans="1:1" x14ac:dyDescent="0.2">
      <c r="A102" s="373"/>
    </row>
    <row r="103" spans="1:1" x14ac:dyDescent="0.2">
      <c r="A103" s="373"/>
    </row>
    <row r="104" spans="1:1" x14ac:dyDescent="0.2">
      <c r="A104" s="373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 activeCell="N12" sqref="N12"/>
    </sheetView>
  </sheetViews>
  <sheetFormatPr defaultColWidth="9.140625" defaultRowHeight="12.75" x14ac:dyDescent="0.2"/>
  <cols>
    <col min="1" max="2" width="6" style="448" customWidth="1"/>
    <col min="3" max="3" width="25" style="448" customWidth="1"/>
    <col min="4" max="4" width="16.28515625" style="448" customWidth="1"/>
    <col min="5" max="5" width="16.7109375" style="448" customWidth="1"/>
    <col min="6" max="6" width="15" style="448" bestFit="1" customWidth="1"/>
    <col min="7" max="7" width="21.85546875" style="448" bestFit="1" customWidth="1"/>
    <col min="8" max="8" width="21.85546875" style="448" customWidth="1"/>
    <col min="9" max="9" width="7.28515625" style="448" customWidth="1"/>
    <col min="10" max="10" width="27" style="448" customWidth="1"/>
    <col min="11" max="11" width="15.5703125" style="448" customWidth="1"/>
    <col min="12" max="12" width="14.28515625" style="448" customWidth="1"/>
    <col min="13" max="46" width="9.140625" style="448" customWidth="1"/>
    <col min="47" max="16384" width="9.140625" style="448"/>
  </cols>
  <sheetData>
    <row r="1" spans="2:18" s="321" customFormat="1" x14ac:dyDescent="0.2">
      <c r="B1" s="578"/>
      <c r="C1" s="566"/>
      <c r="D1" s="566"/>
      <c r="E1" s="566"/>
      <c r="F1" s="566"/>
      <c r="G1" s="566"/>
      <c r="H1" s="566"/>
      <c r="I1" s="566"/>
      <c r="J1" s="566"/>
      <c r="K1" s="566"/>
      <c r="L1" s="566"/>
    </row>
    <row r="2" spans="2:18" s="321" customFormat="1" ht="17.25" customHeight="1" x14ac:dyDescent="0.2">
      <c r="B2" s="566"/>
      <c r="C2" s="569" t="s">
        <v>229</v>
      </c>
      <c r="D2" s="570" t="str">
        <f ca="1">Txt_Pat_AfspraakDat</f>
        <v>14-nov-2018</v>
      </c>
      <c r="E2" s="571"/>
      <c r="F2" s="569"/>
      <c r="G2" s="573" t="s">
        <v>230</v>
      </c>
      <c r="H2" s="569" t="str">
        <f>Txt_Pat_OpnameDat</f>
        <v/>
      </c>
      <c r="I2" s="569"/>
      <c r="J2" s="569" t="str">
        <f>Txt_Pat_Gewicht</f>
        <v>Gewicht:</v>
      </c>
      <c r="K2" s="569" t="str">
        <f>Txt_Pat_Bed</f>
        <v/>
      </c>
      <c r="L2" s="566"/>
    </row>
    <row r="3" spans="2:18" s="321" customFormat="1" ht="17.25" customHeight="1" x14ac:dyDescent="0.2">
      <c r="B3" s="566"/>
      <c r="C3" s="569" t="s">
        <v>4503</v>
      </c>
      <c r="D3" s="574" t="str">
        <f>Txt_Pat_FullName</f>
        <v/>
      </c>
      <c r="E3" s="574"/>
      <c r="F3" s="569"/>
      <c r="G3" s="573" t="s">
        <v>236</v>
      </c>
      <c r="H3" s="569" t="str">
        <f ca="1">Txt_Pat_GeboorteDat</f>
        <v/>
      </c>
      <c r="I3" s="569"/>
      <c r="J3" s="569" t="str">
        <f>Txt_Pat_Lengte</f>
        <v>Lengte:</v>
      </c>
      <c r="K3" s="569"/>
      <c r="L3" s="566"/>
    </row>
    <row r="4" spans="2:18" s="321" customFormat="1" ht="17.25" customHeight="1" x14ac:dyDescent="0.2">
      <c r="B4" s="566"/>
      <c r="C4" s="569" t="s">
        <v>3457</v>
      </c>
      <c r="D4" s="569" t="str">
        <f>Txt_Pat_PatNo</f>
        <v/>
      </c>
      <c r="E4" s="571"/>
      <c r="F4" s="569"/>
      <c r="G4" s="577" t="s">
        <v>208</v>
      </c>
      <c r="H4" s="569" t="str">
        <f ca="1">Txt_Pat_Leeftijd</f>
        <v/>
      </c>
      <c r="I4" s="566"/>
      <c r="J4" s="569" t="str">
        <f>IF(Txt_Pat_GebGew="","","Geb Gew: "&amp;Txt_Pat_GebGew)</f>
        <v/>
      </c>
      <c r="K4" s="569" t="str">
        <f>IF(Txt_Pat_GestAge="","","Zw. Duur: "&amp;Txt_Pat_GestAge)</f>
        <v/>
      </c>
      <c r="L4" s="566"/>
    </row>
    <row r="6" spans="2:18" x14ac:dyDescent="0.2">
      <c r="B6" s="483"/>
      <c r="C6" s="609" t="s">
        <v>565</v>
      </c>
      <c r="D6" s="609"/>
      <c r="E6" s="609"/>
      <c r="F6" s="609"/>
      <c r="G6" s="609" t="s">
        <v>505</v>
      </c>
      <c r="H6" s="609"/>
      <c r="I6" s="609"/>
      <c r="J6" s="609" t="s">
        <v>572</v>
      </c>
      <c r="K6" s="609"/>
      <c r="L6" s="609"/>
      <c r="R6" s="484"/>
    </row>
    <row r="7" spans="2:18" ht="18" customHeight="1" x14ac:dyDescent="0.2">
      <c r="C7" s="455"/>
      <c r="D7" s="455"/>
      <c r="G7" s="455"/>
      <c r="J7" s="455"/>
      <c r="R7" s="453"/>
    </row>
    <row r="8" spans="2:18" ht="18" customHeight="1" thickBot="1" x14ac:dyDescent="0.25">
      <c r="C8" s="455"/>
      <c r="D8" s="441" t="str">
        <f>IF(_Neo_AfsprD_GewichtFrequentie=0,"",_Neo_AfsprD_GewichtFrequentie)</f>
        <v/>
      </c>
      <c r="E8" s="350"/>
      <c r="G8" s="455"/>
      <c r="H8" s="455"/>
      <c r="J8" s="455"/>
      <c r="K8" s="441" t="str">
        <f>IF(_Neo_AfsprD_AantalLampen=0,"0 lamp(en)",CONCATENATE(_Neo_AfsprD_AantalLampen, " lamp(en)"))</f>
        <v>0 lamp(en)</v>
      </c>
      <c r="R8" s="453"/>
    </row>
    <row r="9" spans="2:18" ht="18" customHeight="1" thickTop="1" thickBot="1" x14ac:dyDescent="0.25">
      <c r="C9" s="455"/>
      <c r="D9" s="439" t="str">
        <f>IF(_Neo_AfsprD_LengteFrequentie=0,"",_Neo_AfsprD_LengteFrequentie)</f>
        <v/>
      </c>
      <c r="E9" s="350"/>
      <c r="H9" s="455"/>
      <c r="J9" s="455"/>
    </row>
    <row r="10" spans="2:18" ht="18" customHeight="1" thickTop="1" thickBot="1" x14ac:dyDescent="0.25">
      <c r="C10" s="455"/>
      <c r="D10" s="440" t="str">
        <f>IF(_Neo_AfsprD_SchedelFrequentie=0,"",_Neo_AfsprD_SchedelFrequentie)</f>
        <v/>
      </c>
      <c r="E10" s="350"/>
      <c r="H10" s="455"/>
      <c r="J10" s="455"/>
    </row>
    <row r="11" spans="2:18" ht="18" customHeight="1" thickTop="1" x14ac:dyDescent="0.2">
      <c r="C11" s="455"/>
      <c r="D11" s="455"/>
      <c r="H11" s="455"/>
      <c r="J11" s="455"/>
    </row>
    <row r="12" spans="2:18" ht="18" customHeight="1" x14ac:dyDescent="0.2">
      <c r="C12" s="455"/>
      <c r="D12" s="438" t="str">
        <f>CONCATENATE(NeoBerAfspr!$B$12," dd")</f>
        <v>0 dd</v>
      </c>
      <c r="E12" s="455"/>
      <c r="G12" s="455"/>
      <c r="J12" s="455"/>
    </row>
    <row r="13" spans="2:18" ht="18" customHeight="1" x14ac:dyDescent="0.2">
      <c r="E13" s="455"/>
      <c r="G13" s="455"/>
      <c r="H13" s="455"/>
      <c r="J13" s="455"/>
    </row>
    <row r="14" spans="2:18" ht="18" customHeight="1" x14ac:dyDescent="0.2">
      <c r="E14" s="455"/>
      <c r="G14" s="455"/>
      <c r="J14" s="455"/>
      <c r="N14" s="453"/>
    </row>
    <row r="15" spans="2:18" ht="18" customHeight="1" x14ac:dyDescent="0.2">
      <c r="E15" s="455"/>
      <c r="G15" s="455"/>
      <c r="H15" s="455"/>
      <c r="J15" s="455"/>
      <c r="N15" s="453"/>
    </row>
    <row r="16" spans="2:18" ht="18" customHeight="1" x14ac:dyDescent="0.2">
      <c r="C16" s="455"/>
      <c r="H16" s="455"/>
      <c r="J16" s="455"/>
    </row>
    <row r="17" spans="3:15" ht="18" customHeight="1" x14ac:dyDescent="0.2">
      <c r="C17" s="455"/>
      <c r="G17" s="455"/>
      <c r="J17" s="455"/>
      <c r="N17" s="453"/>
    </row>
    <row r="18" spans="3:15" ht="18" customHeight="1" x14ac:dyDescent="0.2">
      <c r="C18" s="455"/>
      <c r="G18" s="455"/>
      <c r="H18" s="455"/>
      <c r="J18" s="455"/>
      <c r="K18" s="438" t="str">
        <f>CONCATENATE(NeoBerAfspr!$K$18," dd")</f>
        <v>0 dd</v>
      </c>
      <c r="L18" s="438" t="str">
        <f>CONCATENATE(NeoBerAfspr!$L$18," ml")</f>
        <v>0 ml</v>
      </c>
      <c r="N18" s="453"/>
    </row>
    <row r="19" spans="3:15" ht="18" customHeight="1" x14ac:dyDescent="0.2">
      <c r="C19" s="455"/>
      <c r="H19" s="455"/>
      <c r="J19" s="455"/>
      <c r="N19" s="453"/>
      <c r="O19" s="453"/>
    </row>
    <row r="20" spans="3:15" ht="18" customHeight="1" x14ac:dyDescent="0.2">
      <c r="H20" s="455"/>
      <c r="J20" s="455"/>
      <c r="K20" s="455" t="str">
        <f>CONCATENATE("à ",_Neo_AfsprD_VerliezenFrequentie," uur")</f>
        <v>à 0 uur</v>
      </c>
      <c r="N20" s="453"/>
    </row>
    <row r="21" spans="3:15" ht="18" customHeight="1" x14ac:dyDescent="0.2">
      <c r="C21" s="609" t="s">
        <v>571</v>
      </c>
      <c r="D21" s="609"/>
      <c r="E21" s="609"/>
      <c r="F21" s="609"/>
      <c r="G21" s="455"/>
      <c r="K21" s="455"/>
      <c r="O21" s="453"/>
    </row>
    <row r="22" spans="3:15" ht="18" customHeight="1" x14ac:dyDescent="0.2">
      <c r="C22" s="455"/>
      <c r="G22" s="455"/>
      <c r="H22" s="455"/>
      <c r="K22" s="455"/>
      <c r="N22" s="453"/>
      <c r="O22" s="453"/>
    </row>
    <row r="23" spans="3:15" ht="18" customHeight="1" x14ac:dyDescent="0.2">
      <c r="C23" s="455"/>
      <c r="G23" s="455"/>
      <c r="H23" s="455"/>
      <c r="K23" s="455"/>
    </row>
    <row r="24" spans="3:15" ht="18" customHeight="1" x14ac:dyDescent="0.2">
      <c r="C24" s="455"/>
      <c r="H24" s="455"/>
      <c r="J24" s="455"/>
      <c r="K24" s="455"/>
      <c r="N24" s="453"/>
      <c r="O24" s="453"/>
    </row>
    <row r="25" spans="3:15" ht="18" customHeight="1" x14ac:dyDescent="0.2">
      <c r="C25" s="455"/>
      <c r="H25" s="455"/>
      <c r="K25" s="455"/>
      <c r="N25" s="453"/>
      <c r="O25" s="453"/>
    </row>
    <row r="26" spans="3:15" ht="18" customHeight="1" x14ac:dyDescent="0.2">
      <c r="C26" s="455"/>
      <c r="H26" s="455"/>
      <c r="K26" s="455"/>
      <c r="N26" s="484"/>
      <c r="O26" s="453"/>
    </row>
    <row r="27" spans="3:15" ht="18" customHeight="1" x14ac:dyDescent="0.2">
      <c r="C27" s="455"/>
      <c r="D27" s="597" t="s">
        <v>578</v>
      </c>
      <c r="E27" s="438" t="str">
        <f>CONCATENATE(NeoBerAfspr!C27," uur")</f>
        <v>12:00 uur</v>
      </c>
      <c r="H27" s="455"/>
      <c r="K27" s="455"/>
      <c r="N27" s="453"/>
      <c r="O27" s="453"/>
    </row>
    <row r="28" spans="3:15" ht="18" customHeight="1" x14ac:dyDescent="0.2">
      <c r="C28" s="455"/>
      <c r="H28" s="455"/>
      <c r="K28" s="455"/>
      <c r="N28" s="453"/>
    </row>
    <row r="29" spans="3:15" ht="18" customHeight="1" x14ac:dyDescent="0.2">
      <c r="C29" s="455"/>
      <c r="H29" s="455"/>
      <c r="N29" s="453"/>
    </row>
    <row r="30" spans="3:15" ht="18" customHeight="1" x14ac:dyDescent="0.2">
      <c r="C30" s="455"/>
      <c r="H30" s="455"/>
      <c r="J30" s="453" t="s">
        <v>7020</v>
      </c>
    </row>
    <row r="31" spans="3:15" ht="18" customHeight="1" x14ac:dyDescent="0.2">
      <c r="C31" s="455"/>
      <c r="G31" s="455"/>
      <c r="H31" s="821" t="str">
        <f>IF(_Neo_AfsprD_Wondkweek=0,"",_Neo_AfsprD_Wondkweek)</f>
        <v/>
      </c>
      <c r="I31" s="740"/>
      <c r="J31" s="899" t="str">
        <f>IF(NeoBerAfspr!J31=0,"",NeoBerAfspr!J31)</f>
        <v/>
      </c>
      <c r="K31" s="899"/>
      <c r="L31" s="899"/>
    </row>
    <row r="32" spans="3:15" ht="18" customHeight="1" x14ac:dyDescent="0.2">
      <c r="C32" s="455"/>
      <c r="H32" s="821"/>
      <c r="I32" s="740"/>
      <c r="J32" s="899"/>
      <c r="K32" s="899"/>
      <c r="L32" s="899"/>
    </row>
    <row r="33" spans="3:14" ht="18" customHeight="1" x14ac:dyDescent="0.2">
      <c r="H33" s="821"/>
      <c r="I33" s="740"/>
      <c r="J33" s="899"/>
      <c r="K33" s="899"/>
      <c r="L33" s="899"/>
    </row>
    <row r="34" spans="3:14" ht="18" customHeight="1" x14ac:dyDescent="0.2">
      <c r="C34" s="609" t="s">
        <v>764</v>
      </c>
      <c r="D34" s="609"/>
      <c r="E34" s="609"/>
      <c r="F34" s="609"/>
    </row>
    <row r="35" spans="3:14" ht="18" customHeight="1" x14ac:dyDescent="0.2">
      <c r="C35" s="455"/>
      <c r="N35" s="453"/>
    </row>
    <row r="36" spans="3:14" ht="18" customHeight="1" x14ac:dyDescent="0.2">
      <c r="C36" s="455"/>
      <c r="N36" s="453"/>
    </row>
    <row r="37" spans="3:14" ht="18" customHeight="1" x14ac:dyDescent="0.2">
      <c r="C37" s="455"/>
      <c r="N37" s="453"/>
    </row>
    <row r="38" spans="3:14" ht="18" customHeight="1" x14ac:dyDescent="0.2">
      <c r="C38" s="455"/>
      <c r="D38" s="455"/>
      <c r="N38" s="453"/>
    </row>
    <row r="39" spans="3:14" ht="18" customHeight="1" x14ac:dyDescent="0.2">
      <c r="C39" s="455"/>
      <c r="D39" s="455"/>
      <c r="N39" s="453"/>
    </row>
    <row r="40" spans="3:14" ht="18" customHeight="1" x14ac:dyDescent="0.2">
      <c r="C40" s="455"/>
      <c r="D40" s="455"/>
      <c r="N40" s="453"/>
    </row>
    <row r="41" spans="3:14" ht="18" customHeight="1" x14ac:dyDescent="0.2">
      <c r="C41" s="455"/>
      <c r="D41" s="453"/>
      <c r="E41" s="560">
        <f>NeoBerAfspr!D47</f>
        <v>0</v>
      </c>
      <c r="F41" s="597" t="s">
        <v>766</v>
      </c>
      <c r="G41" s="597"/>
      <c r="N41" s="453"/>
    </row>
    <row r="42" spans="3:14" ht="18" customHeight="1" x14ac:dyDescent="0.2">
      <c r="C42" s="453"/>
      <c r="N42" s="453"/>
    </row>
    <row r="43" spans="3:14" ht="18" customHeight="1" x14ac:dyDescent="0.2">
      <c r="C43" s="453"/>
      <c r="N43" s="453"/>
    </row>
    <row r="44" spans="3:14" ht="18" customHeight="1" x14ac:dyDescent="0.2">
      <c r="C44" s="629" t="s">
        <v>538</v>
      </c>
      <c r="D44" s="629"/>
      <c r="E44" s="629"/>
      <c r="F44" s="629"/>
      <c r="G44" s="629"/>
      <c r="H44" s="629"/>
      <c r="I44" s="629"/>
      <c r="J44" s="629"/>
      <c r="K44" s="629"/>
      <c r="L44" s="629"/>
      <c r="N44" s="453"/>
    </row>
    <row r="45" spans="3:14" ht="18" customHeight="1" x14ac:dyDescent="0.2">
      <c r="C45" s="711" t="s">
        <v>565</v>
      </c>
      <c r="D45" s="629" t="str">
        <f>IFERROR(LEFT(Var_Neo_AfsprControles,LEN(Var_Neo_AfsprControles)-3),"")</f>
        <v/>
      </c>
      <c r="E45" s="629"/>
      <c r="F45" s="629"/>
      <c r="G45" s="629"/>
      <c r="H45" s="629"/>
      <c r="I45" s="629"/>
      <c r="J45" s="629"/>
      <c r="K45" s="629"/>
      <c r="L45" s="629"/>
      <c r="N45" s="453"/>
    </row>
    <row r="46" spans="3:14" ht="18" customHeight="1" x14ac:dyDescent="0.2">
      <c r="C46" s="711" t="s">
        <v>571</v>
      </c>
      <c r="D46" s="629" t="str">
        <f>IFERROR(LEFT(Var_Neo_AfsprOnderzoek,LEN(Var_Neo_AfsprOnderzoek)-3),"")</f>
        <v/>
      </c>
      <c r="E46" s="629"/>
      <c r="F46" s="629"/>
      <c r="G46" s="629"/>
      <c r="H46" s="629"/>
      <c r="I46" s="629"/>
      <c r="J46" s="629"/>
      <c r="K46" s="629"/>
      <c r="L46" s="629"/>
      <c r="N46" s="453"/>
    </row>
    <row r="47" spans="3:14" ht="18" customHeight="1" x14ac:dyDescent="0.2">
      <c r="C47" s="711" t="s">
        <v>764</v>
      </c>
      <c r="D47" s="629" t="str">
        <f>IFERROR(LEFT(Var_Neo_AfsprInstellingen,LEN(Var_Neo_AfsprInstellingen)-3),"")</f>
        <v/>
      </c>
      <c r="E47" s="629"/>
      <c r="F47" s="629"/>
      <c r="G47" s="629"/>
      <c r="H47" s="629"/>
      <c r="I47" s="629"/>
      <c r="J47" s="629"/>
      <c r="K47" s="629"/>
      <c r="L47" s="629"/>
      <c r="N47" s="453"/>
    </row>
    <row r="48" spans="3:14" ht="18" customHeight="1" x14ac:dyDescent="0.2">
      <c r="C48" s="711" t="s">
        <v>505</v>
      </c>
      <c r="D48" s="629" t="str">
        <f>IFERROR(LEFT(Var_Neo_AfsprKweken,LEN(Var_Neo_AfsprKweken)-3),"")</f>
        <v/>
      </c>
      <c r="E48" s="629"/>
      <c r="F48" s="629"/>
      <c r="G48" s="629"/>
      <c r="H48" s="629"/>
      <c r="I48" s="629"/>
      <c r="J48" s="629"/>
      <c r="K48" s="629"/>
      <c r="L48" s="629"/>
      <c r="N48" s="453"/>
    </row>
    <row r="49" spans="3:14" ht="18" customHeight="1" x14ac:dyDescent="0.2">
      <c r="C49" s="711" t="s">
        <v>551</v>
      </c>
      <c r="D49" s="629" t="str">
        <f>IFERROR(LEFT(Var_Neo_AfsprOverig,LEN(Var_Neo_AfsprOverig)-3),"")</f>
        <v/>
      </c>
      <c r="E49" s="629"/>
      <c r="F49" s="629"/>
      <c r="G49" s="629"/>
      <c r="H49" s="629"/>
      <c r="I49" s="629"/>
      <c r="J49" s="629"/>
      <c r="K49" s="629"/>
      <c r="L49" s="629"/>
      <c r="N49" s="453"/>
    </row>
    <row r="50" spans="3:14" ht="18" customHeight="1" x14ac:dyDescent="0.2"/>
    <row r="51" spans="3:14" ht="18" customHeight="1" x14ac:dyDescent="0.2">
      <c r="N51" s="453"/>
    </row>
    <row r="52" spans="3:14" ht="18" customHeight="1" x14ac:dyDescent="0.2">
      <c r="N52" s="453"/>
    </row>
    <row r="53" spans="3:14" ht="18" customHeight="1" x14ac:dyDescent="0.2">
      <c r="N53" s="453"/>
    </row>
    <row r="54" spans="3:14" ht="18" customHeight="1" x14ac:dyDescent="0.2">
      <c r="N54" s="453"/>
    </row>
    <row r="55" spans="3:14" ht="18" customHeight="1" x14ac:dyDescent="0.2">
      <c r="N55" s="453"/>
    </row>
    <row r="56" spans="3:14" ht="18" customHeight="1" x14ac:dyDescent="0.2"/>
    <row r="57" spans="3:14" ht="18" customHeight="1" x14ac:dyDescent="0.2"/>
    <row r="58" spans="3:14" ht="18" customHeight="1" x14ac:dyDescent="0.2">
      <c r="N58" s="320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ortState ref="R6:S78">
    <sortCondition ref="R6"/>
  </sortState>
  <mergeCells count="2">
    <mergeCell ref="J31:L33"/>
    <mergeCell ref="H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 altText="MMaagsonde afhangend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1409700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1666875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23</xdr:row>
                    <xdr:rowOff>19050</xdr:rowOff>
                  </from>
                  <to>
                    <xdr:col>9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19</xdr:row>
                    <xdr:rowOff>19050</xdr:rowOff>
                  </from>
                  <to>
                    <xdr:col>9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17</xdr:row>
                    <xdr:rowOff>38100</xdr:rowOff>
                  </from>
                  <to>
                    <xdr:col>10</xdr:col>
                    <xdr:colOff>933450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17</xdr:row>
                    <xdr:rowOff>19050</xdr:rowOff>
                  </from>
                  <to>
                    <xdr:col>11</xdr:col>
                    <xdr:colOff>809625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27</xdr:row>
                    <xdr:rowOff>19050</xdr:rowOff>
                  </from>
                  <to>
                    <xdr:col>10</xdr:col>
                    <xdr:colOff>1019175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19</xdr:row>
                    <xdr:rowOff>28575</xdr:rowOff>
                  </from>
                  <to>
                    <xdr:col>10</xdr:col>
                    <xdr:colOff>809625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5" r:id="rId124" name="Check Box 1273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workbookViewId="0">
      <selection activeCell="B60" sqref="B60"/>
    </sheetView>
  </sheetViews>
  <sheetFormatPr defaultRowHeight="12.75" x14ac:dyDescent="0.2"/>
  <cols>
    <col min="1" max="1" width="34.7109375" bestFit="1" customWidth="1"/>
    <col min="2" max="2" width="10.7109375" bestFit="1" customWidth="1"/>
    <col min="3" max="3" width="19.5703125" bestFit="1" customWidth="1"/>
    <col min="4" max="4" width="9.140625" style="156"/>
    <col min="5" max="5" width="17.85546875" customWidth="1"/>
    <col min="7" max="7" width="37.42578125" bestFit="1" customWidth="1"/>
    <col min="8" max="8" width="9.140625" style="151" customWidth="1"/>
    <col min="9" max="9" width="28" style="169" bestFit="1" customWidth="1"/>
    <col min="11" max="11" width="13.5703125" customWidth="1"/>
  </cols>
  <sheetData>
    <row r="1" spans="1:13" x14ac:dyDescent="0.2">
      <c r="A1" s="179"/>
    </row>
    <row r="6" spans="1:13" x14ac:dyDescent="0.2">
      <c r="A6" s="187" t="s">
        <v>565</v>
      </c>
      <c r="E6" s="1" t="s">
        <v>505</v>
      </c>
      <c r="I6" s="167" t="s">
        <v>551</v>
      </c>
    </row>
    <row r="7" spans="1:13" x14ac:dyDescent="0.2">
      <c r="A7" s="152" t="s">
        <v>500</v>
      </c>
      <c r="B7" s="179" t="b">
        <v>0</v>
      </c>
      <c r="E7" t="s">
        <v>507</v>
      </c>
      <c r="F7" s="179" t="b">
        <v>0</v>
      </c>
      <c r="I7" s="168" t="s">
        <v>537</v>
      </c>
      <c r="J7" s="179" t="b">
        <v>0</v>
      </c>
    </row>
    <row r="8" spans="1:13" x14ac:dyDescent="0.2">
      <c r="A8" s="152" t="s">
        <v>207</v>
      </c>
      <c r="B8" s="179" t="b">
        <v>0</v>
      </c>
      <c r="C8" s="183">
        <v>0</v>
      </c>
      <c r="D8" s="246">
        <v>1</v>
      </c>
      <c r="E8" t="s">
        <v>508</v>
      </c>
      <c r="F8" s="179" t="b">
        <v>0</v>
      </c>
      <c r="G8" t="s">
        <v>509</v>
      </c>
      <c r="H8" s="179" t="b">
        <v>0</v>
      </c>
      <c r="I8" s="168" t="s">
        <v>699</v>
      </c>
      <c r="J8" s="179" t="b">
        <v>0</v>
      </c>
      <c r="M8" s="151"/>
    </row>
    <row r="9" spans="1:13" x14ac:dyDescent="0.2">
      <c r="A9" s="152" t="s">
        <v>95</v>
      </c>
      <c r="B9" s="179" t="b">
        <v>0</v>
      </c>
      <c r="C9" s="179">
        <v>0</v>
      </c>
      <c r="D9" s="180">
        <v>1</v>
      </c>
      <c r="G9" t="s">
        <v>510</v>
      </c>
      <c r="H9" s="179" t="b">
        <v>0</v>
      </c>
      <c r="I9" s="168" t="s">
        <v>545</v>
      </c>
      <c r="J9" s="179" t="b">
        <v>0</v>
      </c>
      <c r="M9" s="151"/>
    </row>
    <row r="10" spans="1:13" x14ac:dyDescent="0.2">
      <c r="A10" s="152" t="s">
        <v>491</v>
      </c>
      <c r="B10" s="179" t="b">
        <v>0</v>
      </c>
      <c r="G10" t="s">
        <v>511</v>
      </c>
      <c r="H10" s="179" t="b">
        <v>0</v>
      </c>
      <c r="I10" s="168" t="s">
        <v>501</v>
      </c>
      <c r="J10" s="179" t="b">
        <v>0</v>
      </c>
      <c r="M10" s="151"/>
    </row>
    <row r="11" spans="1:13" x14ac:dyDescent="0.2">
      <c r="A11" s="152" t="s">
        <v>595</v>
      </c>
      <c r="B11" s="179" t="b">
        <v>0</v>
      </c>
      <c r="C11" s="152" t="s">
        <v>567</v>
      </c>
      <c r="D11" s="180" t="b">
        <v>0</v>
      </c>
      <c r="G11" t="s">
        <v>512</v>
      </c>
      <c r="H11" s="179" t="b">
        <v>0</v>
      </c>
      <c r="I11" s="168"/>
      <c r="J11" s="179" t="b">
        <v>0</v>
      </c>
      <c r="M11" s="151"/>
    </row>
    <row r="12" spans="1:13" x14ac:dyDescent="0.2">
      <c r="A12" s="152" t="s">
        <v>597</v>
      </c>
      <c r="B12" s="207">
        <v>0</v>
      </c>
      <c r="C12" s="164" t="s">
        <v>568</v>
      </c>
      <c r="D12" s="180" t="b">
        <v>0</v>
      </c>
      <c r="E12" s="152" t="s">
        <v>513</v>
      </c>
      <c r="F12" s="179" t="b">
        <v>0</v>
      </c>
      <c r="I12" s="168" t="s">
        <v>546</v>
      </c>
      <c r="J12" s="179" t="b">
        <v>0</v>
      </c>
      <c r="K12" s="151"/>
      <c r="L12" s="151"/>
      <c r="M12" s="151"/>
    </row>
    <row r="13" spans="1:13" x14ac:dyDescent="0.2">
      <c r="C13" s="152" t="s">
        <v>569</v>
      </c>
      <c r="D13" s="180" t="b">
        <v>0</v>
      </c>
      <c r="E13" s="152" t="s">
        <v>514</v>
      </c>
      <c r="F13" s="179" t="b">
        <v>0</v>
      </c>
      <c r="G13" t="s">
        <v>521</v>
      </c>
      <c r="H13" s="179" t="b">
        <v>0</v>
      </c>
      <c r="I13" s="168" t="s">
        <v>7021</v>
      </c>
      <c r="J13" s="179" t="b">
        <v>0</v>
      </c>
      <c r="M13" s="151"/>
    </row>
    <row r="14" spans="1:13" x14ac:dyDescent="0.2">
      <c r="C14" s="152" t="s">
        <v>570</v>
      </c>
      <c r="D14" s="180" t="b">
        <v>0</v>
      </c>
      <c r="E14" s="152" t="s">
        <v>515</v>
      </c>
      <c r="F14" s="179" t="b">
        <v>0</v>
      </c>
      <c r="I14" s="168" t="s">
        <v>497</v>
      </c>
      <c r="J14" s="179" t="b">
        <v>0</v>
      </c>
      <c r="M14" s="151"/>
    </row>
    <row r="15" spans="1:13" x14ac:dyDescent="0.2">
      <c r="A15" s="152" t="s">
        <v>596</v>
      </c>
      <c r="B15" s="179" t="b">
        <v>0</v>
      </c>
      <c r="E15" s="152" t="s">
        <v>516</v>
      </c>
      <c r="F15" s="179" t="b">
        <v>0</v>
      </c>
      <c r="G15" t="s">
        <v>522</v>
      </c>
      <c r="H15" s="179" t="b">
        <v>0</v>
      </c>
      <c r="I15" s="168" t="s">
        <v>498</v>
      </c>
      <c r="J15" s="179" t="b">
        <v>0</v>
      </c>
      <c r="M15" s="151"/>
    </row>
    <row r="16" spans="1:13" x14ac:dyDescent="0.2">
      <c r="A16" t="s">
        <v>493</v>
      </c>
      <c r="B16" s="179" t="b">
        <v>0</v>
      </c>
      <c r="E16" s="151"/>
      <c r="G16" t="s">
        <v>523</v>
      </c>
      <c r="H16" s="179" t="b">
        <v>0</v>
      </c>
      <c r="I16" s="168" t="s">
        <v>499</v>
      </c>
      <c r="J16" s="179" t="b">
        <v>0</v>
      </c>
      <c r="M16" s="151"/>
    </row>
    <row r="17" spans="1:13" x14ac:dyDescent="0.2">
      <c r="A17" s="152" t="s">
        <v>492</v>
      </c>
      <c r="B17" s="179" t="b">
        <v>0</v>
      </c>
      <c r="E17" s="152" t="s">
        <v>305</v>
      </c>
      <c r="F17" s="179" t="b">
        <v>0</v>
      </c>
      <c r="I17" s="168" t="s">
        <v>550</v>
      </c>
      <c r="J17" s="179" t="b">
        <v>0</v>
      </c>
      <c r="M17" s="151"/>
    </row>
    <row r="18" spans="1:13" x14ac:dyDescent="0.2">
      <c r="A18" s="152" t="s">
        <v>496</v>
      </c>
      <c r="B18" s="179" t="b">
        <v>0</v>
      </c>
      <c r="C18" s="179">
        <v>0</v>
      </c>
      <c r="D18" s="180">
        <v>1</v>
      </c>
      <c r="E18" s="152" t="s">
        <v>517</v>
      </c>
      <c r="F18" s="179" t="b">
        <v>0</v>
      </c>
      <c r="G18" t="s">
        <v>524</v>
      </c>
      <c r="H18" s="179" t="b">
        <v>0</v>
      </c>
      <c r="I18" s="168" t="s">
        <v>700</v>
      </c>
      <c r="J18" s="179" t="b">
        <v>0</v>
      </c>
      <c r="K18" s="183">
        <v>0</v>
      </c>
      <c r="L18" s="183">
        <v>0</v>
      </c>
      <c r="M18" s="151"/>
    </row>
    <row r="19" spans="1:13" x14ac:dyDescent="0.2">
      <c r="A19" s="152" t="s">
        <v>494</v>
      </c>
      <c r="B19" s="179" t="b">
        <v>0</v>
      </c>
      <c r="E19" s="151"/>
      <c r="G19" t="s">
        <v>525</v>
      </c>
      <c r="H19" s="179" t="b">
        <v>0</v>
      </c>
      <c r="I19" s="168" t="s">
        <v>305</v>
      </c>
      <c r="J19" s="179" t="b">
        <v>0</v>
      </c>
      <c r="M19" s="151"/>
    </row>
    <row r="20" spans="1:13" x14ac:dyDescent="0.2">
      <c r="E20" s="151"/>
      <c r="G20" t="s">
        <v>526</v>
      </c>
      <c r="H20" s="179" t="b">
        <v>0</v>
      </c>
      <c r="I20" s="168" t="s">
        <v>547</v>
      </c>
      <c r="J20" s="179" t="b">
        <v>0</v>
      </c>
      <c r="M20" s="151"/>
    </row>
    <row r="21" spans="1:13" x14ac:dyDescent="0.2">
      <c r="A21" s="1" t="s">
        <v>571</v>
      </c>
      <c r="B21" s="179"/>
      <c r="E21" s="152" t="s">
        <v>518</v>
      </c>
      <c r="F21" s="179" t="b">
        <v>0</v>
      </c>
      <c r="I21" s="168" t="s">
        <v>701</v>
      </c>
      <c r="J21" s="179" t="b">
        <v>0</v>
      </c>
      <c r="K21" s="247">
        <v>0</v>
      </c>
      <c r="L21" s="183"/>
      <c r="M21" s="151"/>
    </row>
    <row r="22" spans="1:13" x14ac:dyDescent="0.2">
      <c r="A22" s="152" t="s">
        <v>506</v>
      </c>
      <c r="B22" s="179" t="b">
        <v>0</v>
      </c>
      <c r="C22" t="str">
        <f>IF(OR(D22=0,D22=1,D22=""),"",INDEX(Tbl_Ped_aEEG,D22,1))</f>
        <v/>
      </c>
      <c r="D22" s="180">
        <v>1</v>
      </c>
      <c r="E22" s="152" t="s">
        <v>519</v>
      </c>
      <c r="F22" s="179" t="b">
        <v>0</v>
      </c>
      <c r="G22" t="s">
        <v>527</v>
      </c>
      <c r="H22" s="179" t="b">
        <v>0</v>
      </c>
      <c r="I22" s="168"/>
      <c r="J22" s="151"/>
      <c r="K22" s="152" t="s">
        <v>702</v>
      </c>
      <c r="L22" s="179" t="b">
        <v>0</v>
      </c>
      <c r="M22" s="151"/>
    </row>
    <row r="23" spans="1:13" x14ac:dyDescent="0.2">
      <c r="A23" s="152" t="s">
        <v>306</v>
      </c>
      <c r="B23" s="179" t="b">
        <v>0</v>
      </c>
      <c r="E23" s="152" t="s">
        <v>520</v>
      </c>
      <c r="F23" s="179" t="b">
        <v>0</v>
      </c>
      <c r="G23" t="s">
        <v>528</v>
      </c>
      <c r="H23" s="179" t="b">
        <v>0</v>
      </c>
      <c r="I23" s="168"/>
      <c r="J23" s="151"/>
      <c r="K23" s="152" t="s">
        <v>233</v>
      </c>
      <c r="L23" s="179" t="b">
        <v>0</v>
      </c>
      <c r="M23" s="151"/>
    </row>
    <row r="24" spans="1:13" x14ac:dyDescent="0.2">
      <c r="A24" s="152" t="s">
        <v>31</v>
      </c>
      <c r="B24" s="179" t="b">
        <v>0</v>
      </c>
      <c r="E24" s="151"/>
      <c r="G24" t="s">
        <v>529</v>
      </c>
      <c r="H24" s="179" t="b">
        <v>0</v>
      </c>
      <c r="I24" s="168"/>
      <c r="J24" s="151"/>
      <c r="K24" s="152" t="s">
        <v>703</v>
      </c>
      <c r="L24" s="179" t="b">
        <v>0</v>
      </c>
      <c r="M24" s="151"/>
    </row>
    <row r="25" spans="1:13" x14ac:dyDescent="0.2">
      <c r="A25" s="152" t="s">
        <v>543</v>
      </c>
      <c r="B25" s="179" t="b">
        <v>0</v>
      </c>
      <c r="E25" s="151"/>
      <c r="G25" t="s">
        <v>530</v>
      </c>
      <c r="H25" s="179" t="b">
        <v>0</v>
      </c>
      <c r="I25" s="168" t="s">
        <v>573</v>
      </c>
      <c r="J25" s="179" t="b">
        <v>0</v>
      </c>
      <c r="K25" s="152" t="s">
        <v>574</v>
      </c>
      <c r="L25" s="179" t="b">
        <v>0</v>
      </c>
      <c r="M25" s="151"/>
    </row>
    <row r="26" spans="1:13" x14ac:dyDescent="0.2">
      <c r="A26" s="152" t="s">
        <v>544</v>
      </c>
      <c r="B26" s="179" t="b">
        <v>0</v>
      </c>
      <c r="E26" s="151"/>
      <c r="G26" t="s">
        <v>531</v>
      </c>
      <c r="H26" s="179" t="b">
        <v>0</v>
      </c>
      <c r="I26" s="168"/>
      <c r="K26" s="152" t="s">
        <v>575</v>
      </c>
      <c r="L26" s="179" t="b">
        <v>0</v>
      </c>
      <c r="M26" s="151"/>
    </row>
    <row r="27" spans="1:13" x14ac:dyDescent="0.2">
      <c r="A27" s="152" t="s">
        <v>307</v>
      </c>
      <c r="B27" s="179" t="b">
        <v>0</v>
      </c>
      <c r="C27" t="str">
        <f>REPLACE(INDEX(Tbl_Ped_VertrekTijden,D27,2),1,1,"")</f>
        <v>12:00</v>
      </c>
      <c r="D27" s="180">
        <v>50</v>
      </c>
      <c r="E27" s="151"/>
      <c r="G27" t="s">
        <v>532</v>
      </c>
      <c r="H27" s="179" t="b">
        <v>0</v>
      </c>
      <c r="I27" s="168"/>
      <c r="K27" s="152" t="s">
        <v>576</v>
      </c>
      <c r="L27" s="179" t="b">
        <v>0</v>
      </c>
      <c r="M27" s="151"/>
    </row>
    <row r="28" spans="1:13" x14ac:dyDescent="0.2">
      <c r="A28" s="152" t="s">
        <v>598</v>
      </c>
      <c r="B28" s="179" t="b">
        <v>0</v>
      </c>
      <c r="E28" s="151"/>
      <c r="G28" t="s">
        <v>533</v>
      </c>
      <c r="H28" s="179" t="b">
        <v>0</v>
      </c>
      <c r="I28" s="168"/>
      <c r="K28" s="152" t="s">
        <v>577</v>
      </c>
      <c r="L28" s="179" t="b">
        <v>0</v>
      </c>
    </row>
    <row r="29" spans="1:13" x14ac:dyDescent="0.2">
      <c r="A29" s="152" t="s">
        <v>599</v>
      </c>
      <c r="B29" s="179" t="b">
        <v>0</v>
      </c>
      <c r="E29" s="151"/>
      <c r="G29" t="s">
        <v>534</v>
      </c>
      <c r="H29" s="179" t="b">
        <v>0</v>
      </c>
      <c r="I29" s="168"/>
      <c r="K29" s="152" t="s">
        <v>213</v>
      </c>
      <c r="L29" s="179"/>
    </row>
    <row r="30" spans="1:13" x14ac:dyDescent="0.2">
      <c r="A30" s="152" t="s">
        <v>495</v>
      </c>
      <c r="B30" s="179" t="b">
        <v>0</v>
      </c>
      <c r="E30" s="151"/>
      <c r="G30" t="s">
        <v>535</v>
      </c>
      <c r="H30" s="179" t="b">
        <v>0</v>
      </c>
      <c r="I30" s="168" t="s">
        <v>421</v>
      </c>
      <c r="J30" s="179" t="b">
        <v>0</v>
      </c>
      <c r="K30" s="179">
        <v>0</v>
      </c>
    </row>
    <row r="31" spans="1:13" x14ac:dyDescent="0.2">
      <c r="A31" s="152" t="s">
        <v>30</v>
      </c>
      <c r="B31" s="179" t="b">
        <v>0</v>
      </c>
      <c r="E31" s="152" t="s">
        <v>536</v>
      </c>
      <c r="F31" s="179" t="b">
        <v>0</v>
      </c>
      <c r="G31" s="183"/>
      <c r="H31" s="152"/>
      <c r="I31" s="168" t="s">
        <v>7022</v>
      </c>
      <c r="J31" s="152"/>
    </row>
    <row r="32" spans="1:13" x14ac:dyDescent="0.2">
      <c r="A32" s="152" t="s">
        <v>19</v>
      </c>
      <c r="B32" s="179" t="b">
        <v>0</v>
      </c>
      <c r="E32" s="1"/>
      <c r="I32" s="168"/>
    </row>
    <row r="33" spans="1:9" x14ac:dyDescent="0.2">
      <c r="A33" s="1" t="s">
        <v>764</v>
      </c>
      <c r="B33" s="151"/>
      <c r="C33" s="151"/>
      <c r="E33" s="151"/>
      <c r="F33" s="151"/>
      <c r="G33" s="151"/>
      <c r="I33" s="168"/>
    </row>
    <row r="34" spans="1:9" x14ac:dyDescent="0.2">
      <c r="A34" s="152" t="s">
        <v>600</v>
      </c>
      <c r="B34" s="179" t="b">
        <v>0</v>
      </c>
      <c r="C34" s="151" t="str">
        <f>IF(OR(D34=0,D34=1,D34=""),"",INDEX(Tbl_Ped_DrainLokatie,D34,0))</f>
        <v/>
      </c>
      <c r="D34" s="180">
        <v>1</v>
      </c>
      <c r="E34">
        <f>IF(OR(D22=0,D22=""),"",INDEX(Tbl_Ped_aEEG,D22,1))</f>
        <v>0</v>
      </c>
      <c r="I34" s="168"/>
    </row>
    <row r="35" spans="1:9" x14ac:dyDescent="0.2">
      <c r="C35" s="151" t="str">
        <f>IF(OR(D35=0,D35=1,D35=""),"",INDEX(Tbl_Ped_DrainModus,D35,0))</f>
        <v/>
      </c>
      <c r="D35" s="180">
        <v>1</v>
      </c>
      <c r="I35" s="168"/>
    </row>
    <row r="36" spans="1:9" x14ac:dyDescent="0.2">
      <c r="C36" s="151" t="str">
        <f>IF(OR(D36=0,D36=1,D36=""),"",INDEX(Tbl_Ped_DrainZuig,D36,0))</f>
        <v/>
      </c>
      <c r="D36" s="180">
        <v>1</v>
      </c>
      <c r="I36" s="168"/>
    </row>
    <row r="37" spans="1:9" x14ac:dyDescent="0.2">
      <c r="A37" s="152" t="s">
        <v>698</v>
      </c>
      <c r="B37" s="179" t="b">
        <v>0</v>
      </c>
      <c r="C37" s="151" t="str">
        <f>IF(OR(D37=0,D37=1,D37=""),"",INDEX(Tbl_Ped_DrainLokatie,D37,0))</f>
        <v/>
      </c>
      <c r="D37" s="180">
        <v>1</v>
      </c>
      <c r="E37" s="151"/>
      <c r="I37" s="168"/>
    </row>
    <row r="38" spans="1:9" x14ac:dyDescent="0.2">
      <c r="A38" s="151"/>
      <c r="B38" s="151"/>
      <c r="C38" s="151" t="str">
        <f>IF(OR(D38=0,D38=1,D38=""),"",INDEX(Tbl_Ped_DrainModus,D38,0))</f>
        <v/>
      </c>
      <c r="D38" s="180">
        <v>1</v>
      </c>
    </row>
    <row r="39" spans="1:9" x14ac:dyDescent="0.2">
      <c r="A39" s="151"/>
      <c r="B39" s="151"/>
      <c r="C39" s="151" t="str">
        <f>IF(OR(D39=0,D39=1,D39=""),"",INDEX(Tbl_Ped_DrainZuig,D39,0))</f>
        <v/>
      </c>
      <c r="D39" s="180">
        <v>1</v>
      </c>
    </row>
    <row r="40" spans="1:9" x14ac:dyDescent="0.2">
      <c r="A40" s="152" t="s">
        <v>767</v>
      </c>
      <c r="B40" s="179" t="b">
        <v>0</v>
      </c>
      <c r="C40" s="151" t="str">
        <f>IF(OR(D40=0,D40=1,D40=""),"",INDEX(Tbl_Ped_DrainLokatie,D40,0))</f>
        <v/>
      </c>
      <c r="D40" s="180">
        <v>1</v>
      </c>
      <c r="E40" s="151"/>
    </row>
    <row r="41" spans="1:9" x14ac:dyDescent="0.2">
      <c r="C41" s="151" t="str">
        <f>IF(OR(D41=0,D41=1,D41=""),"",INDEX(Tbl_Ped_DrainModus,D41,0))</f>
        <v/>
      </c>
      <c r="D41" s="180">
        <v>1</v>
      </c>
    </row>
    <row r="42" spans="1:9" x14ac:dyDescent="0.2">
      <c r="C42" s="151" t="str">
        <f>IF(OR(D42=0,D42=1,D42=""),"",INDEX(Tbl_Ped_DrainZuig,D42,0))</f>
        <v/>
      </c>
      <c r="D42" s="180">
        <v>1</v>
      </c>
    </row>
    <row r="43" spans="1:9" x14ac:dyDescent="0.2">
      <c r="A43" s="168" t="s">
        <v>549</v>
      </c>
      <c r="B43" s="179" t="b">
        <v>0</v>
      </c>
      <c r="C43" s="152" t="s">
        <v>768</v>
      </c>
      <c r="D43" s="180" t="b">
        <v>0</v>
      </c>
      <c r="E43" s="151"/>
    </row>
    <row r="44" spans="1:9" x14ac:dyDescent="0.2">
      <c r="A44" s="152" t="s">
        <v>707</v>
      </c>
      <c r="B44" s="179" t="b">
        <v>0</v>
      </c>
      <c r="C44" s="152" t="s">
        <v>768</v>
      </c>
      <c r="D44" s="180" t="b">
        <v>0</v>
      </c>
      <c r="E44" s="151"/>
    </row>
    <row r="45" spans="1:9" x14ac:dyDescent="0.2">
      <c r="A45" s="168" t="s">
        <v>548</v>
      </c>
      <c r="B45" s="179" t="b">
        <v>0</v>
      </c>
      <c r="C45" s="152" t="s">
        <v>768</v>
      </c>
      <c r="D45" s="180" t="b">
        <v>0</v>
      </c>
      <c r="E45" s="151"/>
    </row>
    <row r="46" spans="1:9" x14ac:dyDescent="0.2">
      <c r="A46" s="152" t="s">
        <v>765</v>
      </c>
      <c r="B46" s="179" t="b">
        <v>0</v>
      </c>
      <c r="C46" t="str">
        <f>IF(OR(D46=0,D46=1,D46=""),"",INDEX(Tbl_Ped_LiquorDrain,D46,0))</f>
        <v/>
      </c>
      <c r="D46" s="180">
        <v>1</v>
      </c>
      <c r="E46" s="151"/>
    </row>
    <row r="47" spans="1:9" x14ac:dyDescent="0.2">
      <c r="C47" s="151" t="s">
        <v>766</v>
      </c>
      <c r="D47" s="180">
        <v>0</v>
      </c>
    </row>
    <row r="55" spans="1:3" x14ac:dyDescent="0.2">
      <c r="A55" s="1" t="s">
        <v>538</v>
      </c>
    </row>
    <row r="56" spans="1:3" x14ac:dyDescent="0.2">
      <c r="A56" s="152" t="s">
        <v>565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152" t="s">
        <v>571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152" t="s">
        <v>764</v>
      </c>
      <c r="B58" s="151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151"/>
    </row>
    <row r="59" spans="1:3" x14ac:dyDescent="0.2">
      <c r="A59" s="152" t="s">
        <v>505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152" t="s">
        <v>551</v>
      </c>
      <c r="B60" t="str">
        <f>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f>
        <v/>
      </c>
    </row>
    <row r="67" spans="1:1" x14ac:dyDescent="0.2">
      <c r="A67" s="152"/>
    </row>
    <row r="69" spans="1:1" x14ac:dyDescent="0.2">
      <c r="A69" s="152"/>
    </row>
    <row r="70" spans="1:1" x14ac:dyDescent="0.2">
      <c r="A70" s="151"/>
    </row>
    <row r="71" spans="1:1" x14ac:dyDescent="0.2">
      <c r="A71" s="152"/>
    </row>
    <row r="72" spans="1:1" x14ac:dyDescent="0.2">
      <c r="A72" s="152"/>
    </row>
    <row r="73" spans="1:1" x14ac:dyDescent="0.2">
      <c r="A73" s="152"/>
    </row>
    <row r="74" spans="1:1" x14ac:dyDescent="0.2">
      <c r="A74" s="152"/>
    </row>
    <row r="75" spans="1:1" x14ac:dyDescent="0.2">
      <c r="A75" s="152"/>
    </row>
    <row r="76" spans="1:1" x14ac:dyDescent="0.2">
      <c r="A76" s="152"/>
    </row>
    <row r="77" spans="1:1" x14ac:dyDescent="0.2">
      <c r="A77" s="152"/>
    </row>
    <row r="78" spans="1:1" x14ac:dyDescent="0.2">
      <c r="A78" s="152"/>
    </row>
    <row r="79" spans="1:1" x14ac:dyDescent="0.2">
      <c r="A79" s="152"/>
    </row>
    <row r="80" spans="1:1" x14ac:dyDescent="0.2">
      <c r="A80" s="152"/>
    </row>
    <row r="81" spans="1:1" x14ac:dyDescent="0.2">
      <c r="A81" s="152"/>
    </row>
    <row r="82" spans="1:1" x14ac:dyDescent="0.2">
      <c r="A82" s="152"/>
    </row>
    <row r="83" spans="1:1" x14ac:dyDescent="0.2">
      <c r="A83" s="151"/>
    </row>
    <row r="84" spans="1:1" x14ac:dyDescent="0.2">
      <c r="A84" s="152"/>
    </row>
    <row r="85" spans="1:1" x14ac:dyDescent="0.2">
      <c r="A85" s="152"/>
    </row>
    <row r="86" spans="1:1" x14ac:dyDescent="0.2">
      <c r="A86" s="155"/>
    </row>
    <row r="87" spans="1:1" x14ac:dyDescent="0.2">
      <c r="A87" s="152"/>
    </row>
    <row r="88" spans="1:1" x14ac:dyDescent="0.2">
      <c r="A88" s="152"/>
    </row>
    <row r="89" spans="1:1" x14ac:dyDescent="0.2">
      <c r="A89" s="152"/>
    </row>
    <row r="90" spans="1:1" x14ac:dyDescent="0.2">
      <c r="A90" s="152"/>
    </row>
    <row r="91" spans="1:1" x14ac:dyDescent="0.2">
      <c r="A91" s="152"/>
    </row>
    <row r="92" spans="1:1" x14ac:dyDescent="0.2">
      <c r="A92" s="152"/>
    </row>
    <row r="93" spans="1:1" x14ac:dyDescent="0.2">
      <c r="A93" s="152"/>
    </row>
    <row r="94" spans="1:1" x14ac:dyDescent="0.2">
      <c r="A94" s="152"/>
    </row>
    <row r="95" spans="1:1" x14ac:dyDescent="0.2">
      <c r="A95" s="152"/>
    </row>
    <row r="96" spans="1:1" x14ac:dyDescent="0.2">
      <c r="A96" s="152"/>
    </row>
    <row r="97" spans="1:1" x14ac:dyDescent="0.2">
      <c r="A97" s="152"/>
    </row>
    <row r="98" spans="1:1" x14ac:dyDescent="0.2">
      <c r="A98" s="152"/>
    </row>
    <row r="99" spans="1:1" x14ac:dyDescent="0.2">
      <c r="A99" s="152"/>
    </row>
    <row r="100" spans="1:1" x14ac:dyDescent="0.2">
      <c r="A100" s="152"/>
    </row>
    <row r="101" spans="1:1" x14ac:dyDescent="0.2">
      <c r="A101" s="152"/>
    </row>
    <row r="102" spans="1:1" x14ac:dyDescent="0.2">
      <c r="A102" s="152"/>
    </row>
    <row r="103" spans="1:1" x14ac:dyDescent="0.2">
      <c r="A103" s="152"/>
    </row>
    <row r="104" spans="1:1" x14ac:dyDescent="0.2">
      <c r="A104" s="152"/>
    </row>
    <row r="105" spans="1:1" x14ac:dyDescent="0.2">
      <c r="A105" s="152"/>
    </row>
    <row r="106" spans="1:1" x14ac:dyDescent="0.2">
      <c r="A106" s="152"/>
    </row>
    <row r="107" spans="1:1" x14ac:dyDescent="0.2">
      <c r="A107" s="151"/>
    </row>
    <row r="108" spans="1:1" x14ac:dyDescent="0.2">
      <c r="A108" s="151"/>
    </row>
  </sheetData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1" width="3.7109375" style="564" customWidth="1"/>
    <col min="2" max="13" width="10.7109375" style="564" customWidth="1"/>
    <col min="14" max="14" width="2.140625" style="564" customWidth="1"/>
    <col min="15" max="20" width="10.7109375" style="564" customWidth="1"/>
    <col min="21" max="16384" width="9.140625" style="564"/>
  </cols>
  <sheetData>
    <row r="1" spans="1:81" s="425" customFormat="1" ht="7.5" customHeight="1" x14ac:dyDescent="0.2">
      <c r="A1" s="297"/>
      <c r="B1" s="567"/>
      <c r="C1" s="567"/>
      <c r="D1" s="567"/>
      <c r="E1" s="567"/>
      <c r="F1" s="567"/>
      <c r="G1" s="567"/>
      <c r="H1" s="567"/>
      <c r="I1" s="567"/>
      <c r="J1" s="567"/>
      <c r="K1" s="567"/>
      <c r="L1" s="567"/>
      <c r="M1" s="567"/>
      <c r="N1" s="567"/>
      <c r="O1" s="567"/>
      <c r="P1" s="567"/>
      <c r="Q1" s="567"/>
      <c r="R1" s="567"/>
      <c r="S1" s="567"/>
      <c r="T1" s="567"/>
      <c r="U1" s="298"/>
      <c r="V1" s="298"/>
      <c r="W1" s="298"/>
      <c r="X1" s="298"/>
    </row>
    <row r="2" spans="1:81" s="425" customFormat="1" ht="17.25" customHeight="1" x14ac:dyDescent="0.2">
      <c r="A2" s="298"/>
      <c r="B2" s="567"/>
      <c r="C2" s="569" t="s">
        <v>229</v>
      </c>
      <c r="D2" s="570" t="str">
        <f ca="1">Txt_Pat_AfspraakDat</f>
        <v>14-nov-2018</v>
      </c>
      <c r="E2" s="571"/>
      <c r="F2" s="569"/>
      <c r="G2" s="567"/>
      <c r="H2" s="573" t="s">
        <v>230</v>
      </c>
      <c r="I2" s="569"/>
      <c r="J2" s="569" t="str">
        <f>Txt_Pat_OpnameDat</f>
        <v/>
      </c>
      <c r="K2" s="567"/>
      <c r="L2" s="567"/>
      <c r="M2" s="567" t="str">
        <f>Txt_Pat_Gewicht</f>
        <v>Gewicht:</v>
      </c>
      <c r="N2" s="567"/>
      <c r="O2" s="567"/>
      <c r="P2" s="567" t="s">
        <v>4504</v>
      </c>
      <c r="Q2" s="567" t="str">
        <f>Txt_Pat_GebGew</f>
        <v/>
      </c>
      <c r="R2" s="567"/>
      <c r="S2" s="567" t="str">
        <f>Txt_Pat_Bed</f>
        <v/>
      </c>
      <c r="T2" s="567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/>
      </c>
      <c r="E3" s="574"/>
      <c r="F3" s="569"/>
      <c r="G3" s="567"/>
      <c r="H3" s="573" t="s">
        <v>236</v>
      </c>
      <c r="I3" s="567"/>
      <c r="J3" s="569" t="str">
        <f ca="1">Txt_Pat_GeboorteDat</f>
        <v/>
      </c>
      <c r="K3" s="569"/>
      <c r="L3" s="567"/>
      <c r="M3" s="567" t="str">
        <f>Txt_Pat_Lengte</f>
        <v>Lengte:</v>
      </c>
      <c r="N3" s="567"/>
      <c r="O3" s="567"/>
      <c r="P3" s="567" t="s">
        <v>4505</v>
      </c>
      <c r="Q3" s="567" t="str">
        <f>Txt_Pat_GestAge</f>
        <v/>
      </c>
      <c r="R3" s="567"/>
      <c r="S3" s="567"/>
      <c r="T3" s="567"/>
      <c r="U3" s="298"/>
      <c r="V3" s="298"/>
      <c r="W3" s="298"/>
      <c r="X3" s="298"/>
    </row>
    <row r="4" spans="1:81" s="425" customFormat="1" ht="17.25" customHeight="1" x14ac:dyDescent="0.2">
      <c r="A4" s="298"/>
      <c r="B4" s="567"/>
      <c r="C4" s="569" t="s">
        <v>3457</v>
      </c>
      <c r="D4" s="569" t="str">
        <f>Txt_Pat_PatNo</f>
        <v/>
      </c>
      <c r="E4" s="571"/>
      <c r="F4" s="569"/>
      <c r="G4" s="567"/>
      <c r="H4" s="577" t="s">
        <v>208</v>
      </c>
      <c r="I4" s="569"/>
      <c r="J4" s="569" t="str">
        <f ca="1">Txt_Pat_Leeftijd</f>
        <v/>
      </c>
      <c r="K4" s="569"/>
      <c r="L4" s="567"/>
      <c r="M4" s="567"/>
      <c r="N4" s="567"/>
      <c r="O4" s="567"/>
      <c r="P4" s="567"/>
      <c r="Q4" s="567"/>
      <c r="R4" s="567"/>
      <c r="S4" s="567"/>
      <c r="T4" s="567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x14ac:dyDescent="0.2">
      <c r="B5" s="471"/>
    </row>
    <row r="6" spans="1:81" ht="20.100000000000001" customHeight="1" x14ac:dyDescent="0.2">
      <c r="A6" s="340"/>
      <c r="B6" s="622" t="s">
        <v>107</v>
      </c>
      <c r="C6" s="623"/>
      <c r="D6" s="623" t="s">
        <v>555</v>
      </c>
      <c r="E6" s="623"/>
      <c r="F6" s="623"/>
      <c r="G6" s="622"/>
      <c r="H6" s="624"/>
      <c r="I6" s="622"/>
      <c r="J6" s="622"/>
      <c r="K6" s="622"/>
      <c r="L6" s="622"/>
      <c r="M6" s="622"/>
      <c r="N6" s="622"/>
      <c r="O6" s="622"/>
      <c r="P6" s="622"/>
      <c r="Q6" s="622"/>
      <c r="R6" s="622"/>
      <c r="S6" s="622"/>
      <c r="T6" s="622"/>
    </row>
    <row r="7" spans="1:81" x14ac:dyDescent="0.2">
      <c r="B7" s="471"/>
    </row>
    <row r="8" spans="1:81" ht="20.100000000000001" customHeight="1" x14ac:dyDescent="0.2">
      <c r="B8" s="604" t="s">
        <v>553</v>
      </c>
      <c r="C8" s="604"/>
      <c r="D8" s="604" t="s">
        <v>556</v>
      </c>
      <c r="E8" s="604"/>
      <c r="F8" s="604" t="s">
        <v>557</v>
      </c>
      <c r="G8" s="604"/>
      <c r="H8" s="604" t="s">
        <v>558</v>
      </c>
      <c r="I8" s="604"/>
      <c r="J8" s="604" t="s">
        <v>108</v>
      </c>
      <c r="K8" s="604"/>
      <c r="L8" s="604" t="s">
        <v>559</v>
      </c>
      <c r="M8" s="604"/>
      <c r="N8" s="604"/>
      <c r="O8" s="604" t="s">
        <v>849</v>
      </c>
      <c r="P8" s="604" t="s">
        <v>563</v>
      </c>
      <c r="Q8" s="604" t="s">
        <v>848</v>
      </c>
      <c r="R8" s="604" t="s">
        <v>563</v>
      </c>
      <c r="S8" s="604" t="s">
        <v>850</v>
      </c>
      <c r="T8" s="604" t="s">
        <v>563</v>
      </c>
    </row>
    <row r="9" spans="1:81" ht="26.25" customHeight="1" x14ac:dyDescent="0.2"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  <c r="M9" s="353"/>
      <c r="N9" s="341"/>
      <c r="O9" s="353"/>
      <c r="P9" s="353"/>
      <c r="Q9" s="353"/>
      <c r="R9" s="353"/>
      <c r="S9" s="353"/>
      <c r="T9" s="353"/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53"/>
      <c r="K10" s="353"/>
      <c r="L10" s="353"/>
      <c r="M10" s="353"/>
      <c r="N10" s="341"/>
      <c r="O10" s="353"/>
      <c r="P10" s="353"/>
      <c r="Q10" s="353"/>
      <c r="R10" s="353"/>
      <c r="S10" s="353"/>
      <c r="T10" s="353"/>
    </row>
    <row r="11" spans="1:81" ht="26.25" customHeight="1" x14ac:dyDescent="0.2">
      <c r="A11" s="340"/>
      <c r="B11" s="353"/>
      <c r="C11" s="353"/>
      <c r="D11" s="353"/>
      <c r="E11" s="353"/>
      <c r="F11" s="353"/>
      <c r="G11" s="353"/>
      <c r="H11" s="353"/>
      <c r="I11" s="353"/>
      <c r="J11" s="353"/>
      <c r="K11" s="353"/>
      <c r="L11" s="353"/>
      <c r="M11" s="353"/>
      <c r="N11" s="341"/>
      <c r="O11" s="353"/>
      <c r="P11" s="353"/>
      <c r="Q11" s="353"/>
      <c r="R11" s="353"/>
      <c r="S11" s="353"/>
      <c r="T11" s="353"/>
    </row>
    <row r="12" spans="1:81" ht="26.25" customHeight="1" x14ac:dyDescent="0.2">
      <c r="B12" s="353"/>
      <c r="C12" s="353"/>
      <c r="D12" s="353"/>
      <c r="E12" s="353"/>
      <c r="F12" s="353"/>
      <c r="G12" s="353"/>
      <c r="H12" s="353"/>
      <c r="I12" s="353"/>
      <c r="J12" s="353"/>
      <c r="K12" s="353"/>
      <c r="L12" s="353"/>
      <c r="M12" s="353"/>
      <c r="N12" s="341"/>
      <c r="O12" s="353"/>
      <c r="P12" s="353"/>
      <c r="Q12" s="353"/>
      <c r="R12" s="353"/>
      <c r="S12" s="353"/>
      <c r="T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53"/>
      <c r="K13" s="353"/>
      <c r="L13" s="353"/>
      <c r="M13" s="353"/>
      <c r="N13" s="341"/>
      <c r="O13" s="353"/>
      <c r="P13" s="353"/>
      <c r="Q13" s="353"/>
      <c r="R13" s="353"/>
      <c r="S13" s="353"/>
      <c r="T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53"/>
      <c r="K14" s="353"/>
      <c r="L14" s="353"/>
      <c r="M14" s="353"/>
      <c r="N14" s="341"/>
      <c r="O14" s="353"/>
      <c r="P14" s="353"/>
      <c r="Q14" s="353"/>
      <c r="R14" s="353"/>
      <c r="S14" s="353"/>
      <c r="T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53"/>
      <c r="K15" s="353"/>
      <c r="L15" s="353"/>
      <c r="M15" s="353"/>
      <c r="N15" s="341"/>
      <c r="O15" s="353"/>
      <c r="P15" s="353"/>
      <c r="Q15" s="353"/>
      <c r="R15" s="353"/>
      <c r="S15" s="353"/>
      <c r="T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53"/>
      <c r="K16" s="353"/>
      <c r="L16" s="353"/>
      <c r="M16" s="353"/>
      <c r="N16" s="341"/>
      <c r="O16" s="353"/>
      <c r="P16" s="353"/>
      <c r="Q16" s="353"/>
      <c r="R16" s="353"/>
      <c r="S16" s="353"/>
      <c r="T16" s="353"/>
    </row>
    <row r="17" spans="2:20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53"/>
      <c r="K17" s="353"/>
      <c r="L17" s="353"/>
      <c r="M17" s="353"/>
      <c r="N17" s="341"/>
      <c r="O17" s="353"/>
      <c r="P17" s="353"/>
      <c r="Q17" s="353"/>
      <c r="R17" s="353"/>
      <c r="S17" s="353"/>
      <c r="T17" s="353"/>
    </row>
    <row r="18" spans="2:20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53"/>
      <c r="K18" s="353"/>
      <c r="L18" s="353"/>
      <c r="M18" s="353"/>
      <c r="N18" s="341"/>
      <c r="O18" s="353"/>
      <c r="P18" s="353"/>
      <c r="Q18" s="353"/>
      <c r="R18" s="353"/>
      <c r="S18" s="353"/>
      <c r="T18" s="353"/>
    </row>
    <row r="19" spans="2:20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53"/>
      <c r="K19" s="353"/>
      <c r="L19" s="353"/>
      <c r="M19" s="353"/>
      <c r="N19" s="341"/>
      <c r="O19" s="353"/>
      <c r="P19" s="353"/>
      <c r="Q19" s="353"/>
      <c r="R19" s="353"/>
      <c r="S19" s="353"/>
      <c r="T19" s="353"/>
    </row>
    <row r="20" spans="2:20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53"/>
      <c r="K20" s="353"/>
      <c r="L20" s="353"/>
      <c r="M20" s="353"/>
      <c r="N20" s="341"/>
      <c r="O20" s="353"/>
      <c r="P20" s="353"/>
      <c r="Q20" s="353"/>
      <c r="R20" s="353"/>
      <c r="S20" s="353"/>
      <c r="T20" s="353"/>
    </row>
    <row r="21" spans="2:20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53"/>
      <c r="K21" s="353"/>
      <c r="L21" s="353"/>
      <c r="M21" s="353"/>
      <c r="N21" s="341"/>
      <c r="O21" s="353"/>
      <c r="P21" s="353"/>
      <c r="Q21" s="353"/>
      <c r="R21" s="353"/>
      <c r="S21" s="353"/>
      <c r="T21" s="353"/>
    </row>
    <row r="22" spans="2:20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53"/>
      <c r="K22" s="353"/>
      <c r="L22" s="353"/>
      <c r="M22" s="353"/>
      <c r="N22" s="341"/>
      <c r="O22" s="353"/>
      <c r="P22" s="353"/>
      <c r="Q22" s="353"/>
      <c r="R22" s="353"/>
      <c r="S22" s="353"/>
      <c r="T22" s="353"/>
    </row>
    <row r="23" spans="2:20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53"/>
      <c r="K23" s="353"/>
      <c r="L23" s="353"/>
      <c r="M23" s="353"/>
      <c r="N23" s="341"/>
      <c r="O23" s="353"/>
      <c r="P23" s="353"/>
      <c r="Q23" s="353"/>
      <c r="R23" s="353"/>
      <c r="S23" s="353"/>
      <c r="T23" s="353"/>
    </row>
    <row r="24" spans="2:20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53"/>
      <c r="K24" s="353"/>
      <c r="L24" s="353"/>
      <c r="M24" s="353"/>
      <c r="N24" s="341"/>
      <c r="O24" s="353"/>
      <c r="P24" s="353"/>
      <c r="Q24" s="353"/>
      <c r="R24" s="353"/>
      <c r="S24" s="353"/>
      <c r="T24" s="353"/>
    </row>
    <row r="25" spans="2:20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53"/>
      <c r="K25" s="353"/>
      <c r="L25" s="353"/>
      <c r="M25" s="353"/>
      <c r="N25" s="341"/>
      <c r="O25" s="353"/>
      <c r="P25" s="353"/>
      <c r="Q25" s="353"/>
      <c r="R25" s="353"/>
      <c r="S25" s="353"/>
      <c r="T25" s="353"/>
    </row>
    <row r="26" spans="2:20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53"/>
      <c r="K26" s="353"/>
      <c r="L26" s="353"/>
      <c r="M26" s="353"/>
      <c r="N26" s="341"/>
      <c r="O26" s="353"/>
      <c r="P26" s="353"/>
      <c r="Q26" s="353"/>
      <c r="R26" s="353"/>
      <c r="S26" s="353"/>
      <c r="T26" s="353"/>
    </row>
    <row r="27" spans="2:20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53"/>
      <c r="K27" s="353"/>
      <c r="L27" s="353"/>
      <c r="M27" s="353"/>
      <c r="N27" s="341"/>
      <c r="O27" s="353"/>
      <c r="P27" s="353"/>
      <c r="Q27" s="353"/>
      <c r="R27" s="353"/>
      <c r="S27" s="353"/>
      <c r="T27" s="353"/>
    </row>
    <row r="28" spans="2:20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53"/>
      <c r="K28" s="353"/>
      <c r="L28" s="353"/>
      <c r="M28" s="353"/>
      <c r="N28" s="341"/>
      <c r="O28" s="353"/>
      <c r="P28" s="353"/>
      <c r="Q28" s="353"/>
      <c r="R28" s="353"/>
      <c r="S28" s="353"/>
      <c r="T28" s="353"/>
    </row>
    <row r="29" spans="2:20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53"/>
      <c r="K29" s="353"/>
      <c r="L29" s="353"/>
      <c r="M29" s="353"/>
      <c r="N29" s="341"/>
      <c r="O29" s="353"/>
      <c r="P29" s="353"/>
      <c r="Q29" s="353"/>
      <c r="R29" s="353"/>
      <c r="S29" s="353"/>
      <c r="T29" s="353"/>
    </row>
    <row r="30" spans="2:20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53"/>
      <c r="K30" s="353"/>
      <c r="L30" s="353"/>
      <c r="M30" s="353"/>
      <c r="N30" s="341"/>
      <c r="O30" s="353"/>
      <c r="P30" s="353"/>
      <c r="Q30" s="353"/>
      <c r="R30" s="353"/>
      <c r="S30" s="353"/>
      <c r="T30" s="353"/>
    </row>
    <row r="31" spans="2:20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53"/>
      <c r="K31" s="353"/>
      <c r="L31" s="353"/>
      <c r="M31" s="353"/>
      <c r="N31" s="341"/>
      <c r="O31" s="353"/>
      <c r="P31" s="353"/>
      <c r="Q31" s="353"/>
      <c r="R31" s="353"/>
      <c r="S31" s="353"/>
      <c r="T31" s="353"/>
    </row>
    <row r="32" spans="2:20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53"/>
      <c r="K32" s="353"/>
      <c r="L32" s="353"/>
      <c r="M32" s="353"/>
      <c r="N32" s="341"/>
      <c r="O32" s="353"/>
      <c r="P32" s="353"/>
      <c r="Q32" s="353"/>
      <c r="R32" s="353"/>
      <c r="S32" s="353"/>
      <c r="T32" s="353"/>
    </row>
    <row r="33" spans="2:20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53"/>
      <c r="K33" s="353"/>
      <c r="L33" s="353"/>
      <c r="M33" s="353"/>
      <c r="N33" s="341"/>
      <c r="O33" s="353"/>
      <c r="P33" s="353"/>
      <c r="Q33" s="353"/>
      <c r="R33" s="353"/>
      <c r="S33" s="353"/>
      <c r="T33" s="353"/>
    </row>
    <row r="34" spans="2:20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53"/>
      <c r="K34" s="353"/>
      <c r="L34" s="353"/>
      <c r="M34" s="353"/>
      <c r="N34" s="341"/>
      <c r="O34" s="353"/>
      <c r="P34" s="353"/>
      <c r="Q34" s="353"/>
      <c r="R34" s="353"/>
      <c r="S34" s="353"/>
      <c r="T34" s="353"/>
    </row>
    <row r="35" spans="2:20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53"/>
      <c r="K35" s="353"/>
      <c r="L35" s="353"/>
      <c r="M35" s="353"/>
      <c r="N35" s="341"/>
      <c r="O35" s="353"/>
      <c r="P35" s="353"/>
      <c r="Q35" s="353"/>
      <c r="R35" s="353"/>
      <c r="S35" s="353"/>
      <c r="T35" s="353"/>
    </row>
    <row r="36" spans="2:20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53"/>
      <c r="K36" s="353"/>
      <c r="L36" s="353"/>
      <c r="M36" s="353"/>
      <c r="N36" s="341"/>
      <c r="O36" s="353"/>
      <c r="P36" s="353"/>
      <c r="Q36" s="353"/>
      <c r="R36" s="353"/>
      <c r="S36" s="353"/>
      <c r="T36" s="353"/>
    </row>
    <row r="37" spans="2:20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53"/>
      <c r="K37" s="353"/>
      <c r="L37" s="353"/>
      <c r="M37" s="353"/>
      <c r="N37" s="341"/>
      <c r="O37" s="353"/>
      <c r="P37" s="353"/>
      <c r="Q37" s="353"/>
      <c r="R37" s="353"/>
      <c r="S37" s="353"/>
      <c r="T37" s="353"/>
    </row>
    <row r="38" spans="2:20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53"/>
      <c r="K38" s="353"/>
      <c r="L38" s="353"/>
      <c r="M38" s="353"/>
      <c r="N38" s="341"/>
      <c r="O38" s="353"/>
      <c r="P38" s="353"/>
      <c r="Q38" s="353"/>
      <c r="R38" s="353"/>
      <c r="S38" s="353"/>
      <c r="T38" s="353"/>
    </row>
    <row r="39" spans="2:20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53"/>
      <c r="K39" s="353"/>
      <c r="L39" s="353"/>
      <c r="M39" s="353"/>
      <c r="N39" s="341"/>
      <c r="O39" s="353"/>
      <c r="P39" s="353"/>
      <c r="Q39" s="353"/>
      <c r="R39" s="353"/>
      <c r="S39" s="353"/>
      <c r="T39" s="353"/>
    </row>
    <row r="40" spans="2:20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53"/>
      <c r="K40" s="353"/>
      <c r="L40" s="353"/>
      <c r="M40" s="353"/>
      <c r="N40" s="341"/>
      <c r="O40" s="353"/>
      <c r="P40" s="353"/>
      <c r="Q40" s="353"/>
      <c r="R40" s="353"/>
      <c r="S40" s="353"/>
      <c r="T40" s="353"/>
    </row>
    <row r="41" spans="2:20" ht="20.100000000000001" customHeight="1" x14ac:dyDescent="0.2">
      <c r="B41" s="604" t="s">
        <v>181</v>
      </c>
      <c r="C41" s="900" t="str">
        <f>IF(_Neo_Lab_Opm=0,"",_Neo_Lab_Opm)</f>
        <v/>
      </c>
      <c r="D41" s="901"/>
      <c r="E41" s="901"/>
      <c r="F41" s="901"/>
      <c r="G41" s="901"/>
      <c r="H41" s="901"/>
      <c r="I41" s="901"/>
      <c r="J41" s="901"/>
      <c r="K41" s="901"/>
      <c r="L41" s="901"/>
      <c r="M41" s="901"/>
      <c r="N41" s="901"/>
      <c r="O41" s="901"/>
      <c r="P41" s="901"/>
      <c r="Q41" s="901"/>
      <c r="R41" s="901"/>
      <c r="S41" s="901"/>
      <c r="T41" s="901"/>
    </row>
  </sheetData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D38"/>
    </sheetView>
  </sheetViews>
  <sheetFormatPr defaultColWidth="9.140625" defaultRowHeight="12.75" x14ac:dyDescent="0.2"/>
  <cols>
    <col min="1" max="16384" width="9.140625" style="54"/>
  </cols>
  <sheetData>
    <row r="1" spans="1:21" x14ac:dyDescent="0.2">
      <c r="A1" s="188"/>
      <c r="D1" s="70"/>
      <c r="F1" s="70"/>
      <c r="H1" s="70"/>
      <c r="J1" s="70"/>
      <c r="L1" s="70"/>
      <c r="N1" s="70"/>
      <c r="P1" s="70"/>
      <c r="R1" s="70"/>
    </row>
    <row r="2" spans="1:21" x14ac:dyDescent="0.2">
      <c r="A2" s="70"/>
      <c r="D2" s="70"/>
      <c r="F2" s="70"/>
      <c r="H2" s="70"/>
      <c r="L2" s="70"/>
    </row>
    <row r="3" spans="1:21" x14ac:dyDescent="0.2">
      <c r="A3" s="70" t="s">
        <v>552</v>
      </c>
      <c r="B3" s="54" t="s">
        <v>553</v>
      </c>
      <c r="D3" s="54" t="s">
        <v>556</v>
      </c>
      <c r="F3" s="54" t="s">
        <v>557</v>
      </c>
      <c r="H3" s="54" t="s">
        <v>558</v>
      </c>
      <c r="J3" s="54" t="s">
        <v>108</v>
      </c>
      <c r="L3" s="70" t="s">
        <v>559</v>
      </c>
      <c r="N3" s="54" t="s">
        <v>560</v>
      </c>
      <c r="P3" s="54" t="s">
        <v>561</v>
      </c>
      <c r="R3" s="54" t="s">
        <v>562</v>
      </c>
    </row>
    <row r="4" spans="1:21" x14ac:dyDescent="0.2">
      <c r="B4" s="54" t="str">
        <f>IF(C4,"A","")</f>
        <v/>
      </c>
      <c r="C4" s="284" t="b">
        <v>0</v>
      </c>
      <c r="D4" s="54" t="str">
        <f>IF(E4,"A","")</f>
        <v/>
      </c>
      <c r="E4" s="284" t="b">
        <v>0</v>
      </c>
      <c r="F4" s="54" t="str">
        <f>IF(G4,"A","")</f>
        <v/>
      </c>
      <c r="G4" s="284" t="b">
        <v>0</v>
      </c>
      <c r="H4" s="54" t="str">
        <f>IF(I4,"A","")</f>
        <v/>
      </c>
      <c r="I4" s="284" t="b">
        <v>0</v>
      </c>
      <c r="J4" s="54" t="str">
        <f>IF(K4,"A","")</f>
        <v/>
      </c>
      <c r="K4" s="284" t="b">
        <v>0</v>
      </c>
      <c r="L4" s="54" t="str">
        <f>IF(M4,"A","")</f>
        <v/>
      </c>
      <c r="M4" s="284" t="b">
        <v>0</v>
      </c>
      <c r="N4" s="54" t="str">
        <f>IF(O4,"A","")</f>
        <v/>
      </c>
      <c r="O4" s="284" t="b">
        <v>0</v>
      </c>
      <c r="P4" s="54" t="str">
        <f>IF(Q4,"A","")</f>
        <v/>
      </c>
      <c r="Q4" s="284" t="b">
        <v>0</v>
      </c>
      <c r="R4" s="54" t="str">
        <f>IF(S4,"A","")</f>
        <v/>
      </c>
      <c r="S4" s="284" t="b">
        <v>0</v>
      </c>
      <c r="U4" s="104"/>
    </row>
    <row r="5" spans="1:21" x14ac:dyDescent="0.2">
      <c r="B5" s="54" t="str">
        <f>IF(C5,"Na K","")</f>
        <v/>
      </c>
      <c r="C5" s="284" t="b">
        <v>0</v>
      </c>
      <c r="D5" s="54" t="str">
        <f>IF(E5,"Na K","")</f>
        <v/>
      </c>
      <c r="E5" s="284" t="b">
        <v>0</v>
      </c>
      <c r="F5" s="54" t="str">
        <f>IF(G5,"Na K","")</f>
        <v/>
      </c>
      <c r="G5" s="284" t="b">
        <v>0</v>
      </c>
      <c r="H5" s="54" t="str">
        <f>IF(I5,"Na K","")</f>
        <v/>
      </c>
      <c r="I5" s="284" t="b">
        <v>0</v>
      </c>
      <c r="J5" s="54" t="str">
        <f>IF(K5,"Na K","")</f>
        <v/>
      </c>
      <c r="K5" s="284" t="b">
        <v>0</v>
      </c>
      <c r="L5" s="54" t="str">
        <f>IF(M5,"Na K","")</f>
        <v/>
      </c>
      <c r="M5" s="284" t="b">
        <v>0</v>
      </c>
      <c r="N5" s="54" t="str">
        <f>IF(O5,"Na K","")</f>
        <v/>
      </c>
      <c r="O5" s="284" t="b">
        <v>0</v>
      </c>
      <c r="P5" s="54" t="str">
        <f>IF(Q5,"Na K","")</f>
        <v/>
      </c>
      <c r="Q5" s="284" t="b">
        <v>0</v>
      </c>
      <c r="R5" s="54" t="str">
        <f>IF(S5,"Na K","")</f>
        <v/>
      </c>
      <c r="S5" s="284" t="b">
        <v>0</v>
      </c>
      <c r="U5" s="104"/>
    </row>
    <row r="6" spans="1:21" x14ac:dyDescent="0.2">
      <c r="A6" s="178"/>
      <c r="B6" s="54" t="str">
        <f>IF(C6,"Cl","")</f>
        <v/>
      </c>
      <c r="C6" s="284" t="b">
        <v>0</v>
      </c>
      <c r="D6" s="54" t="str">
        <f>IF(E6,"Cl","")</f>
        <v/>
      </c>
      <c r="E6" s="284" t="b">
        <v>0</v>
      </c>
      <c r="F6" s="54" t="str">
        <f>IF(G6,"Cl","")</f>
        <v/>
      </c>
      <c r="G6" s="284" t="b">
        <v>0</v>
      </c>
      <c r="H6" s="54" t="str">
        <f>IF(I6,"Cl","")</f>
        <v/>
      </c>
      <c r="I6" s="284" t="b">
        <v>0</v>
      </c>
      <c r="J6" s="54" t="str">
        <f>IF(K6,"Cl","")</f>
        <v/>
      </c>
      <c r="K6" s="284" t="b">
        <v>0</v>
      </c>
      <c r="L6" s="54" t="str">
        <f>IF(M6,"Cl","")</f>
        <v/>
      </c>
      <c r="M6" s="284" t="b">
        <v>0</v>
      </c>
      <c r="N6" s="54" t="str">
        <f>IF(O6,"Cl","")</f>
        <v/>
      </c>
      <c r="O6" s="284" t="b">
        <v>0</v>
      </c>
      <c r="P6" s="54" t="str">
        <f>IF(Q6,"Cl","")</f>
        <v/>
      </c>
      <c r="Q6" s="284" t="b">
        <v>0</v>
      </c>
      <c r="R6" s="54" t="str">
        <f>IF(S6,"Cl","")</f>
        <v/>
      </c>
      <c r="S6" s="284" t="b">
        <v>0</v>
      </c>
      <c r="U6" s="104"/>
    </row>
    <row r="7" spans="1:21" x14ac:dyDescent="0.2">
      <c r="B7" s="54" t="str">
        <f>IF(C7,"Gluc","")</f>
        <v/>
      </c>
      <c r="C7" s="284" t="b">
        <v>0</v>
      </c>
      <c r="D7" s="54" t="str">
        <f>IF(E7,"Gluc","")</f>
        <v/>
      </c>
      <c r="E7" s="284" t="b">
        <v>0</v>
      </c>
      <c r="F7" s="54" t="str">
        <f>IF(G7,"Gluc","")</f>
        <v/>
      </c>
      <c r="G7" s="284" t="b">
        <v>0</v>
      </c>
      <c r="H7" s="54" t="str">
        <f>IF(I7,"Gluc","")</f>
        <v/>
      </c>
      <c r="I7" s="284" t="b">
        <v>0</v>
      </c>
      <c r="J7" s="54" t="str">
        <f>IF(K7,"Gluc","")</f>
        <v/>
      </c>
      <c r="K7" s="284" t="b">
        <v>0</v>
      </c>
      <c r="L7" s="54" t="str">
        <f>IF(M7,"Gluc","")</f>
        <v/>
      </c>
      <c r="M7" s="284" t="b">
        <v>0</v>
      </c>
      <c r="N7" s="54" t="str">
        <f>IF(O7,"Gluc","")</f>
        <v/>
      </c>
      <c r="O7" s="284" t="b">
        <v>0</v>
      </c>
      <c r="P7" s="54" t="str">
        <f>IF(Q7,"Gluc","")</f>
        <v/>
      </c>
      <c r="Q7" s="284" t="b">
        <v>0</v>
      </c>
      <c r="R7" s="54" t="str">
        <f>IF(S7,"Gluc","")</f>
        <v/>
      </c>
      <c r="S7" s="284" t="b">
        <v>0</v>
      </c>
      <c r="U7" s="104"/>
    </row>
    <row r="8" spans="1:21" x14ac:dyDescent="0.2">
      <c r="B8" s="54" t="str">
        <f>IF(C8,"Hb Ht","")</f>
        <v/>
      </c>
      <c r="C8" s="284" t="b">
        <v>0</v>
      </c>
      <c r="D8" s="54" t="str">
        <f>IF(E8,"Hb Ht","")</f>
        <v/>
      </c>
      <c r="E8" s="284" t="b">
        <v>0</v>
      </c>
      <c r="F8" s="54" t="str">
        <f>IF(G8,"Hb Ht","")</f>
        <v/>
      </c>
      <c r="G8" s="284" t="b">
        <v>0</v>
      </c>
      <c r="H8" s="54" t="str">
        <f>IF(I8,"Hb Ht","")</f>
        <v/>
      </c>
      <c r="I8" s="284" t="b">
        <v>0</v>
      </c>
      <c r="J8" s="54" t="str">
        <f>IF(K8,"Hb Ht","")</f>
        <v/>
      </c>
      <c r="K8" s="284" t="b">
        <v>0</v>
      </c>
      <c r="L8" s="54" t="str">
        <f>IF(M8,"Hb Ht","")</f>
        <v/>
      </c>
      <c r="M8" s="284" t="b">
        <v>0</v>
      </c>
      <c r="N8" s="54" t="str">
        <f>IF(O8,"Hb Ht","")</f>
        <v/>
      </c>
      <c r="O8" s="284" t="b">
        <v>0</v>
      </c>
      <c r="P8" s="54" t="str">
        <f>IF(Q8,"Hb Ht","")</f>
        <v/>
      </c>
      <c r="Q8" s="284" t="b">
        <v>0</v>
      </c>
      <c r="R8" s="54" t="str">
        <f>IF(S8,"Hb Ht","")</f>
        <v/>
      </c>
      <c r="S8" s="284" t="b">
        <v>0</v>
      </c>
      <c r="U8" s="104"/>
    </row>
    <row r="9" spans="1:21" x14ac:dyDescent="0.2">
      <c r="B9" s="54" t="str">
        <f>IF(C9,"L","")</f>
        <v/>
      </c>
      <c r="C9" s="284" t="b">
        <v>0</v>
      </c>
      <c r="D9" s="54" t="str">
        <f>IF(E9,"L","")</f>
        <v/>
      </c>
      <c r="E9" s="284" t="b">
        <v>0</v>
      </c>
      <c r="F9" s="54" t="str">
        <f>IF(G9,"L","")</f>
        <v/>
      </c>
      <c r="G9" s="284" t="b">
        <v>0</v>
      </c>
      <c r="H9" s="54" t="str">
        <f>IF(I9,"L","")</f>
        <v/>
      </c>
      <c r="I9" s="284" t="b">
        <v>0</v>
      </c>
      <c r="J9" s="54" t="str">
        <f>IF(K9,"L","")</f>
        <v/>
      </c>
      <c r="K9" s="284" t="b">
        <v>0</v>
      </c>
      <c r="L9" s="54" t="str">
        <f>IF(M9,"L","")</f>
        <v/>
      </c>
      <c r="M9" s="284" t="b">
        <v>0</v>
      </c>
      <c r="N9" s="54" t="str">
        <f>IF(O9,"L","")</f>
        <v/>
      </c>
      <c r="O9" s="284" t="b">
        <v>0</v>
      </c>
      <c r="P9" s="54" t="str">
        <f>IF(Q9,"L","")</f>
        <v/>
      </c>
      <c r="Q9" s="284" t="b">
        <v>0</v>
      </c>
      <c r="R9" s="54" t="str">
        <f>IF(S9,"L","")</f>
        <v/>
      </c>
      <c r="S9" s="284" t="b">
        <v>0</v>
      </c>
      <c r="U9" s="104"/>
    </row>
    <row r="10" spans="1:21" x14ac:dyDescent="0.2">
      <c r="B10" s="54" t="str">
        <f>IF(C10,"L+diff","")</f>
        <v/>
      </c>
      <c r="C10" s="284" t="b">
        <v>0</v>
      </c>
      <c r="D10" s="54" t="str">
        <f>IF(E10,"L+diff","")</f>
        <v/>
      </c>
      <c r="E10" s="284" t="b">
        <v>0</v>
      </c>
      <c r="F10" s="54" t="str">
        <f>IF(G10,"L+diff","")</f>
        <v/>
      </c>
      <c r="G10" s="284" t="b">
        <v>0</v>
      </c>
      <c r="H10" s="54" t="str">
        <f>IF(I10,"L+diff","")</f>
        <v/>
      </c>
      <c r="I10" s="284" t="b">
        <v>0</v>
      </c>
      <c r="J10" s="54" t="str">
        <f>IF(K10,"L+diff","")</f>
        <v/>
      </c>
      <c r="K10" s="284" t="b">
        <v>0</v>
      </c>
      <c r="L10" s="54" t="str">
        <f>IF(M10,"L+diff","")</f>
        <v/>
      </c>
      <c r="M10" s="284" t="b">
        <v>0</v>
      </c>
      <c r="N10" s="54" t="str">
        <f>IF(O10,"L+diff","")</f>
        <v/>
      </c>
      <c r="O10" s="284" t="b">
        <v>0</v>
      </c>
      <c r="P10" s="54" t="str">
        <f>IF(Q10,"L+diff","")</f>
        <v/>
      </c>
      <c r="Q10" s="284" t="b">
        <v>0</v>
      </c>
      <c r="R10" s="54" t="str">
        <f>IF(S10,"L+diff","")</f>
        <v/>
      </c>
      <c r="S10" s="284" t="b">
        <v>0</v>
      </c>
      <c r="U10" s="104"/>
    </row>
    <row r="11" spans="1:21" x14ac:dyDescent="0.2">
      <c r="B11" s="54" t="str">
        <f>IF(C11,"T","")</f>
        <v/>
      </c>
      <c r="C11" s="284" t="b">
        <v>0</v>
      </c>
      <c r="D11" s="54" t="str">
        <f>IF(E11,"T","")</f>
        <v/>
      </c>
      <c r="E11" s="284" t="b">
        <v>0</v>
      </c>
      <c r="F11" s="54" t="str">
        <f>IF(G11,"T","")</f>
        <v/>
      </c>
      <c r="G11" s="284" t="b">
        <v>0</v>
      </c>
      <c r="H11" s="54" t="str">
        <f>IF(I11,"T","")</f>
        <v/>
      </c>
      <c r="I11" s="284" t="b">
        <v>0</v>
      </c>
      <c r="J11" s="54" t="str">
        <f>IF(K11,"T","")</f>
        <v/>
      </c>
      <c r="K11" s="284" t="b">
        <v>0</v>
      </c>
      <c r="L11" s="54" t="str">
        <f>IF(M11,"T","")</f>
        <v/>
      </c>
      <c r="M11" s="284" t="b">
        <v>0</v>
      </c>
      <c r="N11" s="54" t="str">
        <f>IF(O11,"T","")</f>
        <v/>
      </c>
      <c r="O11" s="284" t="b">
        <v>0</v>
      </c>
      <c r="P11" s="54" t="str">
        <f>IF(Q11,"T","")</f>
        <v/>
      </c>
      <c r="Q11" s="284" t="b">
        <v>0</v>
      </c>
      <c r="R11" s="54" t="str">
        <f>IF(S11,"T","")</f>
        <v/>
      </c>
      <c r="S11" s="284" t="b">
        <v>0</v>
      </c>
      <c r="U11" s="104"/>
    </row>
    <row r="12" spans="1:21" x14ac:dyDescent="0.2">
      <c r="B12" s="54" t="str">
        <f>IF(C12,"CRP","")</f>
        <v/>
      </c>
      <c r="C12" s="284" t="b">
        <v>0</v>
      </c>
      <c r="D12" s="54" t="str">
        <f>IF(E12,"CRP","")</f>
        <v/>
      </c>
      <c r="E12" s="284" t="b">
        <v>0</v>
      </c>
      <c r="F12" s="54" t="str">
        <f>IF(G12,"CRP","")</f>
        <v/>
      </c>
      <c r="G12" s="284" t="b">
        <v>0</v>
      </c>
      <c r="H12" s="54" t="str">
        <f>IF(I12,"CRP","")</f>
        <v/>
      </c>
      <c r="I12" s="284" t="b">
        <v>0</v>
      </c>
      <c r="J12" s="54" t="str">
        <f>IF(K12,"CRP","")</f>
        <v/>
      </c>
      <c r="K12" s="284" t="b">
        <v>0</v>
      </c>
      <c r="L12" s="54" t="str">
        <f>IF(M12,"CRP","")</f>
        <v/>
      </c>
      <c r="M12" s="284" t="b">
        <v>0</v>
      </c>
      <c r="N12" s="54" t="str">
        <f>IF(O12,"CRP","")</f>
        <v/>
      </c>
      <c r="O12" s="284" t="b">
        <v>0</v>
      </c>
      <c r="P12" s="54" t="str">
        <f>IF(Q12,"CRP","")</f>
        <v/>
      </c>
      <c r="Q12" s="284" t="b">
        <v>0</v>
      </c>
      <c r="R12" s="54" t="str">
        <f>IF(S12,"CRP","")</f>
        <v/>
      </c>
      <c r="S12" s="284" t="b">
        <v>0</v>
      </c>
      <c r="U12" s="104"/>
    </row>
    <row r="13" spans="1:21" x14ac:dyDescent="0.2">
      <c r="B13" s="54" t="str">
        <f>IF(C13,"Lac","")</f>
        <v/>
      </c>
      <c r="C13" s="284" t="b">
        <v>0</v>
      </c>
      <c r="D13" s="54" t="str">
        <f>IF(E13,"Lac","")</f>
        <v/>
      </c>
      <c r="E13" s="284" t="b">
        <v>0</v>
      </c>
      <c r="F13" s="54" t="str">
        <f>IF(G13,"Lac","")</f>
        <v/>
      </c>
      <c r="G13" s="284" t="b">
        <v>0</v>
      </c>
      <c r="H13" s="54" t="str">
        <f>IF(I13,"Lac","")</f>
        <v/>
      </c>
      <c r="I13" s="284" t="b">
        <v>0</v>
      </c>
      <c r="J13" s="54" t="str">
        <f>IF(K13,"Lac","")</f>
        <v/>
      </c>
      <c r="K13" s="284" t="b">
        <v>0</v>
      </c>
      <c r="L13" s="54" t="str">
        <f>IF(M13,"Lac","")</f>
        <v/>
      </c>
      <c r="M13" s="284" t="b">
        <v>0</v>
      </c>
      <c r="N13" s="54" t="str">
        <f>IF(O13,"Lac","")</f>
        <v/>
      </c>
      <c r="O13" s="284" t="b">
        <v>0</v>
      </c>
      <c r="P13" s="54" t="str">
        <f>IF(Q13,"Lac","")</f>
        <v/>
      </c>
      <c r="Q13" s="284" t="b">
        <v>0</v>
      </c>
      <c r="R13" s="54" t="str">
        <f>IF(S13,"Lac","")</f>
        <v/>
      </c>
      <c r="S13" s="284" t="b">
        <v>0</v>
      </c>
      <c r="U13" s="104"/>
    </row>
    <row r="14" spans="1:21" x14ac:dyDescent="0.2">
      <c r="B14" s="54" t="str">
        <f>IF(C14,"Ur","")</f>
        <v/>
      </c>
      <c r="C14" s="284" t="b">
        <v>0</v>
      </c>
      <c r="D14" s="54" t="str">
        <f>IF(E14,"Ur","")</f>
        <v/>
      </c>
      <c r="E14" s="284" t="b">
        <v>0</v>
      </c>
      <c r="F14" s="54" t="str">
        <f>IF(G14,"Ur","")</f>
        <v/>
      </c>
      <c r="G14" s="284" t="b">
        <v>0</v>
      </c>
      <c r="H14" s="54" t="str">
        <f>IF(I14,"Ur","")</f>
        <v/>
      </c>
      <c r="I14" s="284" t="b">
        <v>0</v>
      </c>
      <c r="J14" s="54" t="str">
        <f>IF(K14,"Ur","")</f>
        <v/>
      </c>
      <c r="K14" s="284" t="b">
        <v>0</v>
      </c>
      <c r="L14" s="54" t="str">
        <f>IF(M14,"Ur","")</f>
        <v/>
      </c>
      <c r="M14" s="284" t="b">
        <v>0</v>
      </c>
      <c r="N14" s="54" t="str">
        <f>IF(O14,"Ur","")</f>
        <v/>
      </c>
      <c r="O14" s="284" t="b">
        <v>0</v>
      </c>
      <c r="P14" s="54" t="str">
        <f>IF(Q14,"Ur","")</f>
        <v/>
      </c>
      <c r="Q14" s="284" t="b">
        <v>0</v>
      </c>
      <c r="R14" s="54" t="str">
        <f>IF(S14,"Ur","")</f>
        <v/>
      </c>
      <c r="S14" s="284" t="b">
        <v>0</v>
      </c>
      <c r="U14" s="104"/>
    </row>
    <row r="15" spans="1:21" x14ac:dyDescent="0.2">
      <c r="B15" s="54" t="str">
        <f>IF(C15,"Kr","")</f>
        <v/>
      </c>
      <c r="C15" s="284" t="b">
        <v>0</v>
      </c>
      <c r="D15" s="54" t="str">
        <f>IF(E15,"Kr++","")</f>
        <v/>
      </c>
      <c r="E15" s="284" t="b">
        <v>0</v>
      </c>
      <c r="F15" s="54" t="str">
        <f>IF(G15,"Kr","")</f>
        <v/>
      </c>
      <c r="G15" s="284" t="b">
        <v>0</v>
      </c>
      <c r="H15" s="54" t="str">
        <f>IF(I15,"Kr","")</f>
        <v/>
      </c>
      <c r="I15" s="284" t="b">
        <v>0</v>
      </c>
      <c r="J15" s="54" t="str">
        <f>IF(K15,"Kr","")</f>
        <v/>
      </c>
      <c r="K15" s="284" t="b">
        <v>0</v>
      </c>
      <c r="L15" s="54" t="str">
        <f>IF(M15,"Kr","")</f>
        <v/>
      </c>
      <c r="M15" s="284" t="b">
        <v>0</v>
      </c>
      <c r="N15" s="54" t="str">
        <f>IF(O15,"Kr","")</f>
        <v/>
      </c>
      <c r="O15" s="284" t="b">
        <v>0</v>
      </c>
      <c r="P15" s="54" t="str">
        <f>IF(Q15,"Kr","")</f>
        <v/>
      </c>
      <c r="Q15" s="284" t="b">
        <v>0</v>
      </c>
      <c r="R15" s="54" t="str">
        <f>IF(S15,"Kr","")</f>
        <v/>
      </c>
      <c r="S15" s="284" t="b">
        <v>0</v>
      </c>
      <c r="U15" s="104"/>
    </row>
    <row r="16" spans="1:21" x14ac:dyDescent="0.2">
      <c r="B16" s="54" t="str">
        <f>IF(C16,"Ca++","")</f>
        <v/>
      </c>
      <c r="C16" s="284" t="b">
        <v>0</v>
      </c>
      <c r="D16" s="54" t="str">
        <f>IF(E16,"Ca++","")</f>
        <v/>
      </c>
      <c r="E16" s="284" t="b">
        <v>0</v>
      </c>
      <c r="F16" s="54" t="str">
        <f>IF(G16,"Ca++","")</f>
        <v/>
      </c>
      <c r="G16" s="284" t="b">
        <v>0</v>
      </c>
      <c r="H16" s="54" t="str">
        <f>IF(I16,"Ca++","")</f>
        <v/>
      </c>
      <c r="I16" s="284" t="b">
        <v>0</v>
      </c>
      <c r="J16" s="54" t="str">
        <f>IF(K16,"Ca++","")</f>
        <v/>
      </c>
      <c r="K16" s="284" t="b">
        <v>0</v>
      </c>
      <c r="L16" s="54" t="str">
        <f>IF(M16,"Ca++","")</f>
        <v/>
      </c>
      <c r="M16" s="284" t="b">
        <v>0</v>
      </c>
      <c r="N16" s="54" t="str">
        <f>IF(O16,"Ca++","")</f>
        <v/>
      </c>
      <c r="O16" s="284" t="b">
        <v>0</v>
      </c>
      <c r="P16" s="54" t="str">
        <f>IF(Q16,"Ca++","")</f>
        <v/>
      </c>
      <c r="Q16" s="284" t="b">
        <v>0</v>
      </c>
      <c r="R16" s="54" t="str">
        <f>IF(S16,"Ca++","")</f>
        <v/>
      </c>
      <c r="S16" s="284" t="b">
        <v>0</v>
      </c>
      <c r="U16" s="104"/>
    </row>
    <row r="17" spans="2:21" x14ac:dyDescent="0.2">
      <c r="B17" s="54" t="str">
        <f>IF(C17,"Mg++","")</f>
        <v/>
      </c>
      <c r="C17" s="284" t="b">
        <v>0</v>
      </c>
      <c r="D17" s="54" t="str">
        <f>IF(E17,"Mg++","")</f>
        <v/>
      </c>
      <c r="E17" s="284" t="b">
        <v>0</v>
      </c>
      <c r="F17" s="54" t="str">
        <f>IF(G17,"Mg++","")</f>
        <v/>
      </c>
      <c r="G17" s="284" t="b">
        <v>0</v>
      </c>
      <c r="H17" s="54" t="str">
        <f>IF(I17,"Mg++","")</f>
        <v/>
      </c>
      <c r="I17" s="284" t="b">
        <v>0</v>
      </c>
      <c r="J17" s="54" t="str">
        <f>IF(K17,"Mg++","")</f>
        <v/>
      </c>
      <c r="K17" s="284" t="b">
        <v>0</v>
      </c>
      <c r="L17" s="54" t="str">
        <f>IF(M17,"Mg++","")</f>
        <v/>
      </c>
      <c r="M17" s="284" t="b">
        <v>0</v>
      </c>
      <c r="N17" s="54" t="str">
        <f>IF(O17,"Mg++","")</f>
        <v/>
      </c>
      <c r="O17" s="284" t="b">
        <v>0</v>
      </c>
      <c r="P17" s="54" t="str">
        <f>IF(Q17,"Mg++","")</f>
        <v/>
      </c>
      <c r="Q17" s="284" t="b">
        <v>0</v>
      </c>
      <c r="R17" s="54" t="str">
        <f>IF(S17,"Mg++","")</f>
        <v/>
      </c>
      <c r="S17" s="284" t="b">
        <v>0</v>
      </c>
      <c r="U17" s="104"/>
    </row>
    <row r="18" spans="2:21" x14ac:dyDescent="0.2">
      <c r="B18" s="54" t="str">
        <f>IF(C18,"Fosfaat","")</f>
        <v/>
      </c>
      <c r="C18" s="284" t="b">
        <v>0</v>
      </c>
      <c r="D18" s="54" t="str">
        <f>IF(E18,"Fosfaat","")</f>
        <v/>
      </c>
      <c r="E18" s="284" t="b">
        <v>0</v>
      </c>
      <c r="F18" s="54" t="str">
        <f>IF(G18,"Fosfaat","")</f>
        <v/>
      </c>
      <c r="G18" s="284" t="b">
        <v>0</v>
      </c>
      <c r="H18" s="54" t="str">
        <f>IF(I18,"Fosfaat","")</f>
        <v/>
      </c>
      <c r="I18" s="284" t="b">
        <v>0</v>
      </c>
      <c r="J18" s="54" t="str">
        <f>IF(K18,"Fosfaat","")</f>
        <v/>
      </c>
      <c r="K18" s="284" t="b">
        <v>0</v>
      </c>
      <c r="L18" s="54" t="str">
        <f>IF(M18,"Fosfaat","")</f>
        <v/>
      </c>
      <c r="M18" s="284" t="b">
        <v>0</v>
      </c>
      <c r="N18" s="54" t="str">
        <f>IF(O18,"Fosfaat","")</f>
        <v/>
      </c>
      <c r="O18" s="284" t="b">
        <v>0</v>
      </c>
      <c r="P18" s="54" t="str">
        <f>IF(Q18,"Fosfaat","")</f>
        <v/>
      </c>
      <c r="Q18" s="284" t="b">
        <v>0</v>
      </c>
      <c r="R18" s="54" t="str">
        <f>IF(S18,"Fosfaat","")</f>
        <v/>
      </c>
      <c r="S18" s="284" t="b">
        <v>0</v>
      </c>
      <c r="U18" s="104"/>
    </row>
    <row r="19" spans="2:21" x14ac:dyDescent="0.2">
      <c r="B19" s="54" t="str">
        <f>IF(C19,"Alb","")</f>
        <v/>
      </c>
      <c r="C19" s="284" t="b">
        <v>0</v>
      </c>
      <c r="D19" s="54" t="str">
        <f>IF(E19,"Alb","")</f>
        <v/>
      </c>
      <c r="E19" s="284" t="b">
        <v>0</v>
      </c>
      <c r="F19" s="54" t="str">
        <f>IF(G19,"Alb","")</f>
        <v/>
      </c>
      <c r="G19" s="284" t="b">
        <v>0</v>
      </c>
      <c r="H19" s="54" t="str">
        <f>IF(I19,"Alb","")</f>
        <v/>
      </c>
      <c r="I19" s="284" t="b">
        <v>0</v>
      </c>
      <c r="J19" s="54" t="str">
        <f>IF(K19,"Alb","")</f>
        <v/>
      </c>
      <c r="K19" s="284" t="b">
        <v>0</v>
      </c>
      <c r="L19" s="54" t="str">
        <f>IF(M19,"Alb","")</f>
        <v/>
      </c>
      <c r="M19" s="284" t="b">
        <v>0</v>
      </c>
      <c r="N19" s="54" t="str">
        <f>IF(O19,"Alb","")</f>
        <v/>
      </c>
      <c r="O19" s="284" t="b">
        <v>0</v>
      </c>
      <c r="P19" s="54" t="str">
        <f>IF(Q19,"Alb","")</f>
        <v/>
      </c>
      <c r="Q19" s="284" t="b">
        <v>0</v>
      </c>
      <c r="R19" s="54" t="str">
        <f>IF(S19,"Alb","")</f>
        <v/>
      </c>
      <c r="S19" s="284" t="b">
        <v>0</v>
      </c>
      <c r="U19" s="104"/>
    </row>
    <row r="20" spans="2:21" x14ac:dyDescent="0.2">
      <c r="B20" s="54" t="str">
        <f>IF(C20,"Ca","")</f>
        <v/>
      </c>
      <c r="C20" s="284" t="b">
        <v>0</v>
      </c>
      <c r="D20" s="54" t="str">
        <f>IF(E20,"Ca","")</f>
        <v/>
      </c>
      <c r="E20" s="284" t="b">
        <v>0</v>
      </c>
      <c r="F20" s="54" t="str">
        <f>IF(G20,"Ca","")</f>
        <v/>
      </c>
      <c r="G20" s="284" t="b">
        <v>0</v>
      </c>
      <c r="H20" s="54" t="str">
        <f>IF(I20,"Ca","")</f>
        <v/>
      </c>
      <c r="I20" s="284" t="b">
        <v>0</v>
      </c>
      <c r="J20" s="54" t="str">
        <f>IF(K20,"Ca","")</f>
        <v/>
      </c>
      <c r="K20" s="284" t="b">
        <v>0</v>
      </c>
      <c r="L20" s="54" t="str">
        <f>IF(M20,"Ca","")</f>
        <v/>
      </c>
      <c r="M20" s="284" t="b">
        <v>0</v>
      </c>
      <c r="N20" s="54" t="str">
        <f>IF(O20,"Ca","")</f>
        <v/>
      </c>
      <c r="O20" s="284" t="b">
        <v>0</v>
      </c>
      <c r="P20" s="54" t="str">
        <f>IF(Q20,"Ca","")</f>
        <v/>
      </c>
      <c r="Q20" s="284" t="b">
        <v>0</v>
      </c>
      <c r="R20" s="54" t="str">
        <f>IF(S20,"Ca","")</f>
        <v/>
      </c>
      <c r="S20" s="284" t="b">
        <v>0</v>
      </c>
      <c r="U20" s="104"/>
    </row>
    <row r="21" spans="2:21" x14ac:dyDescent="0.2">
      <c r="B21" s="54" t="str">
        <f>IF(C21,"ASAT","")</f>
        <v/>
      </c>
      <c r="C21" s="284" t="b">
        <v>0</v>
      </c>
      <c r="D21" s="54" t="str">
        <f>IF(E21,"ASAT","")</f>
        <v/>
      </c>
      <c r="E21" s="284" t="b">
        <v>0</v>
      </c>
      <c r="F21" s="54" t="str">
        <f>IF(G21,"ASAT","")</f>
        <v/>
      </c>
      <c r="G21" s="284" t="b">
        <v>0</v>
      </c>
      <c r="H21" s="54" t="str">
        <f>IF(I21,"ASAT","")</f>
        <v/>
      </c>
      <c r="I21" s="284" t="b">
        <v>0</v>
      </c>
      <c r="J21" s="54" t="str">
        <f>IF(K21,"ASAT","")</f>
        <v/>
      </c>
      <c r="K21" s="284" t="b">
        <v>0</v>
      </c>
      <c r="L21" s="54" t="str">
        <f>IF(M21,"ASAT","")</f>
        <v/>
      </c>
      <c r="M21" s="284" t="b">
        <v>0</v>
      </c>
      <c r="N21" s="54" t="str">
        <f>IF(O21,"ASAT","")</f>
        <v/>
      </c>
      <c r="O21" s="284" t="b">
        <v>0</v>
      </c>
      <c r="P21" s="54" t="str">
        <f>IF(Q21,"ASAT","")</f>
        <v/>
      </c>
      <c r="Q21" s="284" t="b">
        <v>0</v>
      </c>
      <c r="R21" s="54" t="str">
        <f>IF(S21,"ASAT","")</f>
        <v/>
      </c>
      <c r="S21" s="284" t="b">
        <v>0</v>
      </c>
      <c r="U21" s="104"/>
    </row>
    <row r="22" spans="2:21" x14ac:dyDescent="0.2">
      <c r="B22" s="54" t="str">
        <f>IF(C22,"ALAT","")</f>
        <v/>
      </c>
      <c r="C22" s="284" t="b">
        <v>0</v>
      </c>
      <c r="D22" s="54" t="str">
        <f>IF(E22,"ALAT","")</f>
        <v/>
      </c>
      <c r="E22" s="284" t="b">
        <v>0</v>
      </c>
      <c r="F22" s="54" t="str">
        <f>IF(G22,"ALAT","")</f>
        <v/>
      </c>
      <c r="G22" s="284" t="b">
        <v>0</v>
      </c>
      <c r="H22" s="54" t="str">
        <f>IF(I22,"ALAT","")</f>
        <v/>
      </c>
      <c r="I22" s="284" t="b">
        <v>0</v>
      </c>
      <c r="J22" s="54" t="str">
        <f>IF(K22,"ALAT","")</f>
        <v/>
      </c>
      <c r="K22" s="284" t="b">
        <v>0</v>
      </c>
      <c r="L22" s="54" t="str">
        <f>IF(M22,"ALAT","")</f>
        <v/>
      </c>
      <c r="M22" s="284" t="b">
        <v>0</v>
      </c>
      <c r="N22" s="54" t="str">
        <f>IF(O22,"ALAT","")</f>
        <v/>
      </c>
      <c r="O22" s="284" t="b">
        <v>0</v>
      </c>
      <c r="P22" s="54" t="str">
        <f>IF(Q22,"ALAT","")</f>
        <v/>
      </c>
      <c r="Q22" s="284" t="b">
        <v>0</v>
      </c>
      <c r="R22" s="54" t="str">
        <f>IF(S22,"ALAT","")</f>
        <v/>
      </c>
      <c r="S22" s="284" t="b">
        <v>0</v>
      </c>
      <c r="U22" s="104"/>
    </row>
    <row r="23" spans="2:21" x14ac:dyDescent="0.2">
      <c r="B23" s="54" t="str">
        <f>IF(C23,"GGT","")</f>
        <v/>
      </c>
      <c r="C23" s="284" t="b">
        <v>0</v>
      </c>
      <c r="D23" s="54" t="str">
        <f>IF(E23,"GGT","")</f>
        <v/>
      </c>
      <c r="E23" s="284" t="b">
        <v>0</v>
      </c>
      <c r="F23" s="54" t="str">
        <f>IF(G23,"GGT","")</f>
        <v/>
      </c>
      <c r="G23" s="284" t="b">
        <v>0</v>
      </c>
      <c r="H23" s="54" t="str">
        <f>IF(I23,"GGT","")</f>
        <v/>
      </c>
      <c r="I23" s="284" t="b">
        <v>0</v>
      </c>
      <c r="J23" s="54" t="str">
        <f>IF(K23,"GGT","")</f>
        <v/>
      </c>
      <c r="K23" s="284" t="b">
        <v>0</v>
      </c>
      <c r="L23" s="54" t="str">
        <f>IF(M23,"GGT","")</f>
        <v/>
      </c>
      <c r="M23" s="284" t="b">
        <v>0</v>
      </c>
      <c r="N23" s="54" t="str">
        <f>IF(O23,"GGT","")</f>
        <v/>
      </c>
      <c r="O23" s="284" t="b">
        <v>0</v>
      </c>
      <c r="P23" s="54" t="str">
        <f>IF(Q23,"GGT","")</f>
        <v/>
      </c>
      <c r="Q23" s="284" t="b">
        <v>0</v>
      </c>
      <c r="R23" s="54" t="str">
        <f>IF(S23,"GGT","")</f>
        <v/>
      </c>
      <c r="S23" s="284" t="b">
        <v>0</v>
      </c>
      <c r="U23" s="104"/>
    </row>
    <row r="24" spans="2:21" x14ac:dyDescent="0.2">
      <c r="B24" s="54" t="str">
        <f>IF(C24,"AF","")</f>
        <v/>
      </c>
      <c r="C24" s="284" t="b">
        <v>0</v>
      </c>
      <c r="D24" s="54" t="str">
        <f>IF(E24,"AF","")</f>
        <v/>
      </c>
      <c r="E24" s="284" t="b">
        <v>0</v>
      </c>
      <c r="F24" s="54" t="str">
        <f>IF(G24,"AF","")</f>
        <v/>
      </c>
      <c r="G24" s="284" t="b">
        <v>0</v>
      </c>
      <c r="H24" s="54" t="str">
        <f>IF(I24,"AF","")</f>
        <v/>
      </c>
      <c r="I24" s="284" t="b">
        <v>0</v>
      </c>
      <c r="J24" s="54" t="str">
        <f>IF(K24,"AF","")</f>
        <v/>
      </c>
      <c r="K24" s="284" t="b">
        <v>0</v>
      </c>
      <c r="L24" s="54" t="str">
        <f>IF(M24,"AF","")</f>
        <v/>
      </c>
      <c r="M24" s="284" t="b">
        <v>0</v>
      </c>
      <c r="N24" s="54" t="str">
        <f>IF(O24,"AF","")</f>
        <v/>
      </c>
      <c r="O24" s="284" t="b">
        <v>0</v>
      </c>
      <c r="P24" s="54" t="str">
        <f>IF(Q24,"AF","")</f>
        <v/>
      </c>
      <c r="Q24" s="284" t="b">
        <v>0</v>
      </c>
      <c r="R24" s="54" t="str">
        <f>IF(S24,"AF","")</f>
        <v/>
      </c>
      <c r="S24" s="284" t="b">
        <v>0</v>
      </c>
      <c r="U24" s="104"/>
    </row>
    <row r="25" spans="2:21" x14ac:dyDescent="0.2">
      <c r="B25" s="54" t="str">
        <f>IF(C25,"LDH","")</f>
        <v/>
      </c>
      <c r="C25" s="284" t="b">
        <v>0</v>
      </c>
      <c r="D25" s="54" t="str">
        <f>IF(E25,"LDH","")</f>
        <v/>
      </c>
      <c r="E25" s="284" t="b">
        <v>0</v>
      </c>
      <c r="F25" s="54" t="str">
        <f>IF(G25,"LDH","")</f>
        <v/>
      </c>
      <c r="G25" s="284" t="b">
        <v>0</v>
      </c>
      <c r="H25" s="54" t="str">
        <f>IF(I25,"LDH","")</f>
        <v/>
      </c>
      <c r="I25" s="284" t="b">
        <v>0</v>
      </c>
      <c r="J25" s="54" t="str">
        <f>IF(K25,"LDH","")</f>
        <v/>
      </c>
      <c r="K25" s="284" t="b">
        <v>0</v>
      </c>
      <c r="L25" s="54" t="str">
        <f>IF(M25,"LDH","")</f>
        <v/>
      </c>
      <c r="M25" s="284" t="b">
        <v>0</v>
      </c>
      <c r="N25" s="54" t="str">
        <f>IF(O25,"LDH","")</f>
        <v/>
      </c>
      <c r="O25" s="284" t="b">
        <v>0</v>
      </c>
      <c r="P25" s="54" t="str">
        <f>IF(Q25,"LDH","")</f>
        <v/>
      </c>
      <c r="Q25" s="284" t="b">
        <v>0</v>
      </c>
      <c r="R25" s="54" t="str">
        <f>IF(S25,"LDH","")</f>
        <v/>
      </c>
      <c r="S25" s="284" t="b">
        <v>0</v>
      </c>
      <c r="U25" s="104"/>
    </row>
    <row r="26" spans="2:21" x14ac:dyDescent="0.2">
      <c r="B26" s="54" t="str">
        <f>IF(C26,"Bili","")</f>
        <v/>
      </c>
      <c r="C26" s="284" t="b">
        <v>0</v>
      </c>
      <c r="D26" s="54" t="str">
        <f>IF(E26,"Bili","")</f>
        <v/>
      </c>
      <c r="E26" s="284" t="b">
        <v>0</v>
      </c>
      <c r="F26" s="54" t="str">
        <f>IF(G26,"Bili","")</f>
        <v/>
      </c>
      <c r="G26" s="284" t="b">
        <v>0</v>
      </c>
      <c r="H26" s="54" t="str">
        <f>IF(I26,"Bili","")</f>
        <v/>
      </c>
      <c r="I26" s="284" t="b">
        <v>0</v>
      </c>
      <c r="J26" s="54" t="str">
        <f>IF(K26,"Bili","")</f>
        <v/>
      </c>
      <c r="K26" s="284" t="b">
        <v>0</v>
      </c>
      <c r="L26" s="54" t="str">
        <f>IF(M26,"Bili","")</f>
        <v/>
      </c>
      <c r="M26" s="284" t="b">
        <v>0</v>
      </c>
      <c r="N26" s="54" t="str">
        <f>IF(O26,"Bili","")</f>
        <v/>
      </c>
      <c r="O26" s="284" t="b">
        <v>0</v>
      </c>
      <c r="P26" s="54" t="str">
        <f>IF(Q26,"Bili","")</f>
        <v/>
      </c>
      <c r="Q26" s="284" t="b">
        <v>0</v>
      </c>
      <c r="R26" s="54" t="str">
        <f>IF(S26,"Bili","")</f>
        <v/>
      </c>
      <c r="S26" s="284" t="b">
        <v>0</v>
      </c>
      <c r="U26" s="104"/>
    </row>
    <row r="27" spans="2:21" x14ac:dyDescent="0.2">
      <c r="B27" s="54" t="str">
        <f>IF(C27,"TG","")</f>
        <v/>
      </c>
      <c r="C27" s="284" t="b">
        <v>0</v>
      </c>
      <c r="D27" s="54" t="str">
        <f>IF(E27,"TG","")</f>
        <v/>
      </c>
      <c r="E27" s="284" t="b">
        <v>0</v>
      </c>
      <c r="F27" s="54" t="str">
        <f>IF(G27,"TG","")</f>
        <v/>
      </c>
      <c r="G27" s="284" t="b">
        <v>0</v>
      </c>
      <c r="H27" s="54" t="str">
        <f>IF(I27,"TG","")</f>
        <v/>
      </c>
      <c r="I27" s="284" t="b">
        <v>0</v>
      </c>
      <c r="J27" s="54" t="str">
        <f>IF(K27,"TG","")</f>
        <v/>
      </c>
      <c r="K27" s="284" t="b">
        <v>0</v>
      </c>
      <c r="L27" s="54" t="str">
        <f>IF(M27,"TG","")</f>
        <v/>
      </c>
      <c r="M27" s="284" t="b">
        <v>0</v>
      </c>
      <c r="N27" s="54" t="str">
        <f>IF(O27,"TG","")</f>
        <v/>
      </c>
      <c r="O27" s="284" t="b">
        <v>0</v>
      </c>
      <c r="P27" s="54" t="str">
        <f>IF(Q27,"TG","")</f>
        <v/>
      </c>
      <c r="Q27" s="284" t="b">
        <v>0</v>
      </c>
      <c r="R27" s="54" t="str">
        <f>IF(S27,"TG","")</f>
        <v/>
      </c>
      <c r="S27" s="284" t="b">
        <v>0</v>
      </c>
      <c r="U27" s="104"/>
    </row>
    <row r="28" spans="2:21" x14ac:dyDescent="0.2">
      <c r="B28" s="54" t="str">
        <f>IF(C28,"PT","")</f>
        <v/>
      </c>
      <c r="C28" s="284" t="b">
        <v>0</v>
      </c>
      <c r="D28" s="54" t="str">
        <f>IF(E28,"PT","")</f>
        <v/>
      </c>
      <c r="E28" s="284" t="b">
        <v>0</v>
      </c>
      <c r="F28" s="54" t="str">
        <f>IF(G28,"PT","")</f>
        <v/>
      </c>
      <c r="G28" s="284" t="b">
        <v>0</v>
      </c>
      <c r="H28" s="54" t="str">
        <f>IF(I28,"PT","")</f>
        <v/>
      </c>
      <c r="I28" s="284" t="b">
        <v>0</v>
      </c>
      <c r="J28" s="54" t="str">
        <f>IF(K28,"PT","")</f>
        <v/>
      </c>
      <c r="K28" s="284" t="b">
        <v>0</v>
      </c>
      <c r="L28" s="54" t="str">
        <f>IF(M28,"PT","")</f>
        <v/>
      </c>
      <c r="M28" s="284" t="b">
        <v>0</v>
      </c>
      <c r="N28" s="54" t="str">
        <f>IF(O28,"PT","")</f>
        <v/>
      </c>
      <c r="O28" s="284" t="b">
        <v>0</v>
      </c>
      <c r="P28" s="54" t="str">
        <f>IF(Q28,"PT","")</f>
        <v/>
      </c>
      <c r="Q28" s="284" t="b">
        <v>0</v>
      </c>
      <c r="R28" s="54" t="str">
        <f>IF(S28,"PT","")</f>
        <v/>
      </c>
      <c r="S28" s="284" t="b">
        <v>0</v>
      </c>
      <c r="U28" s="104"/>
    </row>
    <row r="29" spans="2:21" x14ac:dyDescent="0.2">
      <c r="B29" s="54" t="str">
        <f>IF(C29,"APPT","")</f>
        <v/>
      </c>
      <c r="C29" s="284" t="b">
        <v>0</v>
      </c>
      <c r="D29" s="54" t="str">
        <f>IF(E29,"APPT","")</f>
        <v/>
      </c>
      <c r="E29" s="284" t="b">
        <v>0</v>
      </c>
      <c r="F29" s="54" t="str">
        <f>IF(G29,"APPT","")</f>
        <v/>
      </c>
      <c r="G29" s="284" t="b">
        <v>0</v>
      </c>
      <c r="H29" s="54" t="str">
        <f>IF(I29,"APPT","")</f>
        <v/>
      </c>
      <c r="I29" s="284" t="b">
        <v>0</v>
      </c>
      <c r="J29" s="54" t="str">
        <f>IF(K29,"APPT","")</f>
        <v/>
      </c>
      <c r="K29" s="284" t="b">
        <v>0</v>
      </c>
      <c r="L29" s="54" t="str">
        <f>IF(M29,"APPT","")</f>
        <v/>
      </c>
      <c r="M29" s="284" t="b">
        <v>0</v>
      </c>
      <c r="N29" s="54" t="str">
        <f>IF(O29,"APPT","")</f>
        <v/>
      </c>
      <c r="O29" s="284" t="b">
        <v>0</v>
      </c>
      <c r="P29" s="54" t="str">
        <f>IF(Q29,"APPT","")</f>
        <v/>
      </c>
      <c r="Q29" s="284" t="b">
        <v>0</v>
      </c>
      <c r="R29" s="54" t="str">
        <f>IF(S29,"APPT","")</f>
        <v/>
      </c>
      <c r="S29" s="284" t="b">
        <v>0</v>
      </c>
      <c r="U29" s="104"/>
    </row>
    <row r="30" spans="2:21" x14ac:dyDescent="0.2">
      <c r="B30" s="54" t="str">
        <f>IF(C30,"NICU APPT","")</f>
        <v/>
      </c>
      <c r="C30" s="284" t="b">
        <v>0</v>
      </c>
      <c r="D30" s="54" t="str">
        <f>IF(E30,"NICU APPT","")</f>
        <v/>
      </c>
      <c r="E30" s="284" t="b">
        <v>0</v>
      </c>
      <c r="F30" s="54" t="str">
        <f>IF(G30,"NICU APPT","")</f>
        <v/>
      </c>
      <c r="G30" s="284" t="b">
        <v>0</v>
      </c>
      <c r="H30" s="54" t="str">
        <f>IF(I30,"NICU APPT","")</f>
        <v/>
      </c>
      <c r="I30" s="284" t="b">
        <v>0</v>
      </c>
      <c r="J30" s="54" t="str">
        <f>IF(K30,"NICU APPT","")</f>
        <v/>
      </c>
      <c r="K30" s="284" t="b">
        <v>0</v>
      </c>
      <c r="L30" s="54" t="str">
        <f>IF(M30,"NICU APPT","")</f>
        <v/>
      </c>
      <c r="M30" s="284" t="b">
        <v>0</v>
      </c>
      <c r="N30" s="54" t="str">
        <f>IF(O30,"NICU APPT","")</f>
        <v/>
      </c>
      <c r="O30" s="284" t="b">
        <v>0</v>
      </c>
      <c r="P30" s="54" t="str">
        <f>IF(Q30,"NICU APPT","")</f>
        <v/>
      </c>
      <c r="Q30" s="284" t="b">
        <v>0</v>
      </c>
      <c r="R30" s="54" t="str">
        <f>IF(S30,"NICU APPT","")</f>
        <v/>
      </c>
      <c r="S30" s="284" t="b">
        <v>0</v>
      </c>
      <c r="U30" s="104"/>
    </row>
    <row r="31" spans="2:21" x14ac:dyDescent="0.2">
      <c r="B31" s="54" t="str">
        <f>IF(C31,"BG","")</f>
        <v/>
      </c>
      <c r="C31" s="284" t="b">
        <v>0</v>
      </c>
      <c r="D31" s="54" t="str">
        <f>IF(E31,"BG","")</f>
        <v/>
      </c>
      <c r="E31" s="284" t="b">
        <v>0</v>
      </c>
      <c r="F31" s="54" t="str">
        <f>IF(G31,"BG","")</f>
        <v/>
      </c>
      <c r="G31" s="284" t="b">
        <v>0</v>
      </c>
      <c r="H31" s="54" t="str">
        <f>IF(I31,"BG","")</f>
        <v/>
      </c>
      <c r="I31" s="284" t="b">
        <v>0</v>
      </c>
      <c r="J31" s="54" t="str">
        <f>IF(K31,"BG","")</f>
        <v/>
      </c>
      <c r="K31" s="284" t="b">
        <v>0</v>
      </c>
      <c r="L31" s="54" t="str">
        <f>IF(M31,"BG","")</f>
        <v/>
      </c>
      <c r="M31" s="284" t="b">
        <v>0</v>
      </c>
      <c r="N31" s="54" t="str">
        <f>IF(O31,"BG","")</f>
        <v/>
      </c>
      <c r="O31" s="284" t="b">
        <v>0</v>
      </c>
      <c r="P31" s="54" t="str">
        <f>IF(Q31,"BG","")</f>
        <v/>
      </c>
      <c r="Q31" s="284" t="b">
        <v>0</v>
      </c>
      <c r="R31" s="54" t="str">
        <f>IF(S31,"BG","")</f>
        <v/>
      </c>
      <c r="S31" s="284" t="b">
        <v>0</v>
      </c>
      <c r="U31" s="104"/>
    </row>
    <row r="32" spans="2:21" x14ac:dyDescent="0.2">
      <c r="B32" s="54" t="str">
        <f>IF(C32,"antiAx","")</f>
        <v/>
      </c>
      <c r="C32" s="284" t="b">
        <v>0</v>
      </c>
      <c r="D32" s="54" t="str">
        <f>IF(E32,"antiAx","")</f>
        <v/>
      </c>
      <c r="E32" s="284" t="b">
        <v>0</v>
      </c>
      <c r="F32" s="54" t="str">
        <f>IF(G32,"antiAx","")</f>
        <v/>
      </c>
      <c r="G32" s="284" t="b">
        <v>0</v>
      </c>
      <c r="H32" s="54" t="str">
        <f>IF(I32,"antiAx","")</f>
        <v/>
      </c>
      <c r="I32" s="284" t="b">
        <v>0</v>
      </c>
      <c r="J32" s="54" t="str">
        <f>IF(K32,"antiAx","")</f>
        <v/>
      </c>
      <c r="K32" s="284" t="b">
        <v>0</v>
      </c>
      <c r="L32" s="54" t="str">
        <f>IF(M32,"antiAx","")</f>
        <v/>
      </c>
      <c r="M32" s="284" t="b">
        <v>0</v>
      </c>
      <c r="N32" s="54" t="str">
        <f>IF(O32,"antiAx","")</f>
        <v/>
      </c>
      <c r="O32" s="284" t="b">
        <v>0</v>
      </c>
      <c r="P32" s="54" t="str">
        <f>IF(Q32,"antiAx","")</f>
        <v/>
      </c>
      <c r="Q32" s="284" t="b">
        <v>0</v>
      </c>
      <c r="R32" s="54" t="str">
        <f>IF(S32,"antiAx","")</f>
        <v/>
      </c>
      <c r="S32" s="284" t="b">
        <v>0</v>
      </c>
      <c r="U32" s="104"/>
    </row>
    <row r="33" spans="2:21" x14ac:dyDescent="0.2">
      <c r="B33" s="54" t="str">
        <f>IF(C33,"BNP","")</f>
        <v/>
      </c>
      <c r="C33" s="284" t="b">
        <v>0</v>
      </c>
      <c r="D33" s="54" t="str">
        <f>IF(E33,"BNP","")</f>
        <v/>
      </c>
      <c r="E33" s="284" t="b">
        <v>0</v>
      </c>
      <c r="F33" s="54" t="str">
        <f>IF(G33,"BNP","")</f>
        <v/>
      </c>
      <c r="G33" s="284" t="b">
        <v>0</v>
      </c>
      <c r="H33" s="54" t="str">
        <f>IF(I33,"BNP","")</f>
        <v/>
      </c>
      <c r="I33" s="284" t="b">
        <v>0</v>
      </c>
      <c r="J33" s="54" t="str">
        <f>IF(K33,"BNP","")</f>
        <v/>
      </c>
      <c r="K33" s="284" t="b">
        <v>0</v>
      </c>
      <c r="L33" s="54" t="str">
        <f>IF(M33,"BNP","")</f>
        <v/>
      </c>
      <c r="M33" s="284" t="b">
        <v>0</v>
      </c>
      <c r="N33" s="54" t="str">
        <f>IF(O33,"BNP","")</f>
        <v/>
      </c>
      <c r="O33" s="284" t="b">
        <v>0</v>
      </c>
      <c r="P33" s="54" t="str">
        <f>IF(Q33,"BNP","")</f>
        <v/>
      </c>
      <c r="Q33" s="284" t="b">
        <v>0</v>
      </c>
      <c r="R33" s="54" t="str">
        <f>IF(S33,"BNP","")</f>
        <v/>
      </c>
      <c r="S33" s="284" t="b">
        <v>0</v>
      </c>
      <c r="U33" s="104"/>
    </row>
    <row r="34" spans="2:21" x14ac:dyDescent="0.2">
      <c r="B34" s="54" t="str">
        <f>IF(C34,"Troponine","")</f>
        <v/>
      </c>
      <c r="C34" s="284" t="b">
        <v>0</v>
      </c>
      <c r="D34" s="54" t="str">
        <f>IF(E34,"Troponine","")</f>
        <v/>
      </c>
      <c r="E34" s="284" t="b">
        <v>0</v>
      </c>
      <c r="F34" s="54" t="str">
        <f>IF(G34,"Troponine","")</f>
        <v/>
      </c>
      <c r="G34" s="284" t="b">
        <v>0</v>
      </c>
      <c r="H34" s="54" t="str">
        <f>IF(I34,"Troponine","")</f>
        <v/>
      </c>
      <c r="I34" s="284" t="b">
        <v>0</v>
      </c>
      <c r="J34" s="54" t="str">
        <f>IF(K34,"Troponine","")</f>
        <v/>
      </c>
      <c r="K34" s="284" t="b">
        <v>0</v>
      </c>
      <c r="L34" s="54" t="str">
        <f>IF(M34,"Troponine","")</f>
        <v/>
      </c>
      <c r="M34" s="284" t="b">
        <v>0</v>
      </c>
      <c r="N34" s="54" t="str">
        <f>IF(O34,"Troponine","")</f>
        <v/>
      </c>
      <c r="O34" s="284" t="b">
        <v>0</v>
      </c>
      <c r="P34" s="54" t="str">
        <f>IF(Q34,"Troponine","")</f>
        <v/>
      </c>
      <c r="Q34" s="284" t="b">
        <v>0</v>
      </c>
      <c r="R34" s="54" t="str">
        <f>IF(S34,"Troponine","")</f>
        <v/>
      </c>
      <c r="S34" s="284" t="b">
        <v>0</v>
      </c>
      <c r="U34" s="104"/>
    </row>
    <row r="35" spans="2:21" x14ac:dyDescent="0.2">
      <c r="B35" s="54" t="str">
        <f>IF(C35,"Coombs-test","")</f>
        <v/>
      </c>
      <c r="C35" s="284" t="b">
        <v>0</v>
      </c>
    </row>
    <row r="38" spans="2:21" x14ac:dyDescent="0.2">
      <c r="B38" s="54" t="s">
        <v>704</v>
      </c>
      <c r="D38" s="178"/>
    </row>
  </sheetData>
  <pageMargins left="0.75" right="0.75" top="1" bottom="1" header="0.5" footer="0.5"/>
  <pageSetup paperSize="9" orientation="portrait" r:id="rId1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 fitToPage="1"/>
  </sheetPr>
  <dimension ref="A1:FIO439"/>
  <sheetViews>
    <sheetView zoomScaleNormal="100" zoomScaleSheetLayoutView="100" workbookViewId="0">
      <selection activeCell="C35" sqref="C35"/>
    </sheetView>
  </sheetViews>
  <sheetFormatPr defaultColWidth="9.140625" defaultRowHeight="12.75" x14ac:dyDescent="0.2"/>
  <cols>
    <col min="1" max="1" width="9.140625" style="12"/>
    <col min="2" max="2" width="10.28515625" style="3" customWidth="1"/>
    <col min="3" max="3" width="19.7109375" style="12" customWidth="1"/>
    <col min="4" max="4" width="28.85546875" style="12" bestFit="1" customWidth="1"/>
    <col min="5" max="5" width="17.7109375" style="12" customWidth="1"/>
    <col min="6" max="7" width="18.7109375" style="12" customWidth="1"/>
    <col min="8" max="11" width="9.140625" style="12"/>
    <col min="12" max="21" width="9.140625" style="12" hidden="1" customWidth="1"/>
    <col min="22" max="22" width="0" style="12" hidden="1" customWidth="1"/>
    <col min="23" max="16384" width="9.140625" style="12"/>
  </cols>
  <sheetData>
    <row r="1" spans="1:25 4305:4305" x14ac:dyDescent="0.2">
      <c r="A1" s="185"/>
      <c r="J1" s="158"/>
      <c r="K1" s="158"/>
      <c r="L1" s="158" t="s">
        <v>585</v>
      </c>
      <c r="M1" s="158" t="s">
        <v>592</v>
      </c>
      <c r="N1" s="158" t="s">
        <v>586</v>
      </c>
      <c r="O1" s="158"/>
      <c r="P1" s="158"/>
      <c r="Q1" s="158"/>
      <c r="R1" s="158"/>
      <c r="S1" s="158" t="s">
        <v>593</v>
      </c>
      <c r="T1" s="158" t="s">
        <v>594</v>
      </c>
      <c r="U1" s="158"/>
      <c r="V1" s="158"/>
      <c r="W1" s="158"/>
      <c r="X1" s="158"/>
      <c r="Y1" s="37"/>
    </row>
    <row r="2" spans="1:25 4305:4305" ht="15" customHeight="1" x14ac:dyDescent="0.2">
      <c r="B2" s="29" t="str">
        <f>"Patient: "&amp;__2_AchterNaam&amp;", "&amp;__3_VoorNaam</f>
        <v xml:space="preserve">Patient: , </v>
      </c>
      <c r="C2" s="27"/>
      <c r="D2" s="19"/>
      <c r="E2" s="30"/>
      <c r="F2" s="19"/>
      <c r="G2" s="20"/>
      <c r="H2" s="13"/>
      <c r="I2" s="13"/>
      <c r="J2" s="158"/>
      <c r="K2" s="158"/>
      <c r="L2" s="158">
        <v>0</v>
      </c>
      <c r="M2" s="158">
        <v>40</v>
      </c>
      <c r="N2" s="158">
        <v>3.5</v>
      </c>
      <c r="O2" s="158">
        <v>0</v>
      </c>
      <c r="P2" s="158">
        <v>3.5</v>
      </c>
      <c r="Q2" s="158">
        <v>51</v>
      </c>
      <c r="R2" s="158"/>
      <c r="S2" s="158">
        <v>1</v>
      </c>
      <c r="T2" s="158">
        <v>1</v>
      </c>
      <c r="U2" s="158">
        <v>1</v>
      </c>
      <c r="V2" s="158"/>
      <c r="W2" s="158"/>
      <c r="X2" s="158"/>
      <c r="Y2" s="37"/>
      <c r="FIO2" s="12">
        <v>30</v>
      </c>
    </row>
    <row r="3" spans="1:25 4305:4305" ht="15" customHeight="1" x14ac:dyDescent="0.2">
      <c r="B3" s="29" t="str">
        <f>"Geb datum.: "</f>
        <v xml:space="preserve">Geb datum.: </v>
      </c>
      <c r="C3" s="40">
        <f>__4_GebDatum</f>
        <v>1462</v>
      </c>
      <c r="D3" s="19"/>
      <c r="E3" s="30"/>
      <c r="F3" s="24"/>
      <c r="G3" s="20"/>
      <c r="H3" s="13"/>
      <c r="I3" s="13"/>
      <c r="J3" s="158"/>
      <c r="K3" s="158"/>
      <c r="L3" s="158">
        <v>1</v>
      </c>
      <c r="M3" s="158">
        <v>30</v>
      </c>
      <c r="N3" s="158">
        <v>4.5</v>
      </c>
      <c r="O3" s="158">
        <v>1</v>
      </c>
      <c r="P3" s="158">
        <v>4.2</v>
      </c>
      <c r="Q3" s="158">
        <v>54</v>
      </c>
      <c r="R3" s="158"/>
      <c r="S3" s="158">
        <v>2</v>
      </c>
      <c r="T3" s="158">
        <v>2</v>
      </c>
      <c r="U3" s="158">
        <v>2</v>
      </c>
      <c r="V3" s="158"/>
      <c r="W3" s="158"/>
      <c r="X3" s="158"/>
      <c r="Y3" s="37"/>
    </row>
    <row r="4" spans="1:25 4305:4305" ht="15.75" customHeight="1" x14ac:dyDescent="0.2">
      <c r="B4" s="23"/>
      <c r="C4" s="26" t="s">
        <v>486</v>
      </c>
      <c r="D4" s="26" t="s">
        <v>487</v>
      </c>
      <c r="E4" s="26" t="s">
        <v>488</v>
      </c>
      <c r="F4" s="26"/>
      <c r="G4" s="26"/>
      <c r="H4" s="13"/>
      <c r="J4" s="159"/>
      <c r="K4" s="159"/>
      <c r="L4" s="158">
        <v>2</v>
      </c>
      <c r="M4" s="158">
        <v>25</v>
      </c>
      <c r="N4" s="158">
        <v>4.5</v>
      </c>
      <c r="O4" s="158">
        <v>2</v>
      </c>
      <c r="P4" s="158">
        <v>5</v>
      </c>
      <c r="Q4" s="158">
        <v>57</v>
      </c>
      <c r="R4" s="158"/>
      <c r="S4" s="158">
        <v>3</v>
      </c>
      <c r="T4" s="158">
        <v>3</v>
      </c>
      <c r="U4" s="158">
        <v>3</v>
      </c>
      <c r="V4" s="158"/>
      <c r="W4" s="158"/>
      <c r="X4" s="158"/>
      <c r="Y4" s="37"/>
    </row>
    <row r="5" spans="1:25 4305:4305" ht="15" customHeight="1" x14ac:dyDescent="0.2">
      <c r="B5" s="23"/>
      <c r="C5" s="26">
        <f>_Pat_GestWeken</f>
        <v>0</v>
      </c>
      <c r="D5" s="26">
        <f>_Pat_GestDagen</f>
        <v>0</v>
      </c>
      <c r="E5" s="26">
        <f>_Pat_Gewicht</f>
        <v>0</v>
      </c>
      <c r="F5" s="26"/>
      <c r="G5" s="26"/>
      <c r="H5" s="13"/>
      <c r="J5" s="159"/>
      <c r="K5" s="159"/>
      <c r="L5" s="158">
        <v>3</v>
      </c>
      <c r="M5" s="158">
        <v>25</v>
      </c>
      <c r="N5" s="158">
        <v>5</v>
      </c>
      <c r="O5" s="158">
        <v>3</v>
      </c>
      <c r="P5" s="158">
        <v>5.7</v>
      </c>
      <c r="Q5" s="158">
        <v>60</v>
      </c>
      <c r="R5" s="158"/>
      <c r="S5" s="158">
        <v>4</v>
      </c>
      <c r="T5" s="158">
        <v>3</v>
      </c>
      <c r="U5" s="158"/>
      <c r="V5" s="158"/>
      <c r="W5" s="158"/>
      <c r="X5" s="158"/>
      <c r="Y5" s="37"/>
    </row>
    <row r="6" spans="1:25 4305:4305" ht="15" customHeight="1" thickBot="1" x14ac:dyDescent="0.25">
      <c r="A6" s="185"/>
      <c r="B6" s="8"/>
      <c r="C6" s="28"/>
      <c r="D6" s="28"/>
      <c r="E6" s="28"/>
      <c r="F6" s="28"/>
      <c r="G6" s="28"/>
      <c r="H6" s="13"/>
      <c r="J6" s="159"/>
      <c r="K6" s="159"/>
      <c r="L6" s="158">
        <v>4</v>
      </c>
      <c r="M6" s="158">
        <v>25</v>
      </c>
      <c r="N6" s="158">
        <v>5</v>
      </c>
      <c r="O6" s="158">
        <v>4</v>
      </c>
      <c r="P6" s="158">
        <v>6.5</v>
      </c>
      <c r="Q6" s="158">
        <v>63</v>
      </c>
      <c r="R6" s="158"/>
      <c r="S6" s="158">
        <v>5</v>
      </c>
      <c r="T6" s="158">
        <v>5</v>
      </c>
      <c r="U6" s="158">
        <v>5</v>
      </c>
      <c r="V6" s="158"/>
      <c r="W6" s="158"/>
      <c r="X6" s="158"/>
      <c r="Y6" s="37"/>
    </row>
    <row r="7" spans="1:25 4305:4305" ht="20.100000000000001" customHeight="1" x14ac:dyDescent="0.2">
      <c r="B7" s="23" t="s">
        <v>238</v>
      </c>
      <c r="C7" s="31" t="s">
        <v>44</v>
      </c>
      <c r="D7" s="32" t="str">
        <f>"Maat: "&amp;IF((_Pat_Gewicht)&lt;1,2.5,IF(AND((_Pat_Gewicht)&gt;=1,(_Pat_Gewicht)&lt;2),3,3.5))</f>
        <v>Maat: 2,5</v>
      </c>
      <c r="E7" s="33"/>
      <c r="F7" s="33"/>
      <c r="G7" s="45"/>
      <c r="H7" s="13"/>
      <c r="I7" s="13"/>
      <c r="J7" s="158"/>
      <c r="K7" s="158"/>
      <c r="L7" s="158">
        <v>5</v>
      </c>
      <c r="M7" s="158">
        <v>25</v>
      </c>
      <c r="N7" s="158">
        <v>5.5</v>
      </c>
      <c r="O7" s="158">
        <v>5</v>
      </c>
      <c r="P7" s="158">
        <v>7</v>
      </c>
      <c r="Q7" s="158">
        <v>65</v>
      </c>
      <c r="R7" s="158"/>
      <c r="S7" s="158">
        <v>6</v>
      </c>
      <c r="T7" s="158">
        <v>5</v>
      </c>
      <c r="U7" s="158"/>
      <c r="V7" s="158"/>
      <c r="W7" s="158"/>
      <c r="X7" s="158"/>
      <c r="Y7" s="37"/>
    </row>
    <row r="8" spans="1:25 4305:4305" ht="20.100000000000001" customHeight="1" x14ac:dyDescent="0.2">
      <c r="B8" s="23"/>
      <c r="C8" s="22"/>
      <c r="D8" s="14" t="str">
        <f>"Nasaal: "&amp;FixPrecision(((_Pat_Gewicht)+6)*1.2,2)</f>
        <v>Nasaal: 7,2</v>
      </c>
      <c r="E8" s="13"/>
      <c r="F8" s="13"/>
      <c r="G8" s="46"/>
      <c r="H8" s="13"/>
      <c r="I8" s="13"/>
      <c r="J8" s="158"/>
      <c r="K8" s="158"/>
      <c r="L8" s="158">
        <v>6</v>
      </c>
      <c r="M8" s="158">
        <v>20</v>
      </c>
      <c r="N8" s="158">
        <v>5.5</v>
      </c>
      <c r="O8" s="158">
        <v>6</v>
      </c>
      <c r="P8" s="158">
        <v>7.7</v>
      </c>
      <c r="Q8" s="158">
        <v>67</v>
      </c>
      <c r="R8" s="158"/>
      <c r="S8" s="158">
        <v>7</v>
      </c>
      <c r="T8" s="158">
        <v>7</v>
      </c>
      <c r="U8" s="158">
        <v>7</v>
      </c>
      <c r="V8" s="158"/>
      <c r="W8" s="158"/>
      <c r="X8" s="158"/>
      <c r="Y8" s="37"/>
    </row>
    <row r="9" spans="1:25 4305:4305" ht="20.100000000000001" customHeight="1" x14ac:dyDescent="0.2">
      <c r="B9" s="23"/>
      <c r="C9" s="22"/>
      <c r="D9" s="14" t="str">
        <f>"Oraal: "&amp;FixPrecision(((_Pat_Gewicht)+6),2)</f>
        <v>Oraal: 6</v>
      </c>
      <c r="E9" s="13"/>
      <c r="F9" s="13"/>
      <c r="G9" s="46"/>
      <c r="H9" s="13"/>
      <c r="I9" s="13"/>
      <c r="J9" s="158"/>
      <c r="K9" s="158"/>
      <c r="L9" s="158">
        <v>7</v>
      </c>
      <c r="M9" s="158">
        <v>20</v>
      </c>
      <c r="N9" s="158">
        <v>6</v>
      </c>
      <c r="O9" s="158">
        <v>7</v>
      </c>
      <c r="P9" s="158">
        <v>8.1999999999999993</v>
      </c>
      <c r="Q9" s="158">
        <v>69</v>
      </c>
      <c r="R9" s="158"/>
      <c r="S9" s="158">
        <v>8</v>
      </c>
      <c r="T9" s="158">
        <v>7</v>
      </c>
      <c r="U9" s="158"/>
      <c r="V9" s="158"/>
      <c r="W9" s="158"/>
      <c r="X9" s="158"/>
      <c r="Y9" s="37"/>
    </row>
    <row r="10" spans="1:25 4305:4305" ht="20.100000000000001" customHeight="1" x14ac:dyDescent="0.2">
      <c r="B10" s="23"/>
      <c r="C10" s="22" t="s">
        <v>856</v>
      </c>
      <c r="D10" s="248">
        <f>(1.5*(_Pat_Gewicht))+5.5</f>
        <v>5.5</v>
      </c>
      <c r="E10" s="13"/>
      <c r="F10" s="13"/>
      <c r="G10" s="46"/>
      <c r="H10" s="13"/>
      <c r="I10" s="13"/>
      <c r="J10" s="158"/>
      <c r="K10" s="158"/>
      <c r="L10" s="158"/>
      <c r="M10" s="158"/>
      <c r="N10" s="158"/>
      <c r="O10" s="158"/>
      <c r="P10" s="158"/>
      <c r="Q10" s="158"/>
      <c r="R10" s="158"/>
      <c r="S10" s="158"/>
      <c r="T10" s="158"/>
      <c r="U10" s="158"/>
      <c r="V10" s="158"/>
      <c r="W10" s="158"/>
      <c r="X10" s="158"/>
      <c r="Y10" s="37"/>
    </row>
    <row r="11" spans="1:25 4305:4305" ht="20.100000000000001" customHeight="1" x14ac:dyDescent="0.2">
      <c r="B11" s="23"/>
      <c r="C11" s="22" t="s">
        <v>857</v>
      </c>
      <c r="D11" s="248">
        <f>(4*(_Pat_Gewicht))+7</f>
        <v>7</v>
      </c>
      <c r="E11" s="13"/>
      <c r="F11" s="13"/>
      <c r="G11" s="46"/>
      <c r="H11" s="13"/>
      <c r="I11" s="13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37"/>
    </row>
    <row r="12" spans="1:25 4305:4305" ht="20.100000000000001" customHeight="1" x14ac:dyDescent="0.2">
      <c r="B12" s="23"/>
      <c r="C12" s="22" t="s">
        <v>45</v>
      </c>
      <c r="D12" s="14" t="e">
        <f>IF(ROUND((E5)*4,0)&gt;150,150,VLOOKUP(ROUND(E5*4,0),S2:T347,2))&amp;" Joules Asynchroon"</f>
        <v>#N/A</v>
      </c>
      <c r="E12" s="13"/>
      <c r="F12" s="13"/>
      <c r="G12" s="46" t="s">
        <v>0</v>
      </c>
      <c r="H12" s="13"/>
      <c r="I12" s="13"/>
      <c r="J12" s="158"/>
      <c r="K12" s="158"/>
      <c r="L12" s="158">
        <v>9</v>
      </c>
      <c r="M12" s="158">
        <v>20</v>
      </c>
      <c r="N12" s="158">
        <v>6.5</v>
      </c>
      <c r="O12" s="158">
        <v>9</v>
      </c>
      <c r="P12" s="158">
        <v>9</v>
      </c>
      <c r="Q12" s="158">
        <v>72</v>
      </c>
      <c r="R12" s="158"/>
      <c r="S12" s="158">
        <v>10</v>
      </c>
      <c r="T12" s="158">
        <v>10</v>
      </c>
      <c r="U12" s="158">
        <v>10</v>
      </c>
      <c r="V12" s="158"/>
      <c r="W12" s="158"/>
      <c r="X12" s="158"/>
      <c r="Y12" s="37"/>
    </row>
    <row r="13" spans="1:25 4305:4305" ht="20.100000000000001" customHeight="1" x14ac:dyDescent="0.2">
      <c r="B13" s="23"/>
      <c r="C13" s="22" t="s">
        <v>91</v>
      </c>
      <c r="D13" s="14" t="str">
        <f>IF(E5*10&gt;1000,1000,E5*10)&amp;" mcg iv"</f>
        <v>0 mcg iv</v>
      </c>
      <c r="E13" s="13" t="str">
        <f>"= "&amp;IF(10*E5&gt;10,10,0.1*E5)&amp;" ml van 1:10.000 oplossing"</f>
        <v>= 0 ml van 1:10.000 oplossing</v>
      </c>
      <c r="F13" s="13"/>
      <c r="G13" s="46" t="s">
        <v>7343</v>
      </c>
      <c r="H13" s="13"/>
      <c r="I13" s="13"/>
      <c r="J13" s="158"/>
      <c r="K13" s="158"/>
      <c r="L13" s="158">
        <v>10</v>
      </c>
      <c r="M13" s="158">
        <v>20</v>
      </c>
      <c r="N13" s="158">
        <v>6.5</v>
      </c>
      <c r="O13" s="158">
        <v>10</v>
      </c>
      <c r="P13" s="158">
        <v>9.3000000000000007</v>
      </c>
      <c r="Q13" s="158">
        <v>73</v>
      </c>
      <c r="R13" s="158"/>
      <c r="S13" s="158">
        <v>11</v>
      </c>
      <c r="T13" s="158">
        <v>10</v>
      </c>
      <c r="U13" s="158"/>
      <c r="V13" s="158"/>
      <c r="W13" s="158"/>
      <c r="X13" s="158"/>
      <c r="Y13" s="37"/>
    </row>
    <row r="14" spans="1:25 4305:4305" ht="20.100000000000001" customHeight="1" x14ac:dyDescent="0.2">
      <c r="B14" s="23"/>
      <c r="C14" s="22" t="s">
        <v>415</v>
      </c>
      <c r="D14" s="14" t="str">
        <f>IF(0.2*E5&lt;=25,0.2*E5&amp;" gram iv","25 gram iv")</f>
        <v>0 gram iv</v>
      </c>
      <c r="E14" s="13" t="str">
        <f>"="&amp;" "&amp;IF(2*E5&lt;=250,ROUND(2*E5,2)&amp;" ml Glucose 10%","250 ml Glucose 10%")</f>
        <v>= 0 ml Glucose 10%</v>
      </c>
      <c r="F14" s="13"/>
      <c r="G14" s="46" t="s">
        <v>3</v>
      </c>
      <c r="H14" s="13"/>
      <c r="I14" s="13"/>
      <c r="J14" s="158"/>
      <c r="K14" s="158"/>
      <c r="L14" s="158">
        <v>11</v>
      </c>
      <c r="M14" s="158">
        <v>20</v>
      </c>
      <c r="N14" s="158">
        <v>7</v>
      </c>
      <c r="O14" s="158">
        <v>11</v>
      </c>
      <c r="P14" s="158">
        <v>9.5</v>
      </c>
      <c r="Q14" s="158">
        <v>74</v>
      </c>
      <c r="R14" s="158"/>
      <c r="S14" s="158">
        <v>12</v>
      </c>
      <c r="T14" s="158">
        <v>10</v>
      </c>
      <c r="U14" s="158"/>
      <c r="V14" s="158"/>
      <c r="W14" s="158"/>
      <c r="X14" s="158"/>
      <c r="Y14" s="37"/>
    </row>
    <row r="15" spans="1:25 4305:4305" ht="20.100000000000001" customHeight="1" thickBot="1" x14ac:dyDescent="0.25">
      <c r="B15" s="23"/>
      <c r="C15" s="34" t="s">
        <v>587</v>
      </c>
      <c r="D15" s="35" t="str">
        <f>IF(ROUND(20*E5/10,0)*10&gt;500,500,ROUND(20*E5/10,0)*10)&amp;" ml NaCl 0,9% iv per bolus"</f>
        <v>0 ml NaCl 0,9% iv per bolus</v>
      </c>
      <c r="E15" s="36"/>
      <c r="F15" s="36"/>
      <c r="G15" s="47" t="s">
        <v>4</v>
      </c>
      <c r="H15" s="13"/>
      <c r="I15" s="13"/>
      <c r="J15" s="158"/>
      <c r="K15" s="158"/>
      <c r="L15" s="158">
        <v>12</v>
      </c>
      <c r="M15" s="158">
        <v>15</v>
      </c>
      <c r="N15" s="158">
        <v>7</v>
      </c>
      <c r="O15" s="158">
        <v>12</v>
      </c>
      <c r="P15" s="158">
        <v>10</v>
      </c>
      <c r="Q15" s="158">
        <v>76</v>
      </c>
      <c r="R15" s="158"/>
      <c r="S15" s="158">
        <v>13</v>
      </c>
      <c r="T15" s="158">
        <v>10</v>
      </c>
      <c r="U15" s="158"/>
      <c r="V15" s="158"/>
      <c r="W15" s="158"/>
      <c r="X15" s="158"/>
      <c r="Y15" s="37"/>
    </row>
    <row r="16" spans="1:25 4305:4305" ht="20.100000000000001" customHeight="1" thickBot="1" x14ac:dyDescent="0.25">
      <c r="B16" s="8"/>
      <c r="C16" s="13"/>
      <c r="D16" s="14"/>
      <c r="E16" s="13"/>
      <c r="F16" s="13"/>
      <c r="G16" s="46"/>
      <c r="H16" s="13"/>
      <c r="I16" s="13"/>
      <c r="J16" s="158"/>
      <c r="K16" s="158"/>
      <c r="L16" s="158">
        <v>16</v>
      </c>
      <c r="M16" s="158">
        <v>15</v>
      </c>
      <c r="N16" s="158">
        <v>7</v>
      </c>
      <c r="O16" s="158"/>
      <c r="P16" s="158"/>
      <c r="Q16" s="158"/>
      <c r="R16" s="158"/>
      <c r="S16" s="158">
        <v>17</v>
      </c>
      <c r="T16" s="158">
        <v>20</v>
      </c>
      <c r="U16" s="158"/>
      <c r="V16" s="158"/>
      <c r="W16" s="158"/>
      <c r="X16" s="158"/>
      <c r="Y16" s="37"/>
    </row>
    <row r="17" spans="2:26" ht="20.100000000000001" customHeight="1" x14ac:dyDescent="0.2">
      <c r="B17" s="23" t="s">
        <v>294</v>
      </c>
      <c r="C17" s="31" t="s">
        <v>588</v>
      </c>
      <c r="D17" s="32" t="str">
        <f>E5&amp;" mg iv"</f>
        <v>0 mg iv</v>
      </c>
      <c r="E17" s="33" t="str">
        <f>"= "&amp;0.1*E5&amp;" ml van een 10 mg/ml oplossing"</f>
        <v>= 0 ml van een 10 mg/ml oplossing</v>
      </c>
      <c r="F17" s="33"/>
      <c r="G17" s="45" t="s">
        <v>489</v>
      </c>
      <c r="H17" s="13"/>
      <c r="I17" s="13"/>
      <c r="J17" s="158"/>
      <c r="K17" s="158"/>
      <c r="L17" s="158">
        <v>17</v>
      </c>
      <c r="M17" s="158">
        <v>15</v>
      </c>
      <c r="N17" s="158">
        <v>7</v>
      </c>
      <c r="O17" s="158"/>
      <c r="P17" s="158"/>
      <c r="Q17" s="158"/>
      <c r="R17" s="158"/>
      <c r="S17" s="158">
        <v>18</v>
      </c>
      <c r="T17" s="158">
        <v>20</v>
      </c>
      <c r="U17" s="158"/>
      <c r="V17" s="158"/>
      <c r="W17" s="158"/>
      <c r="X17" s="158"/>
      <c r="Y17" s="37"/>
    </row>
    <row r="18" spans="2:26" ht="15.75" customHeight="1" thickBot="1" x14ac:dyDescent="0.25">
      <c r="B18" s="8"/>
      <c r="C18" s="21"/>
      <c r="D18" s="14"/>
      <c r="E18" s="249"/>
      <c r="F18" s="249"/>
      <c r="G18" s="46"/>
      <c r="H18" s="25"/>
      <c r="I18" s="25"/>
      <c r="J18" s="160"/>
      <c r="K18" s="158"/>
      <c r="L18" s="158">
        <v>18</v>
      </c>
      <c r="M18" s="158">
        <v>15</v>
      </c>
      <c r="N18" s="158">
        <v>7</v>
      </c>
      <c r="O18" s="158"/>
      <c r="P18" s="158"/>
      <c r="Q18" s="158"/>
      <c r="R18" s="158"/>
      <c r="S18" s="158">
        <v>19</v>
      </c>
      <c r="T18" s="158">
        <v>20</v>
      </c>
      <c r="U18" s="158"/>
      <c r="V18" s="158"/>
      <c r="W18" s="158"/>
      <c r="X18" s="158"/>
      <c r="Y18" s="37"/>
    </row>
    <row r="19" spans="2:26" ht="20.100000000000001" customHeight="1" x14ac:dyDescent="0.2">
      <c r="B19" s="23" t="s">
        <v>202</v>
      </c>
      <c r="C19" s="31" t="s">
        <v>7342</v>
      </c>
      <c r="D19" s="32" t="str">
        <f>IF(0.01*E5&gt;0.2,0.2,0.01*E5)&amp;" mg iv"</f>
        <v>0 mg iv</v>
      </c>
      <c r="E19" s="33" t="str">
        <f>"= "&amp;ROUND((0.1*E5),2)&amp;" ml van Anexate 0,1 mg/ml"</f>
        <v>= 0 ml van Anexate 0,1 mg/ml</v>
      </c>
      <c r="F19" s="33"/>
      <c r="G19" s="45" t="s">
        <v>7341</v>
      </c>
      <c r="H19" s="25"/>
      <c r="I19" s="25"/>
      <c r="J19" s="160"/>
      <c r="K19" s="158"/>
      <c r="L19" s="158"/>
      <c r="M19" s="158"/>
      <c r="N19" s="158"/>
      <c r="O19" s="158"/>
      <c r="P19" s="158"/>
      <c r="Q19" s="158"/>
      <c r="R19" s="158"/>
      <c r="S19" s="158">
        <v>20</v>
      </c>
      <c r="T19" s="158">
        <v>20</v>
      </c>
      <c r="U19" s="158">
        <v>20</v>
      </c>
      <c r="V19" s="158"/>
      <c r="W19" s="158"/>
      <c r="X19" s="158"/>
      <c r="Y19" s="37"/>
    </row>
    <row r="20" spans="2:26" ht="20.100000000000001" customHeight="1" x14ac:dyDescent="0.2">
      <c r="B20" s="23"/>
      <c r="C20" s="22" t="s">
        <v>589</v>
      </c>
      <c r="D20" s="14" t="str">
        <f>IF(0.01*E5&gt;0.4,"0,4 mg iv",0.01*E5&amp;" mg iv")</f>
        <v>0 mg iv</v>
      </c>
      <c r="E20" s="902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902"/>
      <c r="G20" s="46" t="s">
        <v>9</v>
      </c>
      <c r="H20" s="13"/>
      <c r="I20" s="13"/>
      <c r="J20" s="158"/>
      <c r="K20" s="158"/>
      <c r="L20" s="158"/>
      <c r="M20" s="158"/>
      <c r="N20" s="158"/>
      <c r="O20" s="158"/>
      <c r="P20" s="158"/>
      <c r="Q20" s="158"/>
      <c r="R20" s="158"/>
      <c r="S20" s="158">
        <v>21</v>
      </c>
      <c r="T20" s="158">
        <v>30</v>
      </c>
      <c r="U20" s="158"/>
      <c r="V20" s="158"/>
      <c r="W20" s="158"/>
      <c r="X20" s="158"/>
      <c r="Y20" s="37"/>
    </row>
    <row r="21" spans="2:26" ht="20.100000000000001" customHeight="1" thickBot="1" x14ac:dyDescent="0.25">
      <c r="B21" s="23"/>
      <c r="C21" s="34"/>
      <c r="D21" s="35"/>
      <c r="E21" s="903"/>
      <c r="F21" s="903"/>
      <c r="G21" s="47"/>
      <c r="H21" s="13"/>
      <c r="I21" s="13"/>
      <c r="J21" s="158"/>
      <c r="K21" s="158"/>
      <c r="L21" s="158" t="s">
        <v>854</v>
      </c>
      <c r="M21" s="158" t="s">
        <v>855</v>
      </c>
      <c r="N21" s="158" t="s">
        <v>586</v>
      </c>
      <c r="O21" s="158"/>
      <c r="P21" s="158"/>
      <c r="Q21" s="158"/>
      <c r="R21" s="158"/>
      <c r="S21" s="158">
        <v>22</v>
      </c>
      <c r="T21" s="158">
        <v>30</v>
      </c>
      <c r="U21" s="158"/>
      <c r="V21" s="158"/>
      <c r="W21" s="158"/>
      <c r="X21" s="158"/>
      <c r="Y21" s="37"/>
    </row>
    <row r="22" spans="2:26" ht="20.100000000000001" customHeight="1" thickBot="1" x14ac:dyDescent="0.25">
      <c r="B22" s="8"/>
      <c r="C22" s="21"/>
      <c r="D22" s="14"/>
      <c r="E22" s="249"/>
      <c r="F22" s="249"/>
      <c r="G22" s="46"/>
      <c r="H22" s="13"/>
      <c r="I22" s="13"/>
      <c r="J22" s="158"/>
      <c r="K22" s="158"/>
      <c r="L22" s="158">
        <v>0</v>
      </c>
      <c r="M22" s="158">
        <v>1</v>
      </c>
      <c r="N22" s="158">
        <v>2.5</v>
      </c>
      <c r="O22" s="158"/>
      <c r="P22" s="158"/>
      <c r="Q22" s="158"/>
      <c r="R22" s="158"/>
      <c r="S22" s="158">
        <v>23</v>
      </c>
      <c r="T22" s="158">
        <v>30</v>
      </c>
      <c r="U22" s="158"/>
      <c r="V22" s="158"/>
      <c r="W22" s="158"/>
      <c r="X22" s="158"/>
      <c r="Y22" s="37"/>
    </row>
    <row r="23" spans="2:26" ht="20.100000000000001" customHeight="1" x14ac:dyDescent="0.2">
      <c r="B23" s="23" t="s">
        <v>203</v>
      </c>
      <c r="C23" s="31" t="s">
        <v>582</v>
      </c>
      <c r="D23" s="250" t="str">
        <f>CONCATENATE(FixPrecision(0.0144*(_Pat_Gewicht),2), " mg in 12 ml glucose 10%")</f>
        <v>0 mg in 12 ml glucose 10%</v>
      </c>
      <c r="E23" s="775" t="s">
        <v>7344</v>
      </c>
      <c r="F23" s="33"/>
      <c r="G23" s="45" t="s">
        <v>490</v>
      </c>
      <c r="H23" s="13"/>
      <c r="I23" s="13"/>
      <c r="J23" s="158"/>
      <c r="K23" s="158"/>
      <c r="L23" s="158">
        <v>1</v>
      </c>
      <c r="M23" s="158">
        <v>2</v>
      </c>
      <c r="N23" s="158">
        <v>3</v>
      </c>
      <c r="O23" s="158"/>
      <c r="P23" s="158"/>
      <c r="Q23" s="158"/>
      <c r="R23" s="158"/>
      <c r="S23" s="158">
        <v>24</v>
      </c>
      <c r="T23" s="158">
        <v>30</v>
      </c>
      <c r="U23" s="158"/>
      <c r="V23" s="158"/>
      <c r="W23" s="158"/>
      <c r="X23" s="158"/>
      <c r="Y23" s="37"/>
    </row>
    <row r="24" spans="2:26" ht="20.100000000000001" customHeight="1" x14ac:dyDescent="0.25">
      <c r="B24" s="23"/>
      <c r="C24" s="22" t="s">
        <v>590</v>
      </c>
      <c r="D24" s="14" t="str">
        <f>CONCATENATE(FixPrecision(7.2*(_Pat_Gewicht),1), " mg in 12 ml glucose 10%")</f>
        <v>0 mg in 12 ml glucose 10%</v>
      </c>
      <c r="E24" s="776" t="s">
        <v>7345</v>
      </c>
      <c r="F24" s="13"/>
      <c r="G24" s="46" t="s">
        <v>252</v>
      </c>
      <c r="H24" s="13"/>
      <c r="I24" s="13"/>
      <c r="J24" s="163"/>
      <c r="K24" s="158"/>
      <c r="L24" s="158">
        <v>2</v>
      </c>
      <c r="M24" s="158">
        <v>150</v>
      </c>
      <c r="N24" s="158">
        <v>3.5</v>
      </c>
      <c r="O24" s="158"/>
      <c r="P24" s="158"/>
      <c r="Q24" s="158"/>
      <c r="R24" s="158"/>
      <c r="S24" s="158">
        <v>25</v>
      </c>
      <c r="T24" s="158">
        <v>30</v>
      </c>
      <c r="U24" s="158"/>
      <c r="V24" s="158"/>
      <c r="W24" s="158"/>
      <c r="X24" s="158"/>
      <c r="Y24" s="37"/>
    </row>
    <row r="25" spans="2:26" ht="20.100000000000001" customHeight="1" thickBot="1" x14ac:dyDescent="0.25">
      <c r="B25" s="23"/>
      <c r="C25" s="34" t="s">
        <v>591</v>
      </c>
      <c r="D25" s="35" t="str">
        <f>CONCATENATE(FixPrecision(0.072*(_Pat_Gewicht),2), " mg in 12 ml glucose 10%")</f>
        <v>0 mg in 12 ml glucose 10%</v>
      </c>
      <c r="E25" s="251" t="s">
        <v>7346</v>
      </c>
      <c r="F25" s="36"/>
      <c r="G25" s="47" t="s">
        <v>301</v>
      </c>
      <c r="H25" s="13"/>
      <c r="I25" s="13"/>
      <c r="J25" s="158"/>
      <c r="K25" s="158"/>
      <c r="L25" s="158"/>
      <c r="M25" s="158"/>
      <c r="N25" s="158"/>
      <c r="O25" s="158"/>
      <c r="P25" s="158"/>
      <c r="Q25" s="158"/>
      <c r="R25" s="158"/>
      <c r="S25" s="158">
        <v>29</v>
      </c>
      <c r="T25" s="158">
        <v>30</v>
      </c>
      <c r="U25" s="158"/>
      <c r="V25" s="158"/>
      <c r="W25" s="158"/>
      <c r="X25" s="158"/>
      <c r="Y25" s="37"/>
    </row>
    <row r="26" spans="2:26" ht="20.100000000000001" customHeight="1" thickBot="1" x14ac:dyDescent="0.25">
      <c r="B26" s="8"/>
      <c r="C26" s="13"/>
      <c r="D26" s="14"/>
      <c r="E26" s="13"/>
      <c r="F26" s="13"/>
      <c r="G26" s="46"/>
      <c r="H26" s="13"/>
      <c r="I26" s="13"/>
      <c r="J26" s="158"/>
      <c r="K26" s="158"/>
      <c r="L26" s="158"/>
      <c r="M26" s="158"/>
      <c r="N26" s="158"/>
      <c r="O26" s="158"/>
      <c r="P26" s="158"/>
      <c r="Q26" s="158"/>
      <c r="R26" s="158"/>
      <c r="S26" s="158">
        <v>32</v>
      </c>
      <c r="T26" s="158">
        <v>50</v>
      </c>
      <c r="U26" s="158"/>
      <c r="V26" s="158"/>
      <c r="W26" s="158"/>
      <c r="X26" s="158"/>
      <c r="Y26" s="37"/>
    </row>
    <row r="27" spans="2:26" ht="26.25" thickBot="1" x14ac:dyDescent="0.25">
      <c r="B27" s="259" t="s">
        <v>70</v>
      </c>
      <c r="C27" s="255" t="s">
        <v>204</v>
      </c>
      <c r="D27" s="253" t="str">
        <f>CONCATENATE(0.1*(_Pat_Gewicht), " mg")</f>
        <v>0 mg</v>
      </c>
      <c r="E27" s="254" t="str">
        <f>"= "&amp;0.02*(_Pat_Gewicht)&amp;" ml van Midazolam 5mg/ml oplossing"</f>
        <v>= 0 ml van Midazolam 5mg/ml oplossing</v>
      </c>
      <c r="F27" s="254"/>
      <c r="G27" s="260"/>
      <c r="H27" s="13"/>
      <c r="I27" s="13"/>
      <c r="J27" s="158"/>
      <c r="K27" s="158"/>
      <c r="L27" s="158"/>
      <c r="M27" s="158"/>
      <c r="N27" s="158"/>
      <c r="O27" s="158"/>
      <c r="P27" s="158"/>
      <c r="Q27" s="158"/>
      <c r="R27" s="158"/>
      <c r="S27" s="158">
        <v>33</v>
      </c>
      <c r="T27" s="158">
        <v>50</v>
      </c>
      <c r="U27" s="158"/>
      <c r="V27" s="158"/>
      <c r="W27" s="158"/>
      <c r="X27" s="158"/>
      <c r="Y27" s="37"/>
    </row>
    <row r="28" spans="2:26" ht="20.100000000000001" customHeight="1" thickBot="1" x14ac:dyDescent="0.25">
      <c r="B28" s="252"/>
      <c r="C28" s="255" t="s">
        <v>858</v>
      </c>
      <c r="D28" s="256" t="str">
        <f>CONCATENATE(20*(_Pat_Gewicht), " mg")</f>
        <v>0 mg</v>
      </c>
      <c r="E28" s="257" t="str">
        <f>"= "&amp;0.4*(_Pat_Gewicht)&amp;" ml van Fenobarbital 50mg/ml oplossing"</f>
        <v>= 0 ml van Fenobarbital 50mg/ml oplossing</v>
      </c>
      <c r="F28" s="257"/>
      <c r="G28" s="258"/>
      <c r="H28" s="13"/>
      <c r="I28" s="13"/>
      <c r="J28" s="158"/>
      <c r="K28" s="158"/>
      <c r="L28" s="158"/>
      <c r="M28" s="158"/>
      <c r="N28" s="158"/>
      <c r="O28" s="158"/>
      <c r="P28" s="158"/>
      <c r="Q28" s="158"/>
      <c r="R28" s="158"/>
      <c r="S28" s="158">
        <v>41</v>
      </c>
      <c r="T28" s="158">
        <v>50</v>
      </c>
      <c r="U28" s="158"/>
      <c r="V28" s="158"/>
      <c r="W28" s="158"/>
      <c r="X28" s="158"/>
      <c r="Y28" s="37"/>
    </row>
    <row r="29" spans="2:26" ht="13.5" customHeight="1" thickBot="1" x14ac:dyDescent="0.25">
      <c r="B29" s="8"/>
      <c r="C29" s="13"/>
      <c r="D29" s="14"/>
      <c r="E29" s="13"/>
      <c r="F29" s="13"/>
      <c r="G29" s="48"/>
      <c r="H29" s="13"/>
      <c r="I29" s="13"/>
      <c r="J29" s="158"/>
      <c r="K29" s="158"/>
      <c r="L29" s="158"/>
      <c r="M29" s="158"/>
      <c r="N29" s="158"/>
      <c r="O29" s="158"/>
      <c r="P29" s="158"/>
      <c r="Q29" s="158"/>
      <c r="R29" s="158"/>
      <c r="S29" s="158">
        <v>42</v>
      </c>
      <c r="T29" s="158">
        <v>50</v>
      </c>
      <c r="U29" s="158"/>
      <c r="V29" s="158"/>
      <c r="W29" s="158"/>
      <c r="X29" s="158"/>
      <c r="Y29" s="37"/>
    </row>
    <row r="30" spans="2:26" ht="19.5" customHeight="1" x14ac:dyDescent="0.2">
      <c r="B30" s="268" t="s">
        <v>551</v>
      </c>
      <c r="C30" s="269" t="s">
        <v>859</v>
      </c>
      <c r="D30" s="281" t="str">
        <f>CONCATENATE(0.225*(_Pat_Gewicht)," (mmol IV)")</f>
        <v>0 (mmol IV)</v>
      </c>
      <c r="E30" s="270" t="str">
        <f>"= "&amp;1*(_Pat_Gewicht)&amp;" ml IV van Calcium gluconaat 10%"</f>
        <v>= 0 ml IV van Calcium gluconaat 10%</v>
      </c>
      <c r="F30" s="270"/>
      <c r="G30" s="275"/>
      <c r="H30" s="264"/>
      <c r="I30" s="264"/>
      <c r="J30" s="279"/>
      <c r="K30" s="279"/>
      <c r="L30" s="279"/>
      <c r="M30" s="279"/>
      <c r="N30" s="279"/>
      <c r="O30" s="279"/>
      <c r="P30" s="279"/>
      <c r="Q30" s="279"/>
      <c r="R30" s="279"/>
      <c r="S30" s="279">
        <v>45</v>
      </c>
      <c r="T30" s="279">
        <v>50</v>
      </c>
      <c r="U30" s="279"/>
      <c r="V30" s="279"/>
      <c r="W30" s="279"/>
      <c r="X30" s="279"/>
      <c r="Y30" s="274"/>
      <c r="Z30" s="37"/>
    </row>
    <row r="31" spans="2:26" ht="19.5" customHeight="1" x14ac:dyDescent="0.25">
      <c r="B31" s="268"/>
      <c r="C31" s="267" t="s">
        <v>94</v>
      </c>
      <c r="D31" s="265" t="str">
        <f>CONCATENATE(0.1*(_Pat_Gewicht)," mg")</f>
        <v>0 mg</v>
      </c>
      <c r="E31" s="264" t="str">
        <f>"= "&amp;0.1*(_Pat_Gewicht)&amp;" ml van Morfine 1mg/1ml oplossing"</f>
        <v>= 0 ml van Morfine 1mg/1ml oplossing</v>
      </c>
      <c r="F31" s="264"/>
      <c r="G31" s="276"/>
      <c r="H31" s="264"/>
      <c r="I31" s="264"/>
      <c r="J31" s="280"/>
      <c r="K31" s="279"/>
      <c r="L31" s="279"/>
      <c r="M31" s="279"/>
      <c r="N31" s="279"/>
      <c r="O31" s="279"/>
      <c r="P31" s="279"/>
      <c r="Q31" s="279"/>
      <c r="R31" s="279"/>
      <c r="S31" s="279">
        <v>46</v>
      </c>
      <c r="T31" s="279">
        <v>50</v>
      </c>
      <c r="U31" s="279"/>
      <c r="V31" s="279"/>
      <c r="W31" s="279"/>
      <c r="X31" s="279"/>
      <c r="Y31" s="274"/>
    </row>
    <row r="32" spans="2:26" ht="19.5" customHeight="1" thickBot="1" x14ac:dyDescent="0.25">
      <c r="B32" s="268"/>
      <c r="C32" s="271" t="s">
        <v>584</v>
      </c>
      <c r="D32" s="272" t="str">
        <f>CONCATENATE(0.6*(_Pat_Gewicht)," mg")</f>
        <v>0 mg</v>
      </c>
      <c r="E32" s="273" t="str">
        <f>"= "&amp;0.06*(_Pat_Gewicht)&amp;" ml van Rocorium 10mg/1ml oplossing"</f>
        <v>= 0 ml van Rocorium 10mg/1ml oplossing</v>
      </c>
      <c r="F32" s="273"/>
      <c r="G32" s="277"/>
      <c r="H32" s="264"/>
      <c r="I32" s="264"/>
      <c r="J32" s="279"/>
      <c r="K32" s="279"/>
      <c r="L32" s="279"/>
      <c r="M32" s="279"/>
      <c r="N32" s="279"/>
      <c r="O32" s="279"/>
      <c r="P32" s="279"/>
      <c r="Q32" s="279"/>
      <c r="R32" s="279"/>
      <c r="S32" s="279">
        <v>47</v>
      </c>
      <c r="T32" s="279">
        <v>50</v>
      </c>
      <c r="U32" s="279"/>
      <c r="V32" s="279"/>
      <c r="W32" s="279"/>
      <c r="X32" s="279"/>
      <c r="Y32" s="274"/>
    </row>
    <row r="33" spans="2:25" ht="19.5" customHeight="1" x14ac:dyDescent="0.2">
      <c r="B33" s="263"/>
      <c r="C33" s="261"/>
      <c r="D33" s="261"/>
      <c r="E33" s="261"/>
      <c r="F33" s="261"/>
      <c r="G33" s="261"/>
      <c r="H33" s="264"/>
      <c r="I33" s="264"/>
      <c r="J33" s="279"/>
      <c r="K33" s="279"/>
      <c r="L33" s="279"/>
      <c r="M33" s="279"/>
      <c r="N33" s="279"/>
      <c r="O33" s="279"/>
      <c r="P33" s="279"/>
      <c r="Q33" s="279"/>
      <c r="R33" s="279"/>
      <c r="S33" s="279">
        <v>48</v>
      </c>
      <c r="T33" s="279">
        <v>50</v>
      </c>
      <c r="U33" s="279"/>
      <c r="V33" s="279"/>
      <c r="W33" s="279"/>
      <c r="X33" s="279"/>
      <c r="Y33" s="274"/>
    </row>
    <row r="34" spans="2:25" x14ac:dyDescent="0.2">
      <c r="B34" s="767" t="s">
        <v>244</v>
      </c>
      <c r="C34" s="264" t="str">
        <f>IF(OR(_User_Type="Artsen",_User_Type="Supervisor"), _User_LastName&amp;", "&amp;_User_FirstName,"")</f>
        <v/>
      </c>
      <c r="D34" s="265"/>
      <c r="E34" s="264"/>
      <c r="F34" s="264"/>
      <c r="G34" s="278"/>
      <c r="H34" s="264"/>
      <c r="I34" s="264"/>
      <c r="J34" s="279"/>
      <c r="K34" s="279"/>
      <c r="L34" s="279"/>
      <c r="M34" s="279"/>
      <c r="N34" s="279"/>
      <c r="O34" s="279"/>
      <c r="P34" s="279"/>
      <c r="Q34" s="279"/>
      <c r="R34" s="279"/>
      <c r="S34" s="279">
        <v>49</v>
      </c>
      <c r="T34" s="279">
        <v>50</v>
      </c>
      <c r="U34" s="279"/>
      <c r="V34" s="279"/>
      <c r="W34" s="279"/>
      <c r="X34" s="279"/>
      <c r="Y34" s="274"/>
    </row>
    <row r="35" spans="2:25" x14ac:dyDescent="0.2">
      <c r="B35" s="768"/>
      <c r="C35" s="264"/>
      <c r="D35" s="264"/>
      <c r="E35" s="264"/>
      <c r="F35" s="264"/>
      <c r="G35" s="264"/>
      <c r="H35" s="264"/>
      <c r="I35" s="264"/>
      <c r="J35" s="279"/>
      <c r="K35" s="279"/>
      <c r="L35" s="279"/>
      <c r="M35" s="279"/>
      <c r="N35" s="279"/>
      <c r="O35" s="279"/>
      <c r="P35" s="279"/>
      <c r="Q35" s="279"/>
      <c r="R35" s="279"/>
      <c r="S35" s="279">
        <v>50</v>
      </c>
      <c r="T35" s="279">
        <v>50</v>
      </c>
      <c r="U35" s="279">
        <v>50</v>
      </c>
      <c r="V35" s="279"/>
      <c r="W35" s="279"/>
      <c r="X35" s="279"/>
      <c r="Y35" s="274"/>
    </row>
    <row r="36" spans="2:25" x14ac:dyDescent="0.2">
      <c r="B36" s="769" t="s">
        <v>67</v>
      </c>
      <c r="C36" s="266"/>
      <c r="D36" s="264"/>
      <c r="E36" s="264"/>
      <c r="F36" s="264"/>
      <c r="G36" s="264"/>
      <c r="H36" s="264"/>
      <c r="I36" s="264"/>
      <c r="J36" s="279"/>
      <c r="K36" s="279"/>
      <c r="L36" s="279"/>
      <c r="M36" s="279"/>
      <c r="N36" s="279"/>
      <c r="O36" s="279"/>
      <c r="P36" s="279"/>
      <c r="Q36" s="279"/>
      <c r="R36" s="279"/>
      <c r="S36" s="279">
        <v>51</v>
      </c>
      <c r="T36" s="279">
        <v>70</v>
      </c>
      <c r="U36" s="279"/>
      <c r="V36" s="279"/>
      <c r="W36" s="279"/>
      <c r="X36" s="279"/>
      <c r="Y36" s="274"/>
    </row>
    <row r="37" spans="2:25" x14ac:dyDescent="0.2">
      <c r="B37" s="15"/>
      <c r="C37" s="13"/>
      <c r="D37" s="13"/>
      <c r="E37" s="13"/>
      <c r="F37" s="13"/>
      <c r="G37" s="13"/>
      <c r="H37" s="13"/>
      <c r="I37" s="13"/>
      <c r="J37" s="158"/>
      <c r="K37" s="158"/>
      <c r="L37" s="158"/>
      <c r="M37" s="158"/>
      <c r="N37" s="158"/>
      <c r="O37" s="158"/>
      <c r="P37" s="158"/>
      <c r="Q37" s="158"/>
      <c r="R37" s="158"/>
      <c r="S37" s="158">
        <v>50</v>
      </c>
      <c r="T37" s="158">
        <v>50</v>
      </c>
      <c r="U37" s="158">
        <v>50</v>
      </c>
      <c r="V37" s="158"/>
      <c r="W37" s="158"/>
      <c r="X37" s="158"/>
      <c r="Y37" s="37"/>
    </row>
    <row r="38" spans="2:25" x14ac:dyDescent="0.2">
      <c r="B38" s="15"/>
      <c r="C38" s="13"/>
      <c r="D38" s="13"/>
      <c r="E38" s="13"/>
      <c r="F38" s="13"/>
      <c r="G38" s="13"/>
      <c r="H38" s="13"/>
      <c r="I38" s="13"/>
      <c r="J38" s="158"/>
      <c r="K38" s="158"/>
      <c r="L38" s="158"/>
      <c r="M38" s="158"/>
      <c r="N38" s="158"/>
      <c r="O38" s="158"/>
      <c r="P38" s="158"/>
      <c r="Q38" s="158"/>
      <c r="R38" s="158"/>
      <c r="S38" s="158">
        <v>51</v>
      </c>
      <c r="T38" s="158">
        <v>70</v>
      </c>
      <c r="U38" s="158"/>
      <c r="V38" s="158"/>
      <c r="W38" s="158"/>
      <c r="X38" s="158"/>
      <c r="Y38" s="37"/>
    </row>
    <row r="39" spans="2:25" x14ac:dyDescent="0.2">
      <c r="B39" s="15"/>
      <c r="C39" s="13"/>
      <c r="D39" s="13"/>
      <c r="E39" s="13"/>
      <c r="F39" s="13"/>
      <c r="G39" s="13"/>
      <c r="H39" s="13"/>
      <c r="I39" s="13"/>
      <c r="J39" s="158"/>
      <c r="K39" s="158"/>
      <c r="L39" s="158"/>
      <c r="M39" s="158"/>
      <c r="N39" s="158"/>
      <c r="O39" s="158"/>
      <c r="P39" s="158"/>
      <c r="Q39" s="158"/>
      <c r="R39" s="158"/>
      <c r="S39" s="158">
        <v>52</v>
      </c>
      <c r="T39" s="158">
        <v>70</v>
      </c>
      <c r="U39" s="158"/>
      <c r="V39" s="158"/>
      <c r="W39" s="158"/>
      <c r="X39" s="158"/>
      <c r="Y39" s="37"/>
    </row>
    <row r="40" spans="2:25" x14ac:dyDescent="0.2">
      <c r="B40" s="15"/>
      <c r="C40" s="13"/>
      <c r="D40" s="13"/>
      <c r="E40" s="13"/>
      <c r="F40" s="13"/>
      <c r="G40" s="13"/>
      <c r="H40" s="13"/>
      <c r="I40" s="13"/>
      <c r="J40" s="158"/>
      <c r="K40" s="158"/>
      <c r="L40" s="158"/>
      <c r="M40" s="158"/>
      <c r="N40" s="158"/>
      <c r="O40" s="158"/>
      <c r="P40" s="158"/>
      <c r="Q40" s="158"/>
      <c r="R40" s="158"/>
      <c r="S40" s="158">
        <v>53</v>
      </c>
      <c r="T40" s="158">
        <v>70</v>
      </c>
      <c r="U40" s="158"/>
      <c r="V40" s="158"/>
      <c r="W40" s="158"/>
      <c r="X40" s="158"/>
      <c r="Y40" s="37"/>
    </row>
    <row r="41" spans="2:25" x14ac:dyDescent="0.2">
      <c r="B41" s="15"/>
      <c r="C41" s="13"/>
      <c r="D41" s="13"/>
      <c r="E41" s="13"/>
      <c r="F41" s="13"/>
      <c r="G41" s="13"/>
      <c r="H41" s="13"/>
      <c r="I41" s="13"/>
      <c r="J41" s="158"/>
      <c r="K41" s="158"/>
      <c r="L41" s="158"/>
      <c r="M41" s="158"/>
      <c r="N41" s="158"/>
      <c r="O41" s="158"/>
      <c r="P41" s="158"/>
      <c r="Q41" s="158"/>
      <c r="R41" s="158"/>
      <c r="S41" s="158">
        <v>54</v>
      </c>
      <c r="T41" s="158">
        <v>70</v>
      </c>
      <c r="U41" s="158"/>
      <c r="V41" s="158"/>
      <c r="W41" s="158"/>
      <c r="X41" s="158"/>
      <c r="Y41" s="37"/>
    </row>
    <row r="42" spans="2:25" x14ac:dyDescent="0.2">
      <c r="B42" s="15"/>
      <c r="C42" s="13"/>
      <c r="D42" s="13"/>
      <c r="E42" s="13"/>
      <c r="F42" s="13"/>
      <c r="G42" s="13"/>
      <c r="H42" s="13"/>
      <c r="I42" s="13"/>
      <c r="J42" s="158"/>
      <c r="K42" s="158"/>
      <c r="L42" s="158"/>
      <c r="M42" s="158"/>
      <c r="N42" s="158"/>
      <c r="O42" s="158"/>
      <c r="P42" s="158"/>
      <c r="Q42" s="158"/>
      <c r="R42" s="158"/>
      <c r="S42" s="158">
        <v>55</v>
      </c>
      <c r="T42" s="158">
        <v>70</v>
      </c>
      <c r="U42" s="158"/>
      <c r="V42" s="158"/>
      <c r="W42" s="158"/>
      <c r="X42" s="158"/>
      <c r="Y42" s="37"/>
    </row>
    <row r="43" spans="2:25" x14ac:dyDescent="0.2">
      <c r="B43" s="15"/>
      <c r="C43" s="13"/>
      <c r="D43" s="13"/>
      <c r="E43" s="13"/>
      <c r="F43" s="13"/>
      <c r="G43" s="13"/>
      <c r="H43" s="13"/>
      <c r="I43" s="13"/>
      <c r="J43" s="158"/>
      <c r="K43" s="158"/>
      <c r="L43" s="158"/>
      <c r="M43" s="158"/>
      <c r="N43" s="158"/>
      <c r="O43" s="158"/>
      <c r="P43" s="158"/>
      <c r="Q43" s="158"/>
      <c r="R43" s="158"/>
      <c r="S43" s="158">
        <v>56</v>
      </c>
      <c r="T43" s="158">
        <v>70</v>
      </c>
      <c r="U43" s="158"/>
      <c r="V43" s="158"/>
      <c r="W43" s="158"/>
      <c r="X43" s="158"/>
      <c r="Y43" s="37"/>
    </row>
    <row r="44" spans="2:25" x14ac:dyDescent="0.2">
      <c r="B44" s="15"/>
      <c r="C44" s="13"/>
      <c r="D44" s="13"/>
      <c r="E44" s="13"/>
      <c r="F44" s="13"/>
      <c r="G44" s="13"/>
      <c r="H44" s="13"/>
      <c r="I44" s="13"/>
      <c r="J44" s="158"/>
      <c r="K44" s="158"/>
      <c r="L44" s="158"/>
      <c r="M44" s="158"/>
      <c r="N44" s="158"/>
      <c r="O44" s="158"/>
      <c r="P44" s="158"/>
      <c r="Q44" s="158"/>
      <c r="R44" s="158"/>
      <c r="S44" s="158">
        <v>57</v>
      </c>
      <c r="T44" s="158">
        <v>70</v>
      </c>
      <c r="U44" s="158"/>
      <c r="V44" s="158"/>
      <c r="W44" s="158"/>
      <c r="X44" s="158"/>
      <c r="Y44" s="37"/>
    </row>
    <row r="45" spans="2:25" x14ac:dyDescent="0.2">
      <c r="B45" s="15"/>
      <c r="C45" s="13"/>
      <c r="D45" s="13"/>
      <c r="E45" s="13"/>
      <c r="F45" s="13"/>
      <c r="G45" s="13"/>
      <c r="H45" s="13"/>
      <c r="I45" s="13"/>
      <c r="J45" s="158"/>
      <c r="K45" s="158"/>
      <c r="L45" s="158"/>
      <c r="M45" s="158"/>
      <c r="N45" s="158"/>
      <c r="O45" s="158"/>
      <c r="P45" s="158"/>
      <c r="Q45" s="158"/>
      <c r="R45" s="158"/>
      <c r="S45" s="158">
        <v>58</v>
      </c>
      <c r="T45" s="158">
        <v>70</v>
      </c>
      <c r="U45" s="158"/>
      <c r="V45" s="158"/>
      <c r="W45" s="158"/>
      <c r="X45" s="158"/>
      <c r="Y45" s="37"/>
    </row>
    <row r="46" spans="2:25" x14ac:dyDescent="0.2">
      <c r="B46" s="15"/>
      <c r="C46" s="13"/>
      <c r="D46" s="13"/>
      <c r="E46" s="13"/>
      <c r="F46" s="13"/>
      <c r="G46" s="13"/>
      <c r="H46" s="13"/>
      <c r="I46" s="13"/>
      <c r="J46" s="158"/>
      <c r="K46" s="158"/>
      <c r="L46" s="158"/>
      <c r="M46" s="158"/>
      <c r="N46" s="158"/>
      <c r="O46" s="158"/>
      <c r="P46" s="158"/>
      <c r="Q46" s="158"/>
      <c r="R46" s="158"/>
      <c r="S46" s="158">
        <v>59</v>
      </c>
      <c r="T46" s="158">
        <v>70</v>
      </c>
      <c r="U46" s="158"/>
      <c r="V46" s="158"/>
      <c r="W46" s="158"/>
      <c r="X46" s="158"/>
      <c r="Y46" s="37"/>
    </row>
    <row r="47" spans="2:25" x14ac:dyDescent="0.2">
      <c r="B47" s="15"/>
      <c r="C47" s="13"/>
      <c r="D47" s="13"/>
      <c r="E47" s="13"/>
      <c r="F47" s="13"/>
      <c r="G47" s="13"/>
      <c r="H47" s="13"/>
      <c r="I47" s="13"/>
      <c r="J47" s="158"/>
      <c r="K47" s="158"/>
      <c r="L47" s="158"/>
      <c r="M47" s="158"/>
      <c r="N47" s="158"/>
      <c r="O47" s="158"/>
      <c r="P47" s="158"/>
      <c r="Q47" s="158"/>
      <c r="R47" s="158"/>
      <c r="S47" s="158">
        <v>60</v>
      </c>
      <c r="T47" s="158">
        <v>70</v>
      </c>
      <c r="U47" s="158"/>
      <c r="V47" s="158"/>
      <c r="W47" s="158"/>
      <c r="X47" s="158"/>
      <c r="Y47" s="37"/>
    </row>
    <row r="48" spans="2:25" x14ac:dyDescent="0.2">
      <c r="B48" s="15"/>
      <c r="C48" s="13"/>
      <c r="D48" s="13"/>
      <c r="E48" s="13"/>
      <c r="F48" s="13"/>
      <c r="G48" s="13"/>
      <c r="H48" s="13"/>
      <c r="I48" s="13"/>
      <c r="J48" s="158"/>
      <c r="K48" s="158"/>
      <c r="L48" s="158"/>
      <c r="M48" s="158"/>
      <c r="N48" s="158"/>
      <c r="O48" s="158"/>
      <c r="P48" s="158"/>
      <c r="Q48" s="158"/>
      <c r="R48" s="158"/>
      <c r="S48" s="158">
        <v>61</v>
      </c>
      <c r="T48" s="158">
        <v>70</v>
      </c>
      <c r="U48" s="158"/>
      <c r="V48" s="158"/>
      <c r="W48" s="158"/>
      <c r="X48" s="158"/>
      <c r="Y48" s="37"/>
    </row>
    <row r="49" spans="2:25" x14ac:dyDescent="0.2">
      <c r="B49" s="15"/>
      <c r="C49" s="13"/>
      <c r="D49" s="13"/>
      <c r="E49" s="13"/>
      <c r="F49" s="13"/>
      <c r="G49" s="13"/>
      <c r="H49" s="13"/>
      <c r="I49" s="13"/>
      <c r="J49" s="158"/>
      <c r="K49" s="158"/>
      <c r="L49" s="158"/>
      <c r="M49" s="158"/>
      <c r="N49" s="158"/>
      <c r="O49" s="158"/>
      <c r="P49" s="158"/>
      <c r="Q49" s="158"/>
      <c r="R49" s="158"/>
      <c r="S49" s="158">
        <v>62</v>
      </c>
      <c r="T49" s="158">
        <v>70</v>
      </c>
      <c r="U49" s="158"/>
      <c r="V49" s="158"/>
      <c r="W49" s="158"/>
      <c r="X49" s="158"/>
      <c r="Y49" s="37"/>
    </row>
    <row r="50" spans="2:25" x14ac:dyDescent="0.2">
      <c r="B50" s="15"/>
      <c r="C50" s="13"/>
      <c r="D50" s="13"/>
      <c r="E50" s="13"/>
      <c r="F50" s="13"/>
      <c r="G50" s="13"/>
      <c r="H50" s="13"/>
      <c r="I50" s="13"/>
      <c r="J50" s="158"/>
      <c r="K50" s="158"/>
      <c r="L50" s="158"/>
      <c r="M50" s="158"/>
      <c r="N50" s="158"/>
      <c r="O50" s="158"/>
      <c r="P50" s="158"/>
      <c r="Q50" s="158"/>
      <c r="R50" s="158"/>
      <c r="S50" s="158">
        <v>63</v>
      </c>
      <c r="T50" s="158">
        <v>70</v>
      </c>
      <c r="U50" s="158"/>
      <c r="V50" s="158"/>
      <c r="W50" s="158"/>
      <c r="X50" s="158"/>
      <c r="Y50" s="37"/>
    </row>
    <row r="51" spans="2:25" x14ac:dyDescent="0.2">
      <c r="B51" s="15"/>
      <c r="C51" s="13"/>
      <c r="D51" s="13"/>
      <c r="E51" s="13"/>
      <c r="F51" s="13"/>
      <c r="G51" s="13"/>
      <c r="H51" s="13"/>
      <c r="I51" s="13"/>
      <c r="J51" s="158"/>
      <c r="K51" s="158"/>
      <c r="L51" s="158"/>
      <c r="M51" s="158"/>
      <c r="N51" s="158"/>
      <c r="O51" s="158"/>
      <c r="P51" s="158"/>
      <c r="Q51" s="158"/>
      <c r="R51" s="158"/>
      <c r="S51" s="158">
        <v>64</v>
      </c>
      <c r="T51" s="158">
        <v>70</v>
      </c>
      <c r="U51" s="158"/>
      <c r="V51" s="158"/>
      <c r="W51" s="158"/>
      <c r="X51" s="158"/>
      <c r="Y51" s="37"/>
    </row>
    <row r="52" spans="2:25" x14ac:dyDescent="0.2">
      <c r="B52" s="15"/>
      <c r="C52" s="13"/>
      <c r="D52" s="13"/>
      <c r="E52" s="13"/>
      <c r="F52" s="13"/>
      <c r="G52" s="13"/>
      <c r="H52" s="13"/>
      <c r="I52" s="13"/>
      <c r="J52" s="158"/>
      <c r="K52" s="158"/>
      <c r="L52" s="158"/>
      <c r="M52" s="158"/>
      <c r="N52" s="158"/>
      <c r="O52" s="158"/>
      <c r="P52" s="158"/>
      <c r="Q52" s="158"/>
      <c r="R52" s="158"/>
      <c r="S52" s="158">
        <v>65</v>
      </c>
      <c r="T52" s="158">
        <v>70</v>
      </c>
      <c r="U52" s="158"/>
      <c r="V52" s="158"/>
      <c r="W52" s="158"/>
      <c r="X52" s="158"/>
      <c r="Y52" s="37"/>
    </row>
    <row r="53" spans="2:25" x14ac:dyDescent="0.2">
      <c r="B53" s="15"/>
      <c r="C53" s="13"/>
      <c r="D53" s="13"/>
      <c r="E53" s="13"/>
      <c r="F53" s="13"/>
      <c r="G53" s="13"/>
      <c r="H53" s="13"/>
      <c r="I53" s="13"/>
      <c r="J53" s="158"/>
      <c r="K53" s="158"/>
      <c r="L53" s="158"/>
      <c r="M53" s="158"/>
      <c r="N53" s="158"/>
      <c r="O53" s="158"/>
      <c r="P53" s="158"/>
      <c r="Q53" s="158"/>
      <c r="R53" s="158"/>
      <c r="S53" s="158">
        <v>66</v>
      </c>
      <c r="T53" s="158">
        <v>70</v>
      </c>
      <c r="U53" s="158"/>
      <c r="V53" s="158"/>
      <c r="W53" s="158"/>
      <c r="X53" s="158"/>
      <c r="Y53" s="37"/>
    </row>
    <row r="54" spans="2:25" x14ac:dyDescent="0.2">
      <c r="B54" s="15"/>
      <c r="C54" s="13"/>
      <c r="D54" s="13"/>
      <c r="E54" s="13"/>
      <c r="F54" s="13"/>
      <c r="G54" s="13"/>
      <c r="H54" s="13"/>
      <c r="I54" s="13"/>
      <c r="J54" s="158"/>
      <c r="K54" s="158"/>
      <c r="L54" s="158"/>
      <c r="M54" s="158"/>
      <c r="N54" s="158"/>
      <c r="O54" s="158"/>
      <c r="P54" s="158"/>
      <c r="Q54" s="158"/>
      <c r="R54" s="158"/>
      <c r="S54" s="158">
        <v>67</v>
      </c>
      <c r="T54" s="158">
        <v>70</v>
      </c>
      <c r="U54" s="158"/>
      <c r="V54" s="158"/>
      <c r="W54" s="158"/>
      <c r="X54" s="158"/>
      <c r="Y54" s="37"/>
    </row>
    <row r="55" spans="2:25" x14ac:dyDescent="0.2">
      <c r="B55" s="15"/>
      <c r="C55" s="13"/>
      <c r="D55" s="13"/>
      <c r="E55" s="13"/>
      <c r="F55" s="13"/>
      <c r="G55" s="13"/>
      <c r="H55" s="13"/>
      <c r="I55" s="13"/>
      <c r="J55" s="158"/>
      <c r="K55" s="158"/>
      <c r="L55" s="158"/>
      <c r="M55" s="158"/>
      <c r="N55" s="158"/>
      <c r="O55" s="158"/>
      <c r="P55" s="158"/>
      <c r="Q55" s="158"/>
      <c r="R55" s="158"/>
      <c r="S55" s="158">
        <v>68</v>
      </c>
      <c r="T55" s="158">
        <v>70</v>
      </c>
      <c r="U55" s="158"/>
      <c r="V55" s="158"/>
      <c r="W55" s="158"/>
      <c r="X55" s="158"/>
      <c r="Y55" s="37"/>
    </row>
    <row r="56" spans="2:25" x14ac:dyDescent="0.2">
      <c r="B56" s="15"/>
      <c r="C56" s="13"/>
      <c r="D56" s="13"/>
      <c r="E56" s="13"/>
      <c r="F56" s="13"/>
      <c r="G56" s="13"/>
      <c r="H56" s="13"/>
      <c r="I56" s="13"/>
      <c r="J56" s="158"/>
      <c r="K56" s="158"/>
      <c r="L56" s="158"/>
      <c r="M56" s="158"/>
      <c r="N56" s="158"/>
      <c r="O56" s="158"/>
      <c r="P56" s="158"/>
      <c r="Q56" s="158"/>
      <c r="R56" s="158"/>
      <c r="S56" s="158">
        <v>69</v>
      </c>
      <c r="T56" s="158">
        <v>70</v>
      </c>
      <c r="U56" s="158"/>
      <c r="V56" s="158"/>
      <c r="W56" s="158"/>
      <c r="X56" s="158"/>
      <c r="Y56" s="37"/>
    </row>
    <row r="57" spans="2:25" x14ac:dyDescent="0.2">
      <c r="B57" s="15"/>
      <c r="C57" s="13"/>
      <c r="D57" s="13"/>
      <c r="E57" s="13"/>
      <c r="F57" s="13"/>
      <c r="G57" s="13"/>
      <c r="H57" s="13"/>
      <c r="I57" s="13"/>
      <c r="J57" s="158"/>
      <c r="K57" s="158"/>
      <c r="L57" s="158"/>
      <c r="M57" s="158"/>
      <c r="N57" s="158"/>
      <c r="O57" s="158"/>
      <c r="P57" s="158"/>
      <c r="Q57" s="158"/>
      <c r="R57" s="158"/>
      <c r="S57" s="158">
        <v>70</v>
      </c>
      <c r="T57" s="158">
        <v>70</v>
      </c>
      <c r="U57" s="158">
        <v>70</v>
      </c>
      <c r="V57" s="158"/>
      <c r="W57" s="158"/>
      <c r="X57" s="158"/>
      <c r="Y57" s="37"/>
    </row>
    <row r="58" spans="2:25" x14ac:dyDescent="0.2">
      <c r="B58" s="15"/>
      <c r="C58" s="13"/>
      <c r="D58" s="13"/>
      <c r="E58" s="13"/>
      <c r="F58" s="13"/>
      <c r="G58" s="13"/>
      <c r="H58" s="13"/>
      <c r="I58" s="13"/>
      <c r="J58" s="158"/>
      <c r="K58" s="158"/>
      <c r="L58" s="158"/>
      <c r="M58" s="158"/>
      <c r="N58" s="158"/>
      <c r="O58" s="158"/>
      <c r="P58" s="158"/>
      <c r="Q58" s="158"/>
      <c r="R58" s="158"/>
      <c r="S58" s="158">
        <v>71</v>
      </c>
      <c r="T58" s="158">
        <v>100</v>
      </c>
      <c r="U58" s="158"/>
      <c r="V58" s="158"/>
      <c r="W58" s="158"/>
      <c r="X58" s="158"/>
      <c r="Y58" s="37"/>
    </row>
    <row r="59" spans="2:25" x14ac:dyDescent="0.2">
      <c r="B59" s="15"/>
      <c r="C59" s="13"/>
      <c r="D59" s="13"/>
      <c r="E59" s="13"/>
      <c r="F59" s="13"/>
      <c r="G59" s="13"/>
      <c r="H59" s="13"/>
      <c r="I59" s="13"/>
      <c r="J59" s="158"/>
      <c r="K59" s="158"/>
      <c r="L59" s="158"/>
      <c r="M59" s="158"/>
      <c r="N59" s="158"/>
      <c r="O59" s="158"/>
      <c r="P59" s="158"/>
      <c r="Q59" s="158"/>
      <c r="R59" s="158"/>
      <c r="S59" s="158">
        <v>72</v>
      </c>
      <c r="T59" s="158">
        <v>100</v>
      </c>
      <c r="U59" s="158"/>
      <c r="V59" s="158"/>
      <c r="W59" s="158"/>
      <c r="X59" s="158"/>
      <c r="Y59" s="37"/>
    </row>
    <row r="60" spans="2:25" x14ac:dyDescent="0.2">
      <c r="B60" s="15"/>
      <c r="C60" s="13"/>
      <c r="D60" s="13"/>
      <c r="E60" s="13"/>
      <c r="F60" s="13"/>
      <c r="G60" s="13"/>
      <c r="H60" s="13"/>
      <c r="I60" s="13"/>
      <c r="J60" s="158"/>
      <c r="K60" s="158"/>
      <c r="L60" s="158"/>
      <c r="M60" s="158"/>
      <c r="N60" s="158"/>
      <c r="O60" s="158"/>
      <c r="P60" s="158"/>
      <c r="Q60" s="158"/>
      <c r="R60" s="158"/>
      <c r="S60" s="158">
        <v>73</v>
      </c>
      <c r="T60" s="158">
        <v>100</v>
      </c>
      <c r="U60" s="158"/>
      <c r="V60" s="158"/>
      <c r="W60" s="158"/>
      <c r="X60" s="158"/>
      <c r="Y60" s="37"/>
    </row>
    <row r="61" spans="2:25" x14ac:dyDescent="0.2">
      <c r="B61" s="15"/>
      <c r="C61" s="13"/>
      <c r="D61" s="13"/>
      <c r="E61" s="13"/>
      <c r="F61" s="13"/>
      <c r="G61" s="13"/>
      <c r="H61" s="13"/>
      <c r="I61" s="13"/>
      <c r="J61" s="158"/>
      <c r="K61" s="158"/>
      <c r="L61" s="158"/>
      <c r="M61" s="158"/>
      <c r="N61" s="158"/>
      <c r="O61" s="158"/>
      <c r="P61" s="158"/>
      <c r="Q61" s="158"/>
      <c r="R61" s="158"/>
      <c r="S61" s="158">
        <v>74</v>
      </c>
      <c r="T61" s="158">
        <v>100</v>
      </c>
      <c r="U61" s="158"/>
      <c r="V61" s="158"/>
      <c r="W61" s="158"/>
      <c r="X61" s="158"/>
      <c r="Y61" s="37"/>
    </row>
    <row r="62" spans="2:25" x14ac:dyDescent="0.2">
      <c r="B62" s="15"/>
      <c r="C62" s="13"/>
      <c r="D62" s="13"/>
      <c r="E62" s="13"/>
      <c r="F62" s="13"/>
      <c r="G62" s="13"/>
      <c r="H62" s="13"/>
      <c r="I62" s="13"/>
      <c r="J62" s="158"/>
      <c r="K62" s="158"/>
      <c r="L62" s="158"/>
      <c r="M62" s="158"/>
      <c r="N62" s="158"/>
      <c r="O62" s="158"/>
      <c r="P62" s="158"/>
      <c r="Q62" s="158"/>
      <c r="R62" s="158"/>
      <c r="S62" s="158">
        <v>75</v>
      </c>
      <c r="T62" s="158">
        <v>100</v>
      </c>
      <c r="U62" s="158"/>
      <c r="V62" s="158"/>
      <c r="W62" s="158"/>
      <c r="X62" s="158"/>
      <c r="Y62" s="37"/>
    </row>
    <row r="63" spans="2:25" x14ac:dyDescent="0.2">
      <c r="B63" s="15"/>
      <c r="C63" s="13"/>
      <c r="D63" s="13"/>
      <c r="E63" s="13"/>
      <c r="F63" s="13"/>
      <c r="G63" s="13"/>
      <c r="H63" s="13"/>
      <c r="I63" s="13"/>
      <c r="J63" s="158"/>
      <c r="K63" s="158"/>
      <c r="L63" s="158"/>
      <c r="M63" s="158"/>
      <c r="N63" s="158"/>
      <c r="O63" s="158"/>
      <c r="P63" s="158"/>
      <c r="Q63" s="158"/>
      <c r="R63" s="158"/>
      <c r="S63" s="158">
        <v>76</v>
      </c>
      <c r="T63" s="158">
        <v>100</v>
      </c>
      <c r="U63" s="158"/>
      <c r="V63" s="158"/>
      <c r="W63" s="158"/>
      <c r="X63" s="158"/>
      <c r="Y63" s="37"/>
    </row>
    <row r="64" spans="2:25" x14ac:dyDescent="0.2">
      <c r="H64" s="13"/>
      <c r="I64" s="13"/>
      <c r="J64" s="158"/>
      <c r="K64" s="158"/>
      <c r="L64" s="158"/>
      <c r="M64" s="158"/>
      <c r="N64" s="158"/>
      <c r="O64" s="158"/>
      <c r="P64" s="158"/>
      <c r="Q64" s="158"/>
      <c r="R64" s="158"/>
      <c r="S64" s="158">
        <v>77</v>
      </c>
      <c r="T64" s="158">
        <v>100</v>
      </c>
      <c r="U64" s="158"/>
      <c r="V64" s="158"/>
      <c r="W64" s="158"/>
      <c r="X64" s="158"/>
      <c r="Y64" s="37"/>
    </row>
    <row r="65" spans="10:25" x14ac:dyDescent="0.2">
      <c r="J65" s="158"/>
      <c r="K65" s="158"/>
      <c r="L65" s="158"/>
      <c r="M65" s="158"/>
      <c r="N65" s="158"/>
      <c r="O65" s="158"/>
      <c r="P65" s="158"/>
      <c r="Q65" s="158"/>
      <c r="R65" s="158"/>
      <c r="S65" s="158">
        <v>78</v>
      </c>
      <c r="T65" s="158">
        <v>100</v>
      </c>
      <c r="U65" s="158"/>
      <c r="V65" s="158"/>
      <c r="W65" s="158"/>
      <c r="X65" s="158"/>
      <c r="Y65" s="37"/>
    </row>
    <row r="66" spans="10:25" x14ac:dyDescent="0.2">
      <c r="J66" s="158"/>
      <c r="K66" s="158"/>
      <c r="L66" s="158"/>
      <c r="M66" s="158"/>
      <c r="N66" s="158"/>
      <c r="O66" s="158"/>
      <c r="P66" s="158"/>
      <c r="Q66" s="158"/>
      <c r="R66" s="158"/>
      <c r="S66" s="158">
        <v>79</v>
      </c>
      <c r="T66" s="158">
        <v>100</v>
      </c>
      <c r="U66" s="158"/>
      <c r="V66" s="158"/>
      <c r="W66" s="158"/>
      <c r="X66" s="158"/>
      <c r="Y66" s="37"/>
    </row>
    <row r="67" spans="10:25" x14ac:dyDescent="0.2">
      <c r="J67" s="158"/>
      <c r="K67" s="158"/>
      <c r="L67" s="158"/>
      <c r="M67" s="158"/>
      <c r="N67" s="158"/>
      <c r="O67" s="158"/>
      <c r="P67" s="158"/>
      <c r="Q67" s="158"/>
      <c r="R67" s="158"/>
      <c r="S67" s="158">
        <v>80</v>
      </c>
      <c r="T67" s="158">
        <v>100</v>
      </c>
      <c r="U67" s="158"/>
      <c r="V67" s="158"/>
      <c r="W67" s="158"/>
      <c r="X67" s="158"/>
      <c r="Y67" s="37"/>
    </row>
    <row r="68" spans="10:25" x14ac:dyDescent="0.2">
      <c r="J68" s="158"/>
      <c r="K68" s="158"/>
      <c r="L68" s="158"/>
      <c r="M68" s="158"/>
      <c r="N68" s="158"/>
      <c r="O68" s="158"/>
      <c r="P68" s="158"/>
      <c r="Q68" s="158"/>
      <c r="R68" s="158"/>
      <c r="S68" s="158">
        <v>81</v>
      </c>
      <c r="T68" s="158">
        <v>100</v>
      </c>
      <c r="U68" s="158"/>
      <c r="V68" s="158"/>
      <c r="W68" s="158"/>
      <c r="X68" s="158"/>
      <c r="Y68" s="37"/>
    </row>
    <row r="69" spans="10:25" x14ac:dyDescent="0.2">
      <c r="J69" s="158"/>
      <c r="K69" s="158"/>
      <c r="L69" s="158"/>
      <c r="M69" s="158"/>
      <c r="N69" s="158"/>
      <c r="O69" s="158"/>
      <c r="P69" s="158"/>
      <c r="Q69" s="158"/>
      <c r="R69" s="158"/>
      <c r="S69" s="158">
        <v>82</v>
      </c>
      <c r="T69" s="158">
        <v>100</v>
      </c>
      <c r="U69" s="158"/>
      <c r="V69" s="158"/>
      <c r="W69" s="158"/>
      <c r="X69" s="158"/>
      <c r="Y69" s="37"/>
    </row>
    <row r="70" spans="10:25" x14ac:dyDescent="0.2">
      <c r="J70" s="158"/>
      <c r="K70" s="158"/>
      <c r="L70" s="158"/>
      <c r="M70" s="158"/>
      <c r="N70" s="158"/>
      <c r="O70" s="158"/>
      <c r="P70" s="158"/>
      <c r="Q70" s="158"/>
      <c r="R70" s="158"/>
      <c r="S70" s="158">
        <v>83</v>
      </c>
      <c r="T70" s="158">
        <v>100</v>
      </c>
      <c r="U70" s="158"/>
      <c r="V70" s="158"/>
      <c r="W70" s="158"/>
      <c r="X70" s="158"/>
      <c r="Y70" s="37"/>
    </row>
    <row r="71" spans="10:25" x14ac:dyDescent="0.2">
      <c r="J71" s="158"/>
      <c r="K71" s="158"/>
      <c r="L71" s="158"/>
      <c r="M71" s="158"/>
      <c r="N71" s="158"/>
      <c r="O71" s="158"/>
      <c r="P71" s="158"/>
      <c r="Q71" s="158"/>
      <c r="R71" s="158"/>
      <c r="S71" s="158">
        <v>84</v>
      </c>
      <c r="T71" s="158">
        <v>100</v>
      </c>
      <c r="U71" s="158"/>
      <c r="V71" s="158"/>
      <c r="W71" s="158"/>
      <c r="X71" s="158"/>
      <c r="Y71" s="37"/>
    </row>
    <row r="72" spans="10:25" x14ac:dyDescent="0.2">
      <c r="J72" s="158"/>
      <c r="K72" s="158"/>
      <c r="L72" s="158"/>
      <c r="M72" s="158"/>
      <c r="N72" s="158"/>
      <c r="O72" s="158"/>
      <c r="P72" s="158"/>
      <c r="Q72" s="158"/>
      <c r="R72" s="158"/>
      <c r="S72" s="158">
        <v>85</v>
      </c>
      <c r="T72" s="158">
        <v>100</v>
      </c>
      <c r="U72" s="158"/>
      <c r="V72" s="158"/>
      <c r="W72" s="158"/>
      <c r="X72" s="158"/>
      <c r="Y72" s="37"/>
    </row>
    <row r="73" spans="10:25" x14ac:dyDescent="0.2">
      <c r="J73" s="158"/>
      <c r="K73" s="158"/>
      <c r="L73" s="158"/>
      <c r="M73" s="158"/>
      <c r="N73" s="158"/>
      <c r="O73" s="158"/>
      <c r="P73" s="158"/>
      <c r="Q73" s="158"/>
      <c r="R73" s="158"/>
      <c r="S73" s="158">
        <v>86</v>
      </c>
      <c r="T73" s="158">
        <v>100</v>
      </c>
      <c r="U73" s="158"/>
      <c r="V73" s="158"/>
      <c r="W73" s="158"/>
      <c r="X73" s="158"/>
      <c r="Y73" s="37"/>
    </row>
    <row r="74" spans="10:25" x14ac:dyDescent="0.2">
      <c r="J74" s="158"/>
      <c r="K74" s="158"/>
      <c r="L74" s="158"/>
      <c r="M74" s="158"/>
      <c r="N74" s="158"/>
      <c r="O74" s="158"/>
      <c r="P74" s="158"/>
      <c r="Q74" s="158"/>
      <c r="R74" s="158"/>
      <c r="S74" s="158">
        <v>87</v>
      </c>
      <c r="T74" s="158">
        <v>100</v>
      </c>
      <c r="U74" s="158"/>
      <c r="V74" s="158"/>
      <c r="W74" s="158"/>
      <c r="X74" s="158"/>
      <c r="Y74" s="37"/>
    </row>
    <row r="75" spans="10:25" x14ac:dyDescent="0.2">
      <c r="J75" s="158"/>
      <c r="K75" s="158"/>
      <c r="L75" s="158"/>
      <c r="M75" s="158"/>
      <c r="N75" s="158"/>
      <c r="O75" s="158"/>
      <c r="P75" s="158"/>
      <c r="Q75" s="158"/>
      <c r="R75" s="158"/>
      <c r="S75" s="158">
        <v>88</v>
      </c>
      <c r="T75" s="158">
        <v>100</v>
      </c>
      <c r="U75" s="158"/>
      <c r="V75" s="158"/>
      <c r="W75" s="158"/>
      <c r="X75" s="158"/>
      <c r="Y75" s="37"/>
    </row>
    <row r="76" spans="10:25" x14ac:dyDescent="0.2">
      <c r="J76" s="158"/>
      <c r="K76" s="158"/>
      <c r="L76" s="158"/>
      <c r="M76" s="158"/>
      <c r="N76" s="158"/>
      <c r="O76" s="158"/>
      <c r="P76" s="158"/>
      <c r="Q76" s="158"/>
      <c r="R76" s="158"/>
      <c r="S76" s="158">
        <v>89</v>
      </c>
      <c r="T76" s="158">
        <v>100</v>
      </c>
      <c r="U76" s="158"/>
      <c r="V76" s="158"/>
      <c r="W76" s="158"/>
      <c r="X76" s="158"/>
      <c r="Y76" s="37"/>
    </row>
    <row r="77" spans="10:25" x14ac:dyDescent="0.2">
      <c r="J77" s="158"/>
      <c r="K77" s="158"/>
      <c r="L77" s="158"/>
      <c r="M77" s="158"/>
      <c r="N77" s="158"/>
      <c r="O77" s="158"/>
      <c r="P77" s="158"/>
      <c r="Q77" s="158"/>
      <c r="R77" s="158"/>
      <c r="S77" s="158">
        <v>90</v>
      </c>
      <c r="T77" s="158">
        <v>100</v>
      </c>
      <c r="U77" s="158"/>
      <c r="V77" s="158"/>
      <c r="W77" s="158"/>
      <c r="X77" s="158"/>
      <c r="Y77" s="37"/>
    </row>
    <row r="78" spans="10:25" x14ac:dyDescent="0.2">
      <c r="J78" s="158"/>
      <c r="K78" s="158"/>
      <c r="L78" s="158"/>
      <c r="M78" s="158"/>
      <c r="N78" s="158"/>
      <c r="O78" s="158"/>
      <c r="P78" s="158"/>
      <c r="Q78" s="158"/>
      <c r="R78" s="158"/>
      <c r="S78" s="158">
        <v>91</v>
      </c>
      <c r="T78" s="158">
        <v>100</v>
      </c>
      <c r="U78" s="158"/>
      <c r="V78" s="158"/>
      <c r="W78" s="158"/>
      <c r="X78" s="158"/>
      <c r="Y78" s="37"/>
    </row>
    <row r="79" spans="10:25" x14ac:dyDescent="0.2">
      <c r="J79" s="158"/>
      <c r="K79" s="158"/>
      <c r="L79" s="158"/>
      <c r="M79" s="158"/>
      <c r="N79" s="158"/>
      <c r="O79" s="158"/>
      <c r="P79" s="158"/>
      <c r="Q79" s="158"/>
      <c r="R79" s="158"/>
      <c r="S79" s="158">
        <v>92</v>
      </c>
      <c r="T79" s="158">
        <v>100</v>
      </c>
      <c r="U79" s="158"/>
      <c r="V79" s="158"/>
      <c r="W79" s="158"/>
      <c r="X79" s="158"/>
      <c r="Y79" s="37"/>
    </row>
    <row r="80" spans="10:25" x14ac:dyDescent="0.2">
      <c r="J80" s="158"/>
      <c r="K80" s="158"/>
      <c r="L80" s="158"/>
      <c r="M80" s="158"/>
      <c r="N80" s="158"/>
      <c r="O80" s="158"/>
      <c r="P80" s="158"/>
      <c r="Q80" s="158"/>
      <c r="R80" s="158"/>
      <c r="S80" s="158">
        <v>93</v>
      </c>
      <c r="T80" s="158">
        <v>100</v>
      </c>
      <c r="U80" s="158"/>
      <c r="V80" s="158"/>
      <c r="W80" s="158"/>
      <c r="X80" s="158"/>
      <c r="Y80" s="37"/>
    </row>
    <row r="81" spans="10:25" x14ac:dyDescent="0.2">
      <c r="J81" s="158"/>
      <c r="K81" s="158"/>
      <c r="L81" s="158"/>
      <c r="M81" s="158"/>
      <c r="N81" s="158"/>
      <c r="O81" s="158"/>
      <c r="P81" s="158"/>
      <c r="Q81" s="158"/>
      <c r="R81" s="158"/>
      <c r="S81" s="158">
        <v>94</v>
      </c>
      <c r="T81" s="158">
        <v>100</v>
      </c>
      <c r="U81" s="158"/>
      <c r="V81" s="158"/>
      <c r="W81" s="158"/>
      <c r="X81" s="158"/>
      <c r="Y81" s="37"/>
    </row>
    <row r="82" spans="10:25" x14ac:dyDescent="0.2">
      <c r="J82" s="158"/>
      <c r="K82" s="158"/>
      <c r="L82" s="158"/>
      <c r="M82" s="158"/>
      <c r="N82" s="158"/>
      <c r="O82" s="158"/>
      <c r="P82" s="158"/>
      <c r="Q82" s="158"/>
      <c r="R82" s="158"/>
      <c r="S82" s="158">
        <v>95</v>
      </c>
      <c r="T82" s="158">
        <v>100</v>
      </c>
      <c r="U82" s="158"/>
      <c r="V82" s="158"/>
      <c r="W82" s="158"/>
      <c r="X82" s="158"/>
      <c r="Y82" s="37"/>
    </row>
    <row r="83" spans="10:25" x14ac:dyDescent="0.2">
      <c r="J83" s="158"/>
      <c r="K83" s="158"/>
      <c r="L83" s="158"/>
      <c r="M83" s="158"/>
      <c r="N83" s="158"/>
      <c r="O83" s="158"/>
      <c r="P83" s="158"/>
      <c r="Q83" s="158"/>
      <c r="R83" s="158"/>
      <c r="S83" s="158">
        <v>96</v>
      </c>
      <c r="T83" s="158">
        <v>100</v>
      </c>
      <c r="U83" s="158"/>
      <c r="V83" s="158"/>
      <c r="W83" s="158"/>
      <c r="X83" s="158"/>
      <c r="Y83" s="37"/>
    </row>
    <row r="84" spans="10:25" x14ac:dyDescent="0.2">
      <c r="J84" s="158"/>
      <c r="K84" s="158"/>
      <c r="L84" s="158"/>
      <c r="M84" s="158"/>
      <c r="N84" s="158"/>
      <c r="O84" s="158"/>
      <c r="P84" s="158"/>
      <c r="Q84" s="158"/>
      <c r="R84" s="158"/>
      <c r="S84" s="158">
        <v>97</v>
      </c>
      <c r="T84" s="158">
        <v>100</v>
      </c>
      <c r="U84" s="158"/>
      <c r="V84" s="158"/>
      <c r="W84" s="158"/>
      <c r="X84" s="158"/>
      <c r="Y84" s="37"/>
    </row>
    <row r="85" spans="10:25" x14ac:dyDescent="0.2">
      <c r="J85" s="158"/>
      <c r="K85" s="158"/>
      <c r="L85" s="158"/>
      <c r="M85" s="158"/>
      <c r="N85" s="158"/>
      <c r="O85" s="158"/>
      <c r="P85" s="158"/>
      <c r="Q85" s="158"/>
      <c r="R85" s="158"/>
      <c r="S85" s="158">
        <v>98</v>
      </c>
      <c r="T85" s="158">
        <v>100</v>
      </c>
      <c r="U85" s="158"/>
      <c r="V85" s="158"/>
      <c r="W85" s="158"/>
      <c r="X85" s="158"/>
      <c r="Y85" s="37"/>
    </row>
    <row r="86" spans="10:25" x14ac:dyDescent="0.2">
      <c r="J86" s="158"/>
      <c r="K86" s="158"/>
      <c r="L86" s="158"/>
      <c r="M86" s="158"/>
      <c r="N86" s="158"/>
      <c r="O86" s="158"/>
      <c r="P86" s="158"/>
      <c r="Q86" s="158"/>
      <c r="R86" s="158"/>
      <c r="S86" s="158">
        <v>99</v>
      </c>
      <c r="T86" s="158">
        <v>100</v>
      </c>
      <c r="U86" s="158"/>
      <c r="V86" s="158"/>
      <c r="W86" s="158"/>
      <c r="X86" s="158"/>
      <c r="Y86" s="37"/>
    </row>
    <row r="87" spans="10:25" x14ac:dyDescent="0.2">
      <c r="J87" s="158"/>
      <c r="K87" s="158"/>
      <c r="L87" s="158"/>
      <c r="M87" s="158"/>
      <c r="N87" s="158"/>
      <c r="O87" s="158"/>
      <c r="P87" s="158"/>
      <c r="Q87" s="158"/>
      <c r="R87" s="158"/>
      <c r="S87" s="158">
        <v>100</v>
      </c>
      <c r="T87" s="158">
        <v>100</v>
      </c>
      <c r="U87" s="158">
        <v>100</v>
      </c>
      <c r="V87" s="158"/>
      <c r="W87" s="158"/>
      <c r="X87" s="158"/>
      <c r="Y87" s="37"/>
    </row>
    <row r="88" spans="10:25" x14ac:dyDescent="0.2">
      <c r="J88" s="158"/>
      <c r="K88" s="158"/>
      <c r="L88" s="158"/>
      <c r="M88" s="158"/>
      <c r="N88" s="158"/>
      <c r="O88" s="158"/>
      <c r="P88" s="158"/>
      <c r="Q88" s="158"/>
      <c r="R88" s="158"/>
      <c r="S88" s="158">
        <v>101</v>
      </c>
      <c r="T88" s="158">
        <v>150</v>
      </c>
      <c r="U88" s="158"/>
      <c r="V88" s="158"/>
      <c r="W88" s="158"/>
      <c r="X88" s="158"/>
      <c r="Y88" s="37"/>
    </row>
    <row r="89" spans="10:25" x14ac:dyDescent="0.2">
      <c r="J89" s="158"/>
      <c r="K89" s="158"/>
      <c r="L89" s="158"/>
      <c r="M89" s="158"/>
      <c r="N89" s="158"/>
      <c r="O89" s="158"/>
      <c r="P89" s="158"/>
      <c r="Q89" s="158"/>
      <c r="R89" s="158"/>
      <c r="S89" s="158">
        <v>102</v>
      </c>
      <c r="T89" s="158">
        <v>150</v>
      </c>
      <c r="U89" s="158"/>
      <c r="V89" s="158"/>
      <c r="W89" s="158"/>
      <c r="X89" s="158"/>
      <c r="Y89" s="37"/>
    </row>
    <row r="90" spans="10:25" x14ac:dyDescent="0.2">
      <c r="J90" s="158"/>
      <c r="K90" s="158"/>
      <c r="L90" s="158"/>
      <c r="M90" s="158"/>
      <c r="N90" s="158"/>
      <c r="O90" s="158"/>
      <c r="P90" s="158"/>
      <c r="Q90" s="158"/>
      <c r="R90" s="158"/>
      <c r="S90" s="158">
        <v>103</v>
      </c>
      <c r="T90" s="158">
        <v>150</v>
      </c>
      <c r="U90" s="158"/>
      <c r="V90" s="158"/>
      <c r="W90" s="158"/>
      <c r="X90" s="158"/>
      <c r="Y90" s="37"/>
    </row>
    <row r="91" spans="10:25" x14ac:dyDescent="0.2">
      <c r="J91" s="158"/>
      <c r="K91" s="158"/>
      <c r="L91" s="158"/>
      <c r="M91" s="158"/>
      <c r="N91" s="158"/>
      <c r="O91" s="158"/>
      <c r="P91" s="158"/>
      <c r="Q91" s="158"/>
      <c r="R91" s="158"/>
      <c r="S91" s="158">
        <v>104</v>
      </c>
      <c r="T91" s="158">
        <v>150</v>
      </c>
      <c r="U91" s="158"/>
      <c r="V91" s="158"/>
      <c r="W91" s="158"/>
      <c r="X91" s="158"/>
      <c r="Y91" s="37"/>
    </row>
    <row r="92" spans="10:25" x14ac:dyDescent="0.2">
      <c r="J92" s="158"/>
      <c r="K92" s="158"/>
      <c r="L92" s="158"/>
      <c r="M92" s="158"/>
      <c r="N92" s="158"/>
      <c r="O92" s="158"/>
      <c r="P92" s="158"/>
      <c r="Q92" s="158"/>
      <c r="R92" s="158"/>
      <c r="S92" s="158">
        <v>105</v>
      </c>
      <c r="T92" s="158">
        <v>150</v>
      </c>
      <c r="U92" s="158"/>
      <c r="V92" s="158"/>
      <c r="W92" s="158"/>
      <c r="X92" s="158"/>
      <c r="Y92" s="37"/>
    </row>
    <row r="93" spans="10:25" x14ac:dyDescent="0.2">
      <c r="J93" s="158"/>
      <c r="K93" s="158"/>
      <c r="L93" s="158"/>
      <c r="M93" s="158"/>
      <c r="N93" s="158"/>
      <c r="O93" s="158"/>
      <c r="P93" s="158"/>
      <c r="Q93" s="158"/>
      <c r="R93" s="158"/>
      <c r="S93" s="158">
        <v>106</v>
      </c>
      <c r="T93" s="158">
        <v>150</v>
      </c>
      <c r="U93" s="158"/>
      <c r="V93" s="158"/>
      <c r="W93" s="158"/>
      <c r="X93" s="158"/>
      <c r="Y93" s="37"/>
    </row>
    <row r="94" spans="10:25" x14ac:dyDescent="0.2">
      <c r="J94" s="158"/>
      <c r="K94" s="158"/>
      <c r="L94" s="158"/>
      <c r="M94" s="158"/>
      <c r="N94" s="158"/>
      <c r="O94" s="158"/>
      <c r="P94" s="158"/>
      <c r="Q94" s="158"/>
      <c r="R94" s="158"/>
      <c r="S94" s="158">
        <v>107</v>
      </c>
      <c r="T94" s="158">
        <v>150</v>
      </c>
      <c r="U94" s="158"/>
      <c r="V94" s="158"/>
      <c r="W94" s="158"/>
      <c r="X94" s="158"/>
      <c r="Y94" s="37"/>
    </row>
    <row r="95" spans="10:25" x14ac:dyDescent="0.2">
      <c r="J95" s="158"/>
      <c r="K95" s="158"/>
      <c r="L95" s="158"/>
      <c r="M95" s="158"/>
      <c r="N95" s="158"/>
      <c r="O95" s="158"/>
      <c r="P95" s="158"/>
      <c r="Q95" s="158"/>
      <c r="R95" s="158"/>
      <c r="S95" s="158">
        <v>108</v>
      </c>
      <c r="T95" s="158">
        <v>150</v>
      </c>
      <c r="U95" s="158"/>
      <c r="V95" s="158"/>
      <c r="W95" s="158"/>
      <c r="X95" s="158"/>
      <c r="Y95" s="37"/>
    </row>
    <row r="96" spans="10:25" x14ac:dyDescent="0.2">
      <c r="J96" s="158"/>
      <c r="K96" s="158"/>
      <c r="L96" s="158"/>
      <c r="M96" s="158"/>
      <c r="N96" s="158"/>
      <c r="O96" s="158"/>
      <c r="P96" s="158"/>
      <c r="Q96" s="158"/>
      <c r="R96" s="158"/>
      <c r="S96" s="158">
        <v>109</v>
      </c>
      <c r="T96" s="158">
        <v>150</v>
      </c>
      <c r="U96" s="158"/>
      <c r="V96" s="158"/>
      <c r="W96" s="158"/>
      <c r="X96" s="158"/>
      <c r="Y96" s="37"/>
    </row>
    <row r="97" spans="10:25" x14ac:dyDescent="0.2">
      <c r="J97" s="158"/>
      <c r="K97" s="158"/>
      <c r="L97" s="158"/>
      <c r="M97" s="158"/>
      <c r="N97" s="158"/>
      <c r="O97" s="158"/>
      <c r="P97" s="158"/>
      <c r="Q97" s="158"/>
      <c r="R97" s="158"/>
      <c r="S97" s="158">
        <v>110</v>
      </c>
      <c r="T97" s="158">
        <v>150</v>
      </c>
      <c r="U97" s="158"/>
      <c r="V97" s="158"/>
      <c r="W97" s="158"/>
      <c r="X97" s="158"/>
      <c r="Y97" s="37"/>
    </row>
    <row r="98" spans="10:25" x14ac:dyDescent="0.2">
      <c r="J98" s="158"/>
      <c r="K98" s="158"/>
      <c r="L98" s="158"/>
      <c r="M98" s="158"/>
      <c r="N98" s="158"/>
      <c r="O98" s="158"/>
      <c r="P98" s="158"/>
      <c r="Q98" s="158"/>
      <c r="R98" s="158"/>
      <c r="S98" s="158">
        <v>111</v>
      </c>
      <c r="T98" s="158">
        <v>150</v>
      </c>
      <c r="U98" s="158"/>
      <c r="V98" s="158"/>
      <c r="W98" s="158"/>
      <c r="X98" s="158"/>
      <c r="Y98" s="37"/>
    </row>
    <row r="99" spans="10:25" x14ac:dyDescent="0.2">
      <c r="J99" s="158"/>
      <c r="K99" s="158"/>
      <c r="L99" s="158"/>
      <c r="M99" s="158"/>
      <c r="N99" s="158"/>
      <c r="O99" s="158"/>
      <c r="P99" s="158"/>
      <c r="Q99" s="158"/>
      <c r="R99" s="158"/>
      <c r="S99" s="158">
        <v>112</v>
      </c>
      <c r="T99" s="158">
        <v>150</v>
      </c>
      <c r="U99" s="158"/>
      <c r="V99" s="158"/>
      <c r="W99" s="158"/>
      <c r="X99" s="158"/>
      <c r="Y99" s="37"/>
    </row>
    <row r="100" spans="10:25" x14ac:dyDescent="0.2">
      <c r="J100" s="158"/>
      <c r="K100" s="158"/>
      <c r="L100" s="158"/>
      <c r="M100" s="158"/>
      <c r="N100" s="158"/>
      <c r="O100" s="158"/>
      <c r="P100" s="158"/>
      <c r="Q100" s="158"/>
      <c r="R100" s="158"/>
      <c r="S100" s="158">
        <v>113</v>
      </c>
      <c r="T100" s="158">
        <v>150</v>
      </c>
      <c r="U100" s="158"/>
      <c r="V100" s="158"/>
      <c r="W100" s="158"/>
      <c r="X100" s="158"/>
      <c r="Y100" s="37"/>
    </row>
    <row r="101" spans="10:25" x14ac:dyDescent="0.2">
      <c r="J101" s="158"/>
      <c r="K101" s="158"/>
      <c r="L101" s="158"/>
      <c r="M101" s="158"/>
      <c r="N101" s="158"/>
      <c r="O101" s="158"/>
      <c r="P101" s="158"/>
      <c r="Q101" s="158"/>
      <c r="R101" s="158"/>
      <c r="S101" s="158">
        <v>114</v>
      </c>
      <c r="T101" s="158">
        <v>150</v>
      </c>
      <c r="U101" s="158"/>
      <c r="V101" s="158"/>
      <c r="W101" s="158"/>
      <c r="X101" s="158"/>
      <c r="Y101" s="37"/>
    </row>
    <row r="102" spans="10:25" x14ac:dyDescent="0.2">
      <c r="J102" s="158"/>
      <c r="K102" s="158"/>
      <c r="L102" s="158"/>
      <c r="M102" s="158"/>
      <c r="N102" s="158"/>
      <c r="O102" s="158"/>
      <c r="P102" s="158"/>
      <c r="Q102" s="158"/>
      <c r="R102" s="158"/>
      <c r="S102" s="158">
        <v>115</v>
      </c>
      <c r="T102" s="158">
        <v>150</v>
      </c>
      <c r="U102" s="158"/>
      <c r="V102" s="158"/>
      <c r="W102" s="158"/>
      <c r="X102" s="158"/>
      <c r="Y102" s="37"/>
    </row>
    <row r="103" spans="10:25" x14ac:dyDescent="0.2">
      <c r="J103" s="158"/>
      <c r="K103" s="158"/>
      <c r="L103" s="158"/>
      <c r="M103" s="158"/>
      <c r="N103" s="158"/>
      <c r="O103" s="158"/>
      <c r="P103" s="158"/>
      <c r="Q103" s="158"/>
      <c r="R103" s="158"/>
      <c r="S103" s="158">
        <v>116</v>
      </c>
      <c r="T103" s="158">
        <v>150</v>
      </c>
      <c r="U103" s="158"/>
      <c r="V103" s="158"/>
      <c r="W103" s="158"/>
      <c r="X103" s="158"/>
      <c r="Y103" s="37"/>
    </row>
    <row r="104" spans="10:25" x14ac:dyDescent="0.2">
      <c r="J104" s="158"/>
      <c r="K104" s="158"/>
      <c r="L104" s="158"/>
      <c r="M104" s="158"/>
      <c r="N104" s="158"/>
      <c r="O104" s="158"/>
      <c r="P104" s="158"/>
      <c r="Q104" s="158"/>
      <c r="R104" s="158"/>
      <c r="S104" s="158">
        <v>117</v>
      </c>
      <c r="T104" s="158">
        <v>150</v>
      </c>
      <c r="U104" s="158"/>
      <c r="V104" s="158"/>
      <c r="W104" s="158"/>
      <c r="X104" s="158"/>
      <c r="Y104" s="37"/>
    </row>
    <row r="105" spans="10:25" x14ac:dyDescent="0.2">
      <c r="J105" s="158"/>
      <c r="K105" s="158"/>
      <c r="L105" s="158"/>
      <c r="M105" s="158"/>
      <c r="N105" s="158"/>
      <c r="O105" s="158"/>
      <c r="P105" s="158"/>
      <c r="Q105" s="158"/>
      <c r="R105" s="158"/>
      <c r="S105" s="158">
        <v>118</v>
      </c>
      <c r="T105" s="158">
        <v>150</v>
      </c>
      <c r="U105" s="158"/>
      <c r="V105" s="158"/>
      <c r="W105" s="158"/>
      <c r="X105" s="158"/>
      <c r="Y105" s="37"/>
    </row>
    <row r="106" spans="10:25" x14ac:dyDescent="0.2">
      <c r="J106" s="158"/>
      <c r="K106" s="158"/>
      <c r="L106" s="158"/>
      <c r="M106" s="158"/>
      <c r="N106" s="158"/>
      <c r="O106" s="158"/>
      <c r="P106" s="158"/>
      <c r="Q106" s="158"/>
      <c r="R106" s="158"/>
      <c r="S106" s="158">
        <v>119</v>
      </c>
      <c r="T106" s="158">
        <v>150</v>
      </c>
      <c r="U106" s="158"/>
      <c r="V106" s="158"/>
      <c r="W106" s="158"/>
      <c r="X106" s="158"/>
      <c r="Y106" s="37"/>
    </row>
    <row r="107" spans="10:25" x14ac:dyDescent="0.2">
      <c r="J107" s="158"/>
      <c r="K107" s="158"/>
      <c r="L107" s="158"/>
      <c r="M107" s="158"/>
      <c r="N107" s="158"/>
      <c r="O107" s="158"/>
      <c r="P107" s="158"/>
      <c r="Q107" s="158"/>
      <c r="R107" s="158"/>
      <c r="S107" s="158">
        <v>120</v>
      </c>
      <c r="T107" s="158">
        <v>150</v>
      </c>
      <c r="U107" s="158"/>
      <c r="V107" s="158"/>
      <c r="W107" s="158"/>
      <c r="X107" s="158"/>
      <c r="Y107" s="37"/>
    </row>
    <row r="108" spans="10:25" x14ac:dyDescent="0.2">
      <c r="J108" s="158"/>
      <c r="K108" s="158"/>
      <c r="L108" s="158"/>
      <c r="M108" s="158"/>
      <c r="N108" s="158"/>
      <c r="O108" s="158"/>
      <c r="P108" s="158"/>
      <c r="Q108" s="158"/>
      <c r="R108" s="158"/>
      <c r="S108" s="158">
        <v>121</v>
      </c>
      <c r="T108" s="158">
        <v>150</v>
      </c>
      <c r="U108" s="158"/>
      <c r="V108" s="158"/>
      <c r="W108" s="158"/>
      <c r="X108" s="158"/>
      <c r="Y108" s="37"/>
    </row>
    <row r="109" spans="10:25" x14ac:dyDescent="0.2">
      <c r="J109" s="158"/>
      <c r="K109" s="158"/>
      <c r="L109" s="158"/>
      <c r="M109" s="158"/>
      <c r="N109" s="158"/>
      <c r="O109" s="158"/>
      <c r="P109" s="158"/>
      <c r="Q109" s="158"/>
      <c r="R109" s="158"/>
      <c r="S109" s="158">
        <v>122</v>
      </c>
      <c r="T109" s="158">
        <v>150</v>
      </c>
      <c r="U109" s="158"/>
      <c r="V109" s="158"/>
      <c r="W109" s="158"/>
      <c r="X109" s="158"/>
      <c r="Y109" s="37"/>
    </row>
    <row r="110" spans="10:25" x14ac:dyDescent="0.2">
      <c r="J110" s="158"/>
      <c r="K110" s="158"/>
      <c r="L110" s="158"/>
      <c r="M110" s="158"/>
      <c r="N110" s="158"/>
      <c r="O110" s="158"/>
      <c r="P110" s="158"/>
      <c r="Q110" s="158"/>
      <c r="R110" s="158"/>
      <c r="S110" s="158">
        <v>123</v>
      </c>
      <c r="T110" s="158">
        <v>150</v>
      </c>
      <c r="U110" s="158"/>
      <c r="V110" s="158"/>
      <c r="W110" s="158"/>
      <c r="X110" s="158"/>
      <c r="Y110" s="37"/>
    </row>
    <row r="111" spans="10:25" x14ac:dyDescent="0.2">
      <c r="J111" s="158"/>
      <c r="K111" s="158"/>
      <c r="L111" s="158"/>
      <c r="M111" s="158"/>
      <c r="N111" s="158"/>
      <c r="O111" s="158"/>
      <c r="P111" s="158"/>
      <c r="Q111" s="158"/>
      <c r="R111" s="158"/>
      <c r="S111" s="158">
        <v>124</v>
      </c>
      <c r="T111" s="158">
        <v>150</v>
      </c>
      <c r="U111" s="158"/>
      <c r="V111" s="158"/>
      <c r="W111" s="158"/>
      <c r="X111" s="158"/>
      <c r="Y111" s="37"/>
    </row>
    <row r="112" spans="10:25" x14ac:dyDescent="0.2">
      <c r="J112" s="158"/>
      <c r="K112" s="158"/>
      <c r="L112" s="158"/>
      <c r="M112" s="158"/>
      <c r="N112" s="158"/>
      <c r="O112" s="158"/>
      <c r="P112" s="158"/>
      <c r="Q112" s="158"/>
      <c r="R112" s="158"/>
      <c r="S112" s="158">
        <v>125</v>
      </c>
      <c r="T112" s="158">
        <v>150</v>
      </c>
      <c r="U112" s="158"/>
      <c r="V112" s="158"/>
      <c r="W112" s="158"/>
      <c r="X112" s="158"/>
      <c r="Y112" s="37"/>
    </row>
    <row r="113" spans="10:25" x14ac:dyDescent="0.2">
      <c r="J113" s="158"/>
      <c r="K113" s="158"/>
      <c r="L113" s="158"/>
      <c r="M113" s="158"/>
      <c r="N113" s="158"/>
      <c r="O113" s="158"/>
      <c r="P113" s="158"/>
      <c r="Q113" s="158"/>
      <c r="R113" s="158"/>
      <c r="S113" s="158">
        <v>126</v>
      </c>
      <c r="T113" s="158">
        <v>150</v>
      </c>
      <c r="U113" s="158"/>
      <c r="V113" s="158"/>
      <c r="W113" s="158"/>
      <c r="X113" s="158"/>
      <c r="Y113" s="37"/>
    </row>
    <row r="114" spans="10:25" x14ac:dyDescent="0.2">
      <c r="J114" s="158"/>
      <c r="K114" s="158"/>
      <c r="L114" s="158"/>
      <c r="M114" s="158"/>
      <c r="N114" s="158"/>
      <c r="O114" s="158"/>
      <c r="P114" s="158"/>
      <c r="Q114" s="158"/>
      <c r="R114" s="158"/>
      <c r="S114" s="158">
        <v>127</v>
      </c>
      <c r="T114" s="158">
        <v>150</v>
      </c>
      <c r="U114" s="158"/>
      <c r="V114" s="158"/>
      <c r="W114" s="158"/>
      <c r="X114" s="158"/>
      <c r="Y114" s="37"/>
    </row>
    <row r="115" spans="10:25" x14ac:dyDescent="0.2">
      <c r="J115" s="158"/>
      <c r="K115" s="158"/>
      <c r="L115" s="158"/>
      <c r="M115" s="158"/>
      <c r="N115" s="158"/>
      <c r="O115" s="158"/>
      <c r="P115" s="158"/>
      <c r="Q115" s="158"/>
      <c r="R115" s="158"/>
      <c r="S115" s="158">
        <v>128</v>
      </c>
      <c r="T115" s="158">
        <v>150</v>
      </c>
      <c r="U115" s="158"/>
      <c r="V115" s="158"/>
      <c r="W115" s="158"/>
      <c r="X115" s="158"/>
      <c r="Y115" s="37"/>
    </row>
    <row r="116" spans="10:25" x14ac:dyDescent="0.2">
      <c r="J116" s="158"/>
      <c r="K116" s="158"/>
      <c r="L116" s="158"/>
      <c r="M116" s="158"/>
      <c r="N116" s="158"/>
      <c r="O116" s="158"/>
      <c r="P116" s="158"/>
      <c r="Q116" s="158"/>
      <c r="R116" s="158"/>
      <c r="S116" s="158">
        <v>129</v>
      </c>
      <c r="T116" s="158">
        <v>150</v>
      </c>
      <c r="U116" s="158"/>
      <c r="V116" s="158"/>
      <c r="W116" s="158"/>
      <c r="X116" s="158"/>
      <c r="Y116" s="37"/>
    </row>
    <row r="117" spans="10:25" x14ac:dyDescent="0.2">
      <c r="J117" s="158"/>
      <c r="K117" s="158"/>
      <c r="L117" s="158"/>
      <c r="M117" s="158"/>
      <c r="N117" s="158"/>
      <c r="O117" s="158"/>
      <c r="P117" s="158"/>
      <c r="Q117" s="158"/>
      <c r="R117" s="158"/>
      <c r="S117" s="158">
        <v>130</v>
      </c>
      <c r="T117" s="158">
        <v>150</v>
      </c>
      <c r="U117" s="158"/>
      <c r="V117" s="158"/>
      <c r="W117" s="158"/>
      <c r="X117" s="158"/>
      <c r="Y117" s="37"/>
    </row>
    <row r="118" spans="10:25" x14ac:dyDescent="0.2">
      <c r="J118" s="158"/>
      <c r="K118" s="158"/>
      <c r="L118" s="158"/>
      <c r="M118" s="158"/>
      <c r="N118" s="158"/>
      <c r="O118" s="158"/>
      <c r="P118" s="158"/>
      <c r="Q118" s="158"/>
      <c r="R118" s="158"/>
      <c r="S118" s="158">
        <v>131</v>
      </c>
      <c r="T118" s="158">
        <v>150</v>
      </c>
      <c r="U118" s="158"/>
      <c r="V118" s="158"/>
      <c r="W118" s="158"/>
      <c r="X118" s="158"/>
      <c r="Y118" s="37"/>
    </row>
    <row r="119" spans="10:25" x14ac:dyDescent="0.2">
      <c r="J119" s="158"/>
      <c r="K119" s="158"/>
      <c r="L119" s="158"/>
      <c r="M119" s="158"/>
      <c r="N119" s="158"/>
      <c r="O119" s="158"/>
      <c r="P119" s="158"/>
      <c r="Q119" s="158"/>
      <c r="R119" s="158"/>
      <c r="S119" s="158">
        <v>132</v>
      </c>
      <c r="T119" s="158">
        <v>150</v>
      </c>
      <c r="U119" s="158"/>
      <c r="V119" s="158"/>
      <c r="W119" s="158"/>
      <c r="X119" s="158"/>
      <c r="Y119" s="37"/>
    </row>
    <row r="120" spans="10:25" x14ac:dyDescent="0.2">
      <c r="J120" s="158"/>
      <c r="K120" s="158"/>
      <c r="L120" s="158"/>
      <c r="M120" s="158"/>
      <c r="N120" s="158"/>
      <c r="O120" s="158"/>
      <c r="P120" s="158"/>
      <c r="Q120" s="158"/>
      <c r="R120" s="158"/>
      <c r="S120" s="158">
        <v>133</v>
      </c>
      <c r="T120" s="158">
        <v>150</v>
      </c>
      <c r="U120" s="158"/>
      <c r="V120" s="158"/>
      <c r="W120" s="158"/>
      <c r="X120" s="158"/>
      <c r="Y120" s="37"/>
    </row>
    <row r="121" spans="10:25" x14ac:dyDescent="0.2">
      <c r="J121" s="158"/>
      <c r="K121" s="158"/>
      <c r="L121" s="158"/>
      <c r="M121" s="158"/>
      <c r="N121" s="158"/>
      <c r="O121" s="158"/>
      <c r="P121" s="158"/>
      <c r="Q121" s="158"/>
      <c r="R121" s="158"/>
      <c r="S121" s="158">
        <v>134</v>
      </c>
      <c r="T121" s="158">
        <v>150</v>
      </c>
      <c r="U121" s="158"/>
      <c r="V121" s="158"/>
      <c r="W121" s="158"/>
      <c r="X121" s="158"/>
      <c r="Y121" s="37"/>
    </row>
    <row r="122" spans="10:25" x14ac:dyDescent="0.2">
      <c r="J122" s="158"/>
      <c r="K122" s="158"/>
      <c r="L122" s="158"/>
      <c r="M122" s="158"/>
      <c r="N122" s="158"/>
      <c r="O122" s="158"/>
      <c r="P122" s="158"/>
      <c r="Q122" s="158"/>
      <c r="R122" s="158"/>
      <c r="S122" s="158">
        <v>135</v>
      </c>
      <c r="T122" s="158">
        <v>150</v>
      </c>
      <c r="U122" s="158"/>
      <c r="V122" s="158"/>
      <c r="W122" s="158"/>
      <c r="X122" s="158"/>
      <c r="Y122" s="37"/>
    </row>
    <row r="123" spans="10:25" x14ac:dyDescent="0.2">
      <c r="J123" s="158"/>
      <c r="K123" s="158"/>
      <c r="L123" s="158"/>
      <c r="M123" s="158"/>
      <c r="N123" s="158"/>
      <c r="O123" s="158"/>
      <c r="P123" s="158"/>
      <c r="Q123" s="158"/>
      <c r="R123" s="158"/>
      <c r="S123" s="158">
        <v>136</v>
      </c>
      <c r="T123" s="158">
        <v>150</v>
      </c>
      <c r="U123" s="158"/>
      <c r="V123" s="158"/>
      <c r="W123" s="158"/>
      <c r="X123" s="158"/>
      <c r="Y123" s="37"/>
    </row>
    <row r="124" spans="10:25" x14ac:dyDescent="0.2">
      <c r="J124" s="158"/>
      <c r="K124" s="158"/>
      <c r="L124" s="158"/>
      <c r="M124" s="158"/>
      <c r="N124" s="158"/>
      <c r="O124" s="158"/>
      <c r="P124" s="158"/>
      <c r="Q124" s="158"/>
      <c r="R124" s="158"/>
      <c r="S124" s="158">
        <v>137</v>
      </c>
      <c r="T124" s="158">
        <v>150</v>
      </c>
      <c r="U124" s="158"/>
      <c r="V124" s="158"/>
      <c r="W124" s="158"/>
      <c r="X124" s="158"/>
      <c r="Y124" s="37"/>
    </row>
    <row r="125" spans="10:25" x14ac:dyDescent="0.2">
      <c r="J125" s="158"/>
      <c r="K125" s="158"/>
      <c r="L125" s="158"/>
      <c r="M125" s="158"/>
      <c r="N125" s="158"/>
      <c r="O125" s="158"/>
      <c r="P125" s="158"/>
      <c r="Q125" s="158"/>
      <c r="R125" s="158"/>
      <c r="S125" s="158">
        <v>138</v>
      </c>
      <c r="T125" s="158">
        <v>150</v>
      </c>
      <c r="U125" s="158"/>
      <c r="V125" s="158"/>
      <c r="W125" s="158"/>
      <c r="X125" s="158"/>
      <c r="Y125" s="37"/>
    </row>
    <row r="126" spans="10:25" x14ac:dyDescent="0.2">
      <c r="J126" s="158"/>
      <c r="K126" s="158"/>
      <c r="L126" s="158"/>
      <c r="M126" s="158"/>
      <c r="N126" s="158"/>
      <c r="O126" s="158"/>
      <c r="P126" s="158"/>
      <c r="Q126" s="158"/>
      <c r="R126" s="158"/>
      <c r="S126" s="158">
        <v>139</v>
      </c>
      <c r="T126" s="158">
        <v>150</v>
      </c>
      <c r="U126" s="158"/>
      <c r="V126" s="158"/>
      <c r="W126" s="158"/>
      <c r="X126" s="158"/>
      <c r="Y126" s="37"/>
    </row>
    <row r="127" spans="10:25" x14ac:dyDescent="0.2">
      <c r="J127" s="158"/>
      <c r="K127" s="158"/>
      <c r="L127" s="158"/>
      <c r="M127" s="158"/>
      <c r="N127" s="158"/>
      <c r="O127" s="158"/>
      <c r="P127" s="158"/>
      <c r="Q127" s="158"/>
      <c r="R127" s="158"/>
      <c r="S127" s="158">
        <v>140</v>
      </c>
      <c r="T127" s="158">
        <v>150</v>
      </c>
      <c r="U127" s="158"/>
      <c r="V127" s="158"/>
      <c r="W127" s="158"/>
      <c r="X127" s="158"/>
      <c r="Y127" s="37"/>
    </row>
    <row r="128" spans="10:25" x14ac:dyDescent="0.2">
      <c r="J128" s="158"/>
      <c r="K128" s="158"/>
      <c r="L128" s="158"/>
      <c r="M128" s="158"/>
      <c r="N128" s="158"/>
      <c r="O128" s="158"/>
      <c r="P128" s="158"/>
      <c r="Q128" s="158"/>
      <c r="R128" s="158"/>
      <c r="S128" s="158">
        <v>141</v>
      </c>
      <c r="T128" s="158">
        <v>150</v>
      </c>
      <c r="U128" s="158"/>
      <c r="V128" s="158"/>
      <c r="W128" s="158"/>
      <c r="X128" s="158"/>
      <c r="Y128" s="37"/>
    </row>
    <row r="129" spans="10:25" x14ac:dyDescent="0.2">
      <c r="J129" s="158"/>
      <c r="K129" s="158"/>
      <c r="L129" s="158"/>
      <c r="M129" s="158"/>
      <c r="N129" s="158"/>
      <c r="O129" s="158"/>
      <c r="P129" s="158"/>
      <c r="Q129" s="158"/>
      <c r="R129" s="158"/>
      <c r="S129" s="158">
        <v>142</v>
      </c>
      <c r="T129" s="158">
        <v>150</v>
      </c>
      <c r="U129" s="158"/>
      <c r="V129" s="158"/>
      <c r="W129" s="158"/>
      <c r="X129" s="158"/>
      <c r="Y129" s="37"/>
    </row>
    <row r="130" spans="10:25" x14ac:dyDescent="0.2">
      <c r="J130" s="158"/>
      <c r="K130" s="158"/>
      <c r="L130" s="158"/>
      <c r="M130" s="158"/>
      <c r="N130" s="158"/>
      <c r="O130" s="158"/>
      <c r="P130" s="158"/>
      <c r="Q130" s="158"/>
      <c r="R130" s="158"/>
      <c r="S130" s="158">
        <v>143</v>
      </c>
      <c r="T130" s="158">
        <v>150</v>
      </c>
      <c r="U130" s="158"/>
      <c r="V130" s="158"/>
      <c r="W130" s="158"/>
      <c r="X130" s="158"/>
      <c r="Y130" s="37"/>
    </row>
    <row r="131" spans="10:25" x14ac:dyDescent="0.2">
      <c r="J131" s="158"/>
      <c r="K131" s="158"/>
      <c r="L131" s="158"/>
      <c r="M131" s="158"/>
      <c r="N131" s="158"/>
      <c r="O131" s="158"/>
      <c r="P131" s="158"/>
      <c r="Q131" s="158"/>
      <c r="R131" s="158"/>
      <c r="S131" s="158">
        <v>144</v>
      </c>
      <c r="T131" s="158">
        <v>150</v>
      </c>
      <c r="U131" s="158"/>
      <c r="V131" s="158"/>
      <c r="W131" s="158"/>
      <c r="X131" s="158"/>
      <c r="Y131" s="37"/>
    </row>
    <row r="132" spans="10:25" x14ac:dyDescent="0.2">
      <c r="J132" s="158"/>
      <c r="K132" s="158"/>
      <c r="L132" s="158"/>
      <c r="M132" s="158"/>
      <c r="N132" s="158"/>
      <c r="O132" s="158"/>
      <c r="P132" s="158"/>
      <c r="Q132" s="158"/>
      <c r="R132" s="158"/>
      <c r="S132" s="158">
        <v>145</v>
      </c>
      <c r="T132" s="158">
        <v>150</v>
      </c>
      <c r="U132" s="158"/>
      <c r="V132" s="158"/>
      <c r="W132" s="158"/>
      <c r="X132" s="158"/>
      <c r="Y132" s="37"/>
    </row>
    <row r="133" spans="10:25" x14ac:dyDescent="0.2">
      <c r="J133" s="158"/>
      <c r="K133" s="158"/>
      <c r="L133" s="158"/>
      <c r="M133" s="158"/>
      <c r="N133" s="158"/>
      <c r="O133" s="158"/>
      <c r="P133" s="158"/>
      <c r="Q133" s="158"/>
      <c r="R133" s="158"/>
      <c r="S133" s="158">
        <v>146</v>
      </c>
      <c r="T133" s="158">
        <v>150</v>
      </c>
      <c r="U133" s="158"/>
      <c r="V133" s="158"/>
      <c r="W133" s="158"/>
      <c r="X133" s="158"/>
      <c r="Y133" s="37"/>
    </row>
    <row r="134" spans="10:25" x14ac:dyDescent="0.2">
      <c r="J134" s="158"/>
      <c r="K134" s="158"/>
      <c r="L134" s="158"/>
      <c r="M134" s="158"/>
      <c r="N134" s="158"/>
      <c r="O134" s="158"/>
      <c r="P134" s="158"/>
      <c r="Q134" s="158"/>
      <c r="R134" s="158"/>
      <c r="S134" s="158">
        <v>147</v>
      </c>
      <c r="T134" s="158">
        <v>150</v>
      </c>
      <c r="U134" s="158"/>
      <c r="V134" s="158"/>
      <c r="W134" s="158"/>
      <c r="X134" s="158"/>
      <c r="Y134" s="37"/>
    </row>
    <row r="135" spans="10:25" x14ac:dyDescent="0.2">
      <c r="J135" s="158"/>
      <c r="K135" s="158"/>
      <c r="L135" s="158"/>
      <c r="M135" s="158"/>
      <c r="N135" s="158"/>
      <c r="O135" s="158"/>
      <c r="P135" s="158"/>
      <c r="Q135" s="158"/>
      <c r="R135" s="158"/>
      <c r="S135" s="158">
        <v>148</v>
      </c>
      <c r="T135" s="158">
        <v>150</v>
      </c>
      <c r="U135" s="158"/>
      <c r="V135" s="158"/>
      <c r="W135" s="158"/>
      <c r="X135" s="158"/>
      <c r="Y135" s="37"/>
    </row>
    <row r="136" spans="10:25" x14ac:dyDescent="0.2">
      <c r="J136" s="158"/>
      <c r="K136" s="158"/>
      <c r="L136" s="158"/>
      <c r="M136" s="158"/>
      <c r="N136" s="158"/>
      <c r="O136" s="158"/>
      <c r="P136" s="158"/>
      <c r="Q136" s="158"/>
      <c r="R136" s="158"/>
      <c r="S136" s="158">
        <v>149</v>
      </c>
      <c r="T136" s="158">
        <v>150</v>
      </c>
      <c r="U136" s="158"/>
      <c r="V136" s="158"/>
      <c r="W136" s="158"/>
      <c r="X136" s="158"/>
      <c r="Y136" s="37"/>
    </row>
    <row r="137" spans="10:25" x14ac:dyDescent="0.2">
      <c r="J137" s="158"/>
      <c r="K137" s="158"/>
      <c r="L137" s="158"/>
      <c r="M137" s="158"/>
      <c r="N137" s="158"/>
      <c r="O137" s="158"/>
      <c r="P137" s="158"/>
      <c r="Q137" s="158"/>
      <c r="R137" s="158"/>
      <c r="S137" s="158">
        <v>150</v>
      </c>
      <c r="T137" s="158">
        <v>150</v>
      </c>
      <c r="U137" s="158">
        <v>150</v>
      </c>
      <c r="V137" s="158"/>
      <c r="W137" s="158"/>
      <c r="X137" s="158"/>
      <c r="Y137" s="37"/>
    </row>
    <row r="138" spans="10:25" x14ac:dyDescent="0.2">
      <c r="J138" s="158"/>
      <c r="K138" s="158"/>
      <c r="L138" s="158"/>
      <c r="M138" s="158"/>
      <c r="N138" s="158"/>
      <c r="O138" s="158"/>
      <c r="P138" s="158"/>
      <c r="Q138" s="158"/>
      <c r="R138" s="158"/>
      <c r="S138" s="158">
        <v>151</v>
      </c>
      <c r="T138" s="158">
        <v>150</v>
      </c>
      <c r="U138" s="158"/>
      <c r="V138" s="158"/>
      <c r="W138" s="158"/>
      <c r="X138" s="158"/>
      <c r="Y138" s="37"/>
    </row>
    <row r="139" spans="10:25" x14ac:dyDescent="0.2">
      <c r="J139" s="158"/>
      <c r="K139" s="158"/>
      <c r="L139" s="158"/>
      <c r="M139" s="158"/>
      <c r="N139" s="158"/>
      <c r="O139" s="158"/>
      <c r="P139" s="158"/>
      <c r="Q139" s="158"/>
      <c r="R139" s="158"/>
      <c r="S139" s="158">
        <v>152</v>
      </c>
      <c r="T139" s="158">
        <v>150</v>
      </c>
      <c r="U139" s="158"/>
      <c r="V139" s="158"/>
      <c r="W139" s="158"/>
      <c r="X139" s="158"/>
      <c r="Y139" s="37"/>
    </row>
    <row r="140" spans="10:25" x14ac:dyDescent="0.2">
      <c r="J140" s="158"/>
      <c r="K140" s="158"/>
      <c r="L140" s="158"/>
      <c r="M140" s="158"/>
      <c r="N140" s="158"/>
      <c r="O140" s="158"/>
      <c r="P140" s="158"/>
      <c r="Q140" s="158"/>
      <c r="R140" s="158"/>
      <c r="S140" s="158">
        <v>153</v>
      </c>
      <c r="T140" s="158">
        <v>150</v>
      </c>
      <c r="U140" s="158"/>
      <c r="V140" s="158"/>
      <c r="W140" s="158"/>
      <c r="X140" s="158"/>
      <c r="Y140" s="37"/>
    </row>
    <row r="141" spans="10:25" x14ac:dyDescent="0.2">
      <c r="J141" s="158"/>
      <c r="K141" s="158"/>
      <c r="L141" s="158"/>
      <c r="M141" s="158"/>
      <c r="N141" s="158"/>
      <c r="O141" s="158"/>
      <c r="P141" s="158"/>
      <c r="Q141" s="158"/>
      <c r="R141" s="158"/>
      <c r="S141" s="158">
        <v>154</v>
      </c>
      <c r="T141" s="158">
        <v>150</v>
      </c>
      <c r="U141" s="158"/>
      <c r="V141" s="158"/>
      <c r="W141" s="158"/>
      <c r="X141" s="158"/>
      <c r="Y141" s="37"/>
    </row>
    <row r="142" spans="10:25" x14ac:dyDescent="0.2">
      <c r="J142" s="158"/>
      <c r="K142" s="158"/>
      <c r="L142" s="158"/>
      <c r="M142" s="158"/>
      <c r="N142" s="158"/>
      <c r="O142" s="158"/>
      <c r="P142" s="158"/>
      <c r="Q142" s="158"/>
      <c r="R142" s="158"/>
      <c r="S142" s="158">
        <v>155</v>
      </c>
      <c r="T142" s="158">
        <v>150</v>
      </c>
      <c r="U142" s="158"/>
      <c r="V142" s="158"/>
      <c r="W142" s="158"/>
      <c r="X142" s="158"/>
      <c r="Y142" s="37"/>
    </row>
    <row r="143" spans="10:25" x14ac:dyDescent="0.2">
      <c r="J143" s="158"/>
      <c r="K143" s="158"/>
      <c r="L143" s="158"/>
      <c r="M143" s="158"/>
      <c r="N143" s="158"/>
      <c r="O143" s="158"/>
      <c r="P143" s="158"/>
      <c r="Q143" s="158"/>
      <c r="R143" s="158"/>
      <c r="S143" s="158">
        <v>156</v>
      </c>
      <c r="T143" s="158">
        <v>150</v>
      </c>
      <c r="U143" s="158"/>
      <c r="V143" s="158"/>
      <c r="W143" s="158"/>
      <c r="X143" s="158"/>
      <c r="Y143" s="37"/>
    </row>
    <row r="144" spans="10:25" x14ac:dyDescent="0.2">
      <c r="J144" s="158"/>
      <c r="K144" s="158"/>
      <c r="L144" s="158"/>
      <c r="M144" s="158"/>
      <c r="N144" s="158"/>
      <c r="O144" s="158"/>
      <c r="P144" s="158"/>
      <c r="Q144" s="158"/>
      <c r="R144" s="158"/>
      <c r="S144" s="158">
        <v>157</v>
      </c>
      <c r="T144" s="158">
        <v>150</v>
      </c>
      <c r="U144" s="158"/>
      <c r="V144" s="158"/>
      <c r="W144" s="158"/>
      <c r="X144" s="158"/>
      <c r="Y144" s="37"/>
    </row>
    <row r="145" spans="10:25" x14ac:dyDescent="0.2">
      <c r="J145" s="158"/>
      <c r="K145" s="158"/>
      <c r="L145" s="158"/>
      <c r="M145" s="158"/>
      <c r="N145" s="158"/>
      <c r="O145" s="158"/>
      <c r="P145" s="158"/>
      <c r="Q145" s="158"/>
      <c r="R145" s="158"/>
      <c r="S145" s="158">
        <v>158</v>
      </c>
      <c r="T145" s="158">
        <v>150</v>
      </c>
      <c r="U145" s="158"/>
      <c r="V145" s="158"/>
      <c r="W145" s="158"/>
      <c r="X145" s="158"/>
      <c r="Y145" s="37"/>
    </row>
    <row r="146" spans="10:25" x14ac:dyDescent="0.2">
      <c r="J146" s="158"/>
      <c r="K146" s="158"/>
      <c r="L146" s="158"/>
      <c r="M146" s="158"/>
      <c r="N146" s="158"/>
      <c r="O146" s="158"/>
      <c r="P146" s="158"/>
      <c r="Q146" s="158"/>
      <c r="R146" s="158"/>
      <c r="S146" s="158">
        <v>159</v>
      </c>
      <c r="T146" s="158">
        <v>150</v>
      </c>
      <c r="U146" s="158"/>
      <c r="V146" s="158"/>
      <c r="W146" s="158"/>
      <c r="X146" s="158"/>
      <c r="Y146" s="37"/>
    </row>
    <row r="147" spans="10:25" x14ac:dyDescent="0.2">
      <c r="J147" s="158"/>
      <c r="K147" s="158"/>
      <c r="L147" s="158"/>
      <c r="M147" s="158"/>
      <c r="N147" s="158"/>
      <c r="O147" s="158"/>
      <c r="P147" s="158"/>
      <c r="Q147" s="158"/>
      <c r="R147" s="158"/>
      <c r="S147" s="158">
        <v>160</v>
      </c>
      <c r="T147" s="158">
        <v>150</v>
      </c>
      <c r="U147" s="158"/>
      <c r="V147" s="158"/>
      <c r="W147" s="158"/>
      <c r="X147" s="158"/>
      <c r="Y147" s="37"/>
    </row>
    <row r="148" spans="10:25" x14ac:dyDescent="0.2">
      <c r="J148" s="158"/>
      <c r="K148" s="158"/>
      <c r="L148" s="158"/>
      <c r="M148" s="158"/>
      <c r="N148" s="158"/>
      <c r="O148" s="158"/>
      <c r="P148" s="158"/>
      <c r="Q148" s="158"/>
      <c r="R148" s="158"/>
      <c r="S148" s="158">
        <v>161</v>
      </c>
      <c r="T148" s="158">
        <v>150</v>
      </c>
      <c r="U148" s="158"/>
      <c r="V148" s="158"/>
      <c r="W148" s="158"/>
      <c r="X148" s="158"/>
      <c r="Y148" s="37"/>
    </row>
    <row r="149" spans="10:25" x14ac:dyDescent="0.2">
      <c r="J149" s="158"/>
      <c r="K149" s="158"/>
      <c r="L149" s="158"/>
      <c r="M149" s="158"/>
      <c r="N149" s="158"/>
      <c r="O149" s="158"/>
      <c r="P149" s="158"/>
      <c r="Q149" s="158"/>
      <c r="R149" s="158"/>
      <c r="S149" s="158">
        <v>162</v>
      </c>
      <c r="T149" s="158">
        <v>150</v>
      </c>
      <c r="U149" s="158"/>
      <c r="V149" s="158"/>
      <c r="W149" s="158"/>
      <c r="X149" s="158"/>
      <c r="Y149" s="37"/>
    </row>
    <row r="150" spans="10:25" x14ac:dyDescent="0.2">
      <c r="J150" s="158"/>
      <c r="K150" s="158"/>
      <c r="L150" s="158"/>
      <c r="M150" s="158"/>
      <c r="N150" s="158"/>
      <c r="O150" s="158"/>
      <c r="P150" s="158"/>
      <c r="Q150" s="158"/>
      <c r="R150" s="158"/>
      <c r="S150" s="158">
        <v>163</v>
      </c>
      <c r="T150" s="158">
        <v>150</v>
      </c>
      <c r="U150" s="158"/>
      <c r="V150" s="158"/>
      <c r="W150" s="158"/>
      <c r="X150" s="158"/>
      <c r="Y150" s="37"/>
    </row>
    <row r="151" spans="10:25" x14ac:dyDescent="0.2">
      <c r="J151" s="158"/>
      <c r="K151" s="158"/>
      <c r="L151" s="158"/>
      <c r="M151" s="158"/>
      <c r="N151" s="158"/>
      <c r="O151" s="158"/>
      <c r="P151" s="158"/>
      <c r="Q151" s="158"/>
      <c r="R151" s="158"/>
      <c r="S151" s="158">
        <v>164</v>
      </c>
      <c r="T151" s="158">
        <v>150</v>
      </c>
      <c r="U151" s="158"/>
      <c r="V151" s="158"/>
      <c r="W151" s="158"/>
      <c r="X151" s="158"/>
      <c r="Y151" s="37"/>
    </row>
    <row r="152" spans="10:25" x14ac:dyDescent="0.2">
      <c r="J152" s="158"/>
      <c r="K152" s="158"/>
      <c r="L152" s="158"/>
      <c r="M152" s="158"/>
      <c r="N152" s="158"/>
      <c r="O152" s="158"/>
      <c r="P152" s="158"/>
      <c r="Q152" s="158"/>
      <c r="R152" s="158"/>
      <c r="S152" s="158">
        <v>165</v>
      </c>
      <c r="T152" s="158">
        <v>150</v>
      </c>
      <c r="U152" s="158"/>
      <c r="V152" s="158"/>
      <c r="W152" s="158"/>
      <c r="X152" s="158"/>
      <c r="Y152" s="37"/>
    </row>
    <row r="153" spans="10:25" x14ac:dyDescent="0.2">
      <c r="J153" s="158"/>
      <c r="K153" s="158"/>
      <c r="L153" s="158"/>
      <c r="M153" s="158"/>
      <c r="N153" s="158"/>
      <c r="O153" s="158"/>
      <c r="P153" s="158"/>
      <c r="Q153" s="158"/>
      <c r="R153" s="158"/>
      <c r="S153" s="158">
        <v>166</v>
      </c>
      <c r="T153" s="158">
        <v>150</v>
      </c>
      <c r="U153" s="158"/>
      <c r="V153" s="158"/>
      <c r="W153" s="158"/>
      <c r="X153" s="158"/>
      <c r="Y153" s="37"/>
    </row>
    <row r="154" spans="10:25" x14ac:dyDescent="0.2">
      <c r="J154" s="158"/>
      <c r="K154" s="158"/>
      <c r="L154" s="158"/>
      <c r="M154" s="158"/>
      <c r="N154" s="158"/>
      <c r="O154" s="158"/>
      <c r="P154" s="158"/>
      <c r="Q154" s="158"/>
      <c r="R154" s="158"/>
      <c r="S154" s="158">
        <v>167</v>
      </c>
      <c r="T154" s="158">
        <v>150</v>
      </c>
      <c r="U154" s="158"/>
      <c r="V154" s="158"/>
      <c r="W154" s="158"/>
      <c r="X154" s="158"/>
      <c r="Y154" s="37"/>
    </row>
    <row r="155" spans="10:25" x14ac:dyDescent="0.2">
      <c r="J155" s="158"/>
      <c r="K155" s="158"/>
      <c r="L155" s="158"/>
      <c r="M155" s="158"/>
      <c r="N155" s="158"/>
      <c r="O155" s="158"/>
      <c r="P155" s="158"/>
      <c r="Q155" s="158"/>
      <c r="R155" s="158"/>
      <c r="S155" s="158">
        <v>168</v>
      </c>
      <c r="T155" s="158">
        <v>150</v>
      </c>
      <c r="U155" s="158"/>
      <c r="V155" s="158"/>
      <c r="W155" s="158"/>
      <c r="X155" s="158"/>
      <c r="Y155" s="37"/>
    </row>
    <row r="156" spans="10:25" x14ac:dyDescent="0.2">
      <c r="J156" s="158"/>
      <c r="K156" s="158"/>
      <c r="L156" s="158"/>
      <c r="M156" s="158"/>
      <c r="N156" s="158"/>
      <c r="O156" s="158"/>
      <c r="P156" s="158"/>
      <c r="Q156" s="158"/>
      <c r="R156" s="158"/>
      <c r="S156" s="158">
        <v>169</v>
      </c>
      <c r="T156" s="158">
        <v>150</v>
      </c>
      <c r="U156" s="158"/>
      <c r="V156" s="158"/>
      <c r="W156" s="158"/>
      <c r="X156" s="158"/>
      <c r="Y156" s="37"/>
    </row>
    <row r="157" spans="10:25" x14ac:dyDescent="0.2">
      <c r="J157" s="158"/>
      <c r="K157" s="158"/>
      <c r="L157" s="158"/>
      <c r="M157" s="158"/>
      <c r="N157" s="158"/>
      <c r="O157" s="158"/>
      <c r="P157" s="158"/>
      <c r="Q157" s="158"/>
      <c r="R157" s="158"/>
      <c r="S157" s="158">
        <v>170</v>
      </c>
      <c r="T157" s="158">
        <v>150</v>
      </c>
      <c r="U157" s="158"/>
      <c r="V157" s="158"/>
      <c r="W157" s="158"/>
      <c r="X157" s="158"/>
      <c r="Y157" s="37"/>
    </row>
    <row r="158" spans="10:25" x14ac:dyDescent="0.2">
      <c r="J158" s="158"/>
      <c r="K158" s="158"/>
      <c r="L158" s="158"/>
      <c r="M158" s="158"/>
      <c r="N158" s="158"/>
      <c r="O158" s="158"/>
      <c r="P158" s="158"/>
      <c r="Q158" s="158"/>
      <c r="R158" s="158"/>
      <c r="S158" s="158">
        <v>171</v>
      </c>
      <c r="T158" s="158">
        <v>150</v>
      </c>
      <c r="U158" s="158"/>
      <c r="V158" s="158"/>
      <c r="W158" s="158"/>
      <c r="X158" s="158"/>
      <c r="Y158" s="37"/>
    </row>
    <row r="159" spans="10:25" x14ac:dyDescent="0.2">
      <c r="J159" s="158"/>
      <c r="K159" s="158"/>
      <c r="L159" s="158"/>
      <c r="M159" s="158"/>
      <c r="N159" s="158"/>
      <c r="O159" s="158"/>
      <c r="P159" s="158"/>
      <c r="Q159" s="158"/>
      <c r="R159" s="158"/>
      <c r="S159" s="158">
        <v>172</v>
      </c>
      <c r="T159" s="158">
        <v>150</v>
      </c>
      <c r="U159" s="158"/>
      <c r="V159" s="158"/>
      <c r="W159" s="158"/>
      <c r="X159" s="158"/>
      <c r="Y159" s="37"/>
    </row>
    <row r="160" spans="10:25" x14ac:dyDescent="0.2">
      <c r="J160" s="158"/>
      <c r="K160" s="158"/>
      <c r="L160" s="158"/>
      <c r="M160" s="158"/>
      <c r="N160" s="158"/>
      <c r="O160" s="158"/>
      <c r="P160" s="158"/>
      <c r="Q160" s="158"/>
      <c r="R160" s="158"/>
      <c r="S160" s="158">
        <v>173</v>
      </c>
      <c r="T160" s="158">
        <v>150</v>
      </c>
      <c r="U160" s="158"/>
      <c r="V160" s="158"/>
      <c r="W160" s="158"/>
      <c r="X160" s="158"/>
      <c r="Y160" s="37"/>
    </row>
    <row r="161" spans="10:25" x14ac:dyDescent="0.2">
      <c r="J161" s="158"/>
      <c r="K161" s="158"/>
      <c r="L161" s="158"/>
      <c r="M161" s="158"/>
      <c r="N161" s="158"/>
      <c r="O161" s="158"/>
      <c r="P161" s="158"/>
      <c r="Q161" s="158"/>
      <c r="R161" s="158"/>
      <c r="S161" s="158">
        <v>174</v>
      </c>
      <c r="T161" s="158">
        <v>150</v>
      </c>
      <c r="U161" s="158"/>
      <c r="V161" s="158"/>
      <c r="W161" s="158"/>
      <c r="X161" s="158"/>
      <c r="Y161" s="37"/>
    </row>
    <row r="162" spans="10:25" x14ac:dyDescent="0.2">
      <c r="J162" s="158"/>
      <c r="K162" s="158"/>
      <c r="L162" s="158"/>
      <c r="M162" s="158"/>
      <c r="N162" s="158"/>
      <c r="O162" s="158"/>
      <c r="P162" s="158"/>
      <c r="Q162" s="158"/>
      <c r="R162" s="158"/>
      <c r="S162" s="158">
        <v>175</v>
      </c>
      <c r="T162" s="158">
        <v>150</v>
      </c>
      <c r="U162" s="158"/>
      <c r="V162" s="158"/>
      <c r="W162" s="158"/>
      <c r="X162" s="158"/>
      <c r="Y162" s="37"/>
    </row>
    <row r="163" spans="10:25" x14ac:dyDescent="0.2">
      <c r="J163" s="158"/>
      <c r="K163" s="158"/>
      <c r="L163" s="158"/>
      <c r="M163" s="158"/>
      <c r="N163" s="158"/>
      <c r="O163" s="158"/>
      <c r="P163" s="158"/>
      <c r="Q163" s="158"/>
      <c r="R163" s="158"/>
      <c r="S163" s="158">
        <v>176</v>
      </c>
      <c r="T163" s="158">
        <v>150</v>
      </c>
      <c r="U163" s="158"/>
      <c r="V163" s="158"/>
      <c r="W163" s="158"/>
      <c r="X163" s="158"/>
      <c r="Y163" s="37"/>
    </row>
    <row r="164" spans="10:25" x14ac:dyDescent="0.2">
      <c r="J164" s="158"/>
      <c r="K164" s="158"/>
      <c r="L164" s="158"/>
      <c r="M164" s="158"/>
      <c r="N164" s="158"/>
      <c r="O164" s="158"/>
      <c r="P164" s="158"/>
      <c r="Q164" s="158"/>
      <c r="R164" s="158"/>
      <c r="S164" s="158">
        <v>177</v>
      </c>
      <c r="T164" s="158">
        <v>150</v>
      </c>
      <c r="U164" s="158"/>
      <c r="V164" s="158"/>
      <c r="W164" s="158"/>
      <c r="X164" s="158"/>
      <c r="Y164" s="37"/>
    </row>
    <row r="165" spans="10:25" x14ac:dyDescent="0.2">
      <c r="J165" s="158"/>
      <c r="K165" s="158"/>
      <c r="L165" s="158"/>
      <c r="M165" s="158"/>
      <c r="N165" s="158"/>
      <c r="O165" s="158"/>
      <c r="P165" s="158"/>
      <c r="Q165" s="158"/>
      <c r="R165" s="158"/>
      <c r="S165" s="158">
        <v>178</v>
      </c>
      <c r="T165" s="158">
        <v>150</v>
      </c>
      <c r="U165" s="158"/>
      <c r="V165" s="158"/>
      <c r="W165" s="158"/>
      <c r="X165" s="158"/>
      <c r="Y165" s="37"/>
    </row>
    <row r="166" spans="10:25" x14ac:dyDescent="0.2">
      <c r="J166" s="158"/>
      <c r="K166" s="158"/>
      <c r="L166" s="158"/>
      <c r="M166" s="158"/>
      <c r="N166" s="158"/>
      <c r="O166" s="158"/>
      <c r="P166" s="158"/>
      <c r="Q166" s="158"/>
      <c r="R166" s="158"/>
      <c r="S166" s="158">
        <v>179</v>
      </c>
      <c r="T166" s="158">
        <v>150</v>
      </c>
      <c r="U166" s="158"/>
      <c r="V166" s="158"/>
      <c r="W166" s="158"/>
      <c r="X166" s="158"/>
      <c r="Y166" s="37"/>
    </row>
    <row r="167" spans="10:25" x14ac:dyDescent="0.2">
      <c r="J167" s="158"/>
      <c r="K167" s="158"/>
      <c r="L167" s="158"/>
      <c r="M167" s="158"/>
      <c r="N167" s="158"/>
      <c r="O167" s="158"/>
      <c r="P167" s="158"/>
      <c r="Q167" s="158"/>
      <c r="R167" s="158"/>
      <c r="S167" s="158">
        <v>180</v>
      </c>
      <c r="T167" s="158">
        <v>150</v>
      </c>
      <c r="U167" s="158"/>
      <c r="V167" s="158"/>
      <c r="W167" s="158"/>
      <c r="X167" s="158"/>
      <c r="Y167" s="37"/>
    </row>
    <row r="168" spans="10:25" x14ac:dyDescent="0.2">
      <c r="J168" s="158"/>
      <c r="K168" s="158"/>
      <c r="L168" s="158"/>
      <c r="M168" s="158"/>
      <c r="N168" s="158"/>
      <c r="O168" s="158"/>
      <c r="P168" s="158"/>
      <c r="Q168" s="158"/>
      <c r="R168" s="158"/>
      <c r="S168" s="158">
        <v>181</v>
      </c>
      <c r="T168" s="158">
        <v>150</v>
      </c>
      <c r="U168" s="158"/>
      <c r="V168" s="158"/>
      <c r="W168" s="158"/>
      <c r="X168" s="158"/>
      <c r="Y168" s="37"/>
    </row>
    <row r="169" spans="10:25" x14ac:dyDescent="0.2">
      <c r="J169" s="158"/>
      <c r="K169" s="158"/>
      <c r="L169" s="158"/>
      <c r="M169" s="158"/>
      <c r="N169" s="158"/>
      <c r="O169" s="158"/>
      <c r="P169" s="158"/>
      <c r="Q169" s="158"/>
      <c r="R169" s="158"/>
      <c r="S169" s="158">
        <v>182</v>
      </c>
      <c r="T169" s="158">
        <v>150</v>
      </c>
      <c r="U169" s="158"/>
      <c r="V169" s="158"/>
      <c r="W169" s="158"/>
      <c r="X169" s="158"/>
      <c r="Y169" s="37"/>
    </row>
    <row r="170" spans="10:25" x14ac:dyDescent="0.2">
      <c r="J170" s="158"/>
      <c r="K170" s="158"/>
      <c r="L170" s="158"/>
      <c r="M170" s="158"/>
      <c r="N170" s="158"/>
      <c r="O170" s="158"/>
      <c r="P170" s="158"/>
      <c r="Q170" s="158"/>
      <c r="R170" s="158"/>
      <c r="S170" s="158">
        <v>183</v>
      </c>
      <c r="T170" s="158">
        <v>150</v>
      </c>
      <c r="U170" s="158"/>
      <c r="V170" s="158"/>
      <c r="W170" s="158"/>
      <c r="X170" s="158"/>
      <c r="Y170" s="37"/>
    </row>
    <row r="171" spans="10:25" x14ac:dyDescent="0.2">
      <c r="J171" s="158"/>
      <c r="K171" s="158"/>
      <c r="L171" s="158"/>
      <c r="M171" s="158"/>
      <c r="N171" s="158"/>
      <c r="O171" s="158"/>
      <c r="P171" s="158"/>
      <c r="Q171" s="158"/>
      <c r="R171" s="158"/>
      <c r="S171" s="158">
        <v>184</v>
      </c>
      <c r="T171" s="158">
        <v>150</v>
      </c>
      <c r="U171" s="158"/>
      <c r="V171" s="158"/>
      <c r="W171" s="158"/>
      <c r="X171" s="158"/>
      <c r="Y171" s="37"/>
    </row>
    <row r="172" spans="10:25" x14ac:dyDescent="0.2">
      <c r="J172" s="158"/>
      <c r="K172" s="158"/>
      <c r="L172" s="158"/>
      <c r="M172" s="158"/>
      <c r="N172" s="158"/>
      <c r="O172" s="158"/>
      <c r="P172" s="158"/>
      <c r="Q172" s="158"/>
      <c r="R172" s="158"/>
      <c r="S172" s="158">
        <v>185</v>
      </c>
      <c r="T172" s="158">
        <v>150</v>
      </c>
      <c r="U172" s="158"/>
      <c r="V172" s="158"/>
      <c r="W172" s="158"/>
      <c r="X172" s="158"/>
      <c r="Y172" s="37"/>
    </row>
    <row r="173" spans="10:25" x14ac:dyDescent="0.2">
      <c r="J173" s="158"/>
      <c r="K173" s="158"/>
      <c r="L173" s="158"/>
      <c r="M173" s="158"/>
      <c r="N173" s="158"/>
      <c r="O173" s="158"/>
      <c r="P173" s="158"/>
      <c r="Q173" s="158"/>
      <c r="R173" s="158"/>
      <c r="S173" s="158">
        <v>186</v>
      </c>
      <c r="T173" s="158">
        <v>150</v>
      </c>
      <c r="U173" s="158"/>
      <c r="V173" s="158"/>
      <c r="W173" s="158"/>
      <c r="X173" s="158"/>
      <c r="Y173" s="37"/>
    </row>
    <row r="174" spans="10:25" x14ac:dyDescent="0.2">
      <c r="J174" s="158"/>
      <c r="K174" s="158"/>
      <c r="L174" s="158"/>
      <c r="M174" s="158"/>
      <c r="N174" s="158"/>
      <c r="O174" s="158"/>
      <c r="P174" s="158"/>
      <c r="Q174" s="158"/>
      <c r="R174" s="158"/>
      <c r="S174" s="158">
        <v>187</v>
      </c>
      <c r="T174" s="158">
        <v>150</v>
      </c>
      <c r="U174" s="158"/>
      <c r="V174" s="158"/>
      <c r="W174" s="158"/>
      <c r="X174" s="158"/>
      <c r="Y174" s="37"/>
    </row>
    <row r="175" spans="10:25" x14ac:dyDescent="0.2">
      <c r="J175" s="158"/>
      <c r="K175" s="158"/>
      <c r="L175" s="158"/>
      <c r="M175" s="158"/>
      <c r="N175" s="158"/>
      <c r="O175" s="158"/>
      <c r="P175" s="158"/>
      <c r="Q175" s="158"/>
      <c r="R175" s="158"/>
      <c r="S175" s="158">
        <v>188</v>
      </c>
      <c r="T175" s="158">
        <v>150</v>
      </c>
      <c r="U175" s="158"/>
      <c r="V175" s="158"/>
      <c r="W175" s="158"/>
      <c r="X175" s="158"/>
      <c r="Y175" s="37"/>
    </row>
    <row r="176" spans="10:25" x14ac:dyDescent="0.2">
      <c r="J176" s="158"/>
      <c r="K176" s="158"/>
      <c r="L176" s="158"/>
      <c r="M176" s="158"/>
      <c r="N176" s="158"/>
      <c r="O176" s="158"/>
      <c r="P176" s="158"/>
      <c r="Q176" s="158"/>
      <c r="R176" s="158"/>
      <c r="S176" s="158">
        <v>189</v>
      </c>
      <c r="T176" s="158">
        <v>150</v>
      </c>
      <c r="U176" s="158"/>
      <c r="V176" s="158"/>
      <c r="W176" s="158"/>
      <c r="X176" s="158"/>
      <c r="Y176" s="37"/>
    </row>
    <row r="177" spans="10:25" x14ac:dyDescent="0.2">
      <c r="J177" s="158"/>
      <c r="K177" s="158"/>
      <c r="L177" s="158"/>
      <c r="M177" s="158"/>
      <c r="N177" s="158"/>
      <c r="O177" s="158"/>
      <c r="P177" s="158"/>
      <c r="Q177" s="158"/>
      <c r="R177" s="158"/>
      <c r="S177" s="158">
        <v>190</v>
      </c>
      <c r="T177" s="158">
        <v>150</v>
      </c>
      <c r="U177" s="158"/>
      <c r="V177" s="158"/>
      <c r="W177" s="158"/>
      <c r="X177" s="158"/>
      <c r="Y177" s="37"/>
    </row>
    <row r="178" spans="10:25" x14ac:dyDescent="0.2">
      <c r="J178" s="158"/>
      <c r="K178" s="158"/>
      <c r="L178" s="158"/>
      <c r="M178" s="158"/>
      <c r="N178" s="158"/>
      <c r="O178" s="158"/>
      <c r="P178" s="158"/>
      <c r="Q178" s="158"/>
      <c r="R178" s="158"/>
      <c r="S178" s="158">
        <v>191</v>
      </c>
      <c r="T178" s="158">
        <v>150</v>
      </c>
      <c r="U178" s="158"/>
      <c r="V178" s="158"/>
      <c r="W178" s="158"/>
      <c r="X178" s="158"/>
      <c r="Y178" s="37"/>
    </row>
    <row r="179" spans="10:25" x14ac:dyDescent="0.2">
      <c r="J179" s="158"/>
      <c r="K179" s="158"/>
      <c r="L179" s="158"/>
      <c r="M179" s="158"/>
      <c r="N179" s="158"/>
      <c r="O179" s="158"/>
      <c r="P179" s="158"/>
      <c r="Q179" s="158"/>
      <c r="R179" s="158"/>
      <c r="S179" s="158">
        <v>192</v>
      </c>
      <c r="T179" s="158">
        <v>150</v>
      </c>
      <c r="U179" s="158"/>
      <c r="V179" s="158"/>
      <c r="W179" s="158"/>
      <c r="X179" s="158"/>
      <c r="Y179" s="37"/>
    </row>
    <row r="180" spans="10:25" x14ac:dyDescent="0.2">
      <c r="J180" s="158"/>
      <c r="K180" s="158"/>
      <c r="L180" s="158"/>
      <c r="M180" s="158"/>
      <c r="N180" s="158"/>
      <c r="O180" s="158"/>
      <c r="P180" s="158"/>
      <c r="Q180" s="158"/>
      <c r="R180" s="158"/>
      <c r="S180" s="158">
        <v>193</v>
      </c>
      <c r="T180" s="158">
        <v>150</v>
      </c>
      <c r="U180" s="158"/>
      <c r="V180" s="158"/>
      <c r="W180" s="158"/>
      <c r="X180" s="158"/>
      <c r="Y180" s="37"/>
    </row>
    <row r="181" spans="10:25" x14ac:dyDescent="0.2">
      <c r="J181" s="158"/>
      <c r="K181" s="158"/>
      <c r="L181" s="158"/>
      <c r="M181" s="158"/>
      <c r="N181" s="158"/>
      <c r="O181" s="158"/>
      <c r="P181" s="158"/>
      <c r="Q181" s="158"/>
      <c r="R181" s="158"/>
      <c r="S181" s="158">
        <v>194</v>
      </c>
      <c r="T181" s="158">
        <v>150</v>
      </c>
      <c r="U181" s="158"/>
      <c r="V181" s="158"/>
      <c r="W181" s="158"/>
      <c r="X181" s="158"/>
      <c r="Y181" s="37"/>
    </row>
    <row r="182" spans="10:25" x14ac:dyDescent="0.2">
      <c r="J182" s="158"/>
      <c r="K182" s="158"/>
      <c r="L182" s="158"/>
      <c r="M182" s="158"/>
      <c r="N182" s="158"/>
      <c r="O182" s="158"/>
      <c r="P182" s="158"/>
      <c r="Q182" s="158"/>
      <c r="R182" s="158"/>
      <c r="S182" s="158">
        <v>195</v>
      </c>
      <c r="T182" s="158">
        <v>150</v>
      </c>
      <c r="U182" s="158"/>
      <c r="V182" s="158"/>
      <c r="W182" s="158"/>
      <c r="X182" s="158"/>
      <c r="Y182" s="37"/>
    </row>
    <row r="183" spans="10:25" x14ac:dyDescent="0.2">
      <c r="J183" s="158"/>
      <c r="K183" s="158"/>
      <c r="L183" s="158"/>
      <c r="M183" s="158"/>
      <c r="N183" s="158"/>
      <c r="O183" s="158"/>
      <c r="P183" s="158"/>
      <c r="Q183" s="158"/>
      <c r="R183" s="158"/>
      <c r="S183" s="158">
        <v>196</v>
      </c>
      <c r="T183" s="158">
        <v>150</v>
      </c>
      <c r="U183" s="158"/>
      <c r="V183" s="158"/>
      <c r="W183" s="158"/>
      <c r="X183" s="158"/>
      <c r="Y183" s="37"/>
    </row>
    <row r="184" spans="10:25" x14ac:dyDescent="0.2">
      <c r="J184" s="158"/>
      <c r="K184" s="158"/>
      <c r="L184" s="158"/>
      <c r="M184" s="158"/>
      <c r="N184" s="158"/>
      <c r="O184" s="158"/>
      <c r="P184" s="158"/>
      <c r="Q184" s="158"/>
      <c r="R184" s="158"/>
      <c r="S184" s="158">
        <v>197</v>
      </c>
      <c r="T184" s="158">
        <v>150</v>
      </c>
      <c r="U184" s="158"/>
      <c r="V184" s="158"/>
      <c r="W184" s="158"/>
      <c r="X184" s="158"/>
      <c r="Y184" s="37"/>
    </row>
    <row r="185" spans="10:25" x14ac:dyDescent="0.2">
      <c r="J185" s="158"/>
      <c r="K185" s="158"/>
      <c r="L185" s="158"/>
      <c r="M185" s="158"/>
      <c r="N185" s="158"/>
      <c r="O185" s="158"/>
      <c r="P185" s="158"/>
      <c r="Q185" s="158"/>
      <c r="R185" s="158"/>
      <c r="S185" s="158">
        <v>198</v>
      </c>
      <c r="T185" s="158">
        <v>150</v>
      </c>
      <c r="U185" s="158"/>
      <c r="V185" s="158"/>
      <c r="W185" s="158"/>
      <c r="X185" s="158"/>
      <c r="Y185" s="37"/>
    </row>
    <row r="186" spans="10:25" x14ac:dyDescent="0.2">
      <c r="J186" s="158"/>
      <c r="K186" s="158"/>
      <c r="L186" s="158"/>
      <c r="M186" s="158"/>
      <c r="N186" s="158"/>
      <c r="O186" s="158"/>
      <c r="P186" s="158"/>
      <c r="Q186" s="158"/>
      <c r="R186" s="158"/>
      <c r="S186" s="158">
        <v>199</v>
      </c>
      <c r="T186" s="158">
        <v>150</v>
      </c>
      <c r="U186" s="158"/>
      <c r="V186" s="158"/>
      <c r="W186" s="158"/>
      <c r="X186" s="158"/>
      <c r="Y186" s="37"/>
    </row>
    <row r="187" spans="10:25" x14ac:dyDescent="0.2">
      <c r="J187" s="158"/>
      <c r="K187" s="158"/>
      <c r="L187" s="158"/>
      <c r="M187" s="158"/>
      <c r="N187" s="158"/>
      <c r="O187" s="158"/>
      <c r="P187" s="158"/>
      <c r="Q187" s="158"/>
      <c r="R187" s="158"/>
      <c r="S187" s="158">
        <v>200</v>
      </c>
      <c r="T187" s="158">
        <v>150</v>
      </c>
      <c r="U187" s="158">
        <v>200</v>
      </c>
      <c r="V187" s="158"/>
      <c r="W187" s="158"/>
      <c r="X187" s="158"/>
      <c r="Y187" s="37"/>
    </row>
    <row r="188" spans="10:25" x14ac:dyDescent="0.2">
      <c r="J188" s="158"/>
      <c r="K188" s="158"/>
      <c r="L188" s="158"/>
      <c r="M188" s="158"/>
      <c r="N188" s="158"/>
      <c r="O188" s="158"/>
      <c r="P188" s="158"/>
      <c r="Q188" s="158"/>
      <c r="R188" s="158"/>
      <c r="S188" s="158">
        <v>201</v>
      </c>
      <c r="T188" s="158">
        <v>150</v>
      </c>
      <c r="U188" s="158"/>
      <c r="V188" s="158"/>
      <c r="W188" s="158"/>
      <c r="X188" s="158"/>
      <c r="Y188" s="37"/>
    </row>
    <row r="189" spans="10:25" x14ac:dyDescent="0.2">
      <c r="J189" s="158"/>
      <c r="K189" s="158"/>
      <c r="L189" s="158"/>
      <c r="M189" s="158"/>
      <c r="N189" s="158"/>
      <c r="O189" s="158"/>
      <c r="P189" s="158"/>
      <c r="Q189" s="158"/>
      <c r="R189" s="158"/>
      <c r="S189" s="158">
        <v>202</v>
      </c>
      <c r="T189" s="158">
        <v>150</v>
      </c>
      <c r="U189" s="158"/>
      <c r="V189" s="158"/>
      <c r="W189" s="158"/>
      <c r="X189" s="158"/>
      <c r="Y189" s="37"/>
    </row>
    <row r="190" spans="10:25" x14ac:dyDescent="0.2">
      <c r="J190" s="158"/>
      <c r="K190" s="158"/>
      <c r="L190" s="158"/>
      <c r="M190" s="158"/>
      <c r="N190" s="158"/>
      <c r="O190" s="158"/>
      <c r="P190" s="158"/>
      <c r="Q190" s="158"/>
      <c r="R190" s="158"/>
      <c r="S190" s="158">
        <v>203</v>
      </c>
      <c r="T190" s="158">
        <v>150</v>
      </c>
      <c r="U190" s="158"/>
      <c r="V190" s="158"/>
      <c r="W190" s="158"/>
      <c r="X190" s="158"/>
      <c r="Y190" s="37"/>
    </row>
    <row r="191" spans="10:25" x14ac:dyDescent="0.2">
      <c r="J191" s="158"/>
      <c r="K191" s="158"/>
      <c r="L191" s="158"/>
      <c r="M191" s="158"/>
      <c r="N191" s="158"/>
      <c r="O191" s="158"/>
      <c r="P191" s="158"/>
      <c r="Q191" s="158"/>
      <c r="R191" s="158"/>
      <c r="S191" s="158">
        <v>204</v>
      </c>
      <c r="T191" s="158">
        <v>150</v>
      </c>
      <c r="U191" s="158"/>
      <c r="V191" s="158"/>
      <c r="W191" s="158"/>
      <c r="X191" s="158"/>
      <c r="Y191" s="37"/>
    </row>
    <row r="192" spans="10:25" x14ac:dyDescent="0.2">
      <c r="J192" s="158"/>
      <c r="K192" s="158"/>
      <c r="L192" s="158"/>
      <c r="M192" s="158"/>
      <c r="N192" s="158"/>
      <c r="O192" s="158"/>
      <c r="P192" s="158"/>
      <c r="Q192" s="158"/>
      <c r="R192" s="158"/>
      <c r="S192" s="158">
        <v>205</v>
      </c>
      <c r="T192" s="158">
        <v>150</v>
      </c>
      <c r="U192" s="158"/>
      <c r="V192" s="158"/>
      <c r="W192" s="158"/>
      <c r="X192" s="158"/>
      <c r="Y192" s="37"/>
    </row>
    <row r="193" spans="10:25" x14ac:dyDescent="0.2">
      <c r="J193" s="158"/>
      <c r="K193" s="158"/>
      <c r="L193" s="158"/>
      <c r="M193" s="158"/>
      <c r="N193" s="158"/>
      <c r="O193" s="158"/>
      <c r="P193" s="158"/>
      <c r="Q193" s="158"/>
      <c r="R193" s="158"/>
      <c r="S193" s="158">
        <v>206</v>
      </c>
      <c r="T193" s="158">
        <v>150</v>
      </c>
      <c r="U193" s="158"/>
      <c r="V193" s="158"/>
      <c r="W193" s="158"/>
      <c r="X193" s="158"/>
      <c r="Y193" s="37"/>
    </row>
    <row r="194" spans="10:25" x14ac:dyDescent="0.2">
      <c r="J194" s="158"/>
      <c r="K194" s="158"/>
      <c r="L194" s="158"/>
      <c r="M194" s="158"/>
      <c r="N194" s="158"/>
      <c r="O194" s="158"/>
      <c r="P194" s="158"/>
      <c r="Q194" s="158"/>
      <c r="R194" s="158"/>
      <c r="S194" s="158">
        <v>207</v>
      </c>
      <c r="T194" s="158">
        <v>150</v>
      </c>
      <c r="U194" s="158"/>
      <c r="V194" s="158"/>
      <c r="W194" s="158"/>
      <c r="X194" s="158"/>
      <c r="Y194" s="37"/>
    </row>
    <row r="195" spans="10:25" x14ac:dyDescent="0.2">
      <c r="J195" s="158"/>
      <c r="K195" s="158"/>
      <c r="L195" s="158"/>
      <c r="M195" s="158"/>
      <c r="N195" s="158"/>
      <c r="O195" s="158"/>
      <c r="P195" s="158"/>
      <c r="Q195" s="158"/>
      <c r="R195" s="158"/>
      <c r="S195" s="158">
        <v>208</v>
      </c>
      <c r="T195" s="158">
        <v>150</v>
      </c>
      <c r="U195" s="158"/>
      <c r="V195" s="158"/>
      <c r="W195" s="158"/>
      <c r="X195" s="158"/>
      <c r="Y195" s="37"/>
    </row>
    <row r="196" spans="10:25" x14ac:dyDescent="0.2">
      <c r="J196" s="158"/>
      <c r="K196" s="158"/>
      <c r="L196" s="158"/>
      <c r="M196" s="158"/>
      <c r="N196" s="158"/>
      <c r="O196" s="158"/>
      <c r="P196" s="158"/>
      <c r="Q196" s="158"/>
      <c r="R196" s="158"/>
      <c r="S196" s="158">
        <v>209</v>
      </c>
      <c r="T196" s="158">
        <v>150</v>
      </c>
      <c r="U196" s="158"/>
      <c r="V196" s="158"/>
      <c r="W196" s="158"/>
      <c r="X196" s="158"/>
      <c r="Y196" s="37"/>
    </row>
    <row r="197" spans="10:25" x14ac:dyDescent="0.2">
      <c r="J197" s="158"/>
      <c r="K197" s="158"/>
      <c r="L197" s="158"/>
      <c r="M197" s="158"/>
      <c r="N197" s="158"/>
      <c r="O197" s="158"/>
      <c r="P197" s="158"/>
      <c r="Q197" s="158"/>
      <c r="R197" s="158"/>
      <c r="S197" s="158">
        <v>210</v>
      </c>
      <c r="T197" s="158">
        <v>150</v>
      </c>
      <c r="U197" s="158"/>
      <c r="V197" s="158"/>
      <c r="W197" s="158"/>
      <c r="X197" s="158"/>
      <c r="Y197" s="37"/>
    </row>
    <row r="198" spans="10:25" x14ac:dyDescent="0.2">
      <c r="J198" s="158"/>
      <c r="K198" s="158"/>
      <c r="L198" s="158"/>
      <c r="M198" s="158"/>
      <c r="N198" s="158"/>
      <c r="O198" s="158"/>
      <c r="P198" s="158"/>
      <c r="Q198" s="158"/>
      <c r="R198" s="158"/>
      <c r="S198" s="158">
        <v>211</v>
      </c>
      <c r="T198" s="158">
        <v>150</v>
      </c>
      <c r="U198" s="158"/>
      <c r="V198" s="158"/>
      <c r="W198" s="158"/>
      <c r="X198" s="158"/>
      <c r="Y198" s="37"/>
    </row>
    <row r="199" spans="10:25" x14ac:dyDescent="0.2">
      <c r="J199" s="158"/>
      <c r="K199" s="158"/>
      <c r="L199" s="158"/>
      <c r="M199" s="158"/>
      <c r="N199" s="158"/>
      <c r="O199" s="158"/>
      <c r="P199" s="158"/>
      <c r="Q199" s="158"/>
      <c r="R199" s="158"/>
      <c r="S199" s="158">
        <v>212</v>
      </c>
      <c r="T199" s="158">
        <v>150</v>
      </c>
      <c r="U199" s="158"/>
      <c r="V199" s="158"/>
      <c r="W199" s="158"/>
      <c r="X199" s="158"/>
      <c r="Y199" s="37"/>
    </row>
    <row r="200" spans="10:25" x14ac:dyDescent="0.2">
      <c r="J200" s="158"/>
      <c r="K200" s="158"/>
      <c r="L200" s="158"/>
      <c r="M200" s="158"/>
      <c r="N200" s="158"/>
      <c r="O200" s="158"/>
      <c r="P200" s="158"/>
      <c r="Q200" s="158"/>
      <c r="R200" s="158"/>
      <c r="S200" s="158">
        <v>213</v>
      </c>
      <c r="T200" s="158">
        <v>150</v>
      </c>
      <c r="U200" s="158"/>
      <c r="V200" s="158"/>
      <c r="W200" s="158"/>
      <c r="X200" s="158"/>
      <c r="Y200" s="37"/>
    </row>
    <row r="201" spans="10:25" x14ac:dyDescent="0.2">
      <c r="J201" s="158"/>
      <c r="K201" s="158"/>
      <c r="L201" s="158"/>
      <c r="M201" s="158"/>
      <c r="N201" s="158"/>
      <c r="O201" s="158"/>
      <c r="P201" s="158"/>
      <c r="Q201" s="158"/>
      <c r="R201" s="158"/>
      <c r="S201" s="158">
        <v>214</v>
      </c>
      <c r="T201" s="158">
        <v>150</v>
      </c>
      <c r="U201" s="158"/>
      <c r="V201" s="158"/>
      <c r="W201" s="158"/>
      <c r="X201" s="158"/>
      <c r="Y201" s="37"/>
    </row>
    <row r="202" spans="10:25" x14ac:dyDescent="0.2">
      <c r="J202" s="158"/>
      <c r="K202" s="158"/>
      <c r="L202" s="158"/>
      <c r="M202" s="158"/>
      <c r="N202" s="158"/>
      <c r="O202" s="158"/>
      <c r="P202" s="158"/>
      <c r="Q202" s="158"/>
      <c r="R202" s="158"/>
      <c r="S202" s="158">
        <v>215</v>
      </c>
      <c r="T202" s="158">
        <v>150</v>
      </c>
      <c r="U202" s="158"/>
      <c r="V202" s="158"/>
      <c r="W202" s="158"/>
      <c r="X202" s="158"/>
      <c r="Y202" s="37"/>
    </row>
    <row r="203" spans="10:25" x14ac:dyDescent="0.2">
      <c r="J203" s="158"/>
      <c r="K203" s="158"/>
      <c r="L203" s="158"/>
      <c r="M203" s="158"/>
      <c r="N203" s="158"/>
      <c r="O203" s="158"/>
      <c r="P203" s="158"/>
      <c r="Q203" s="158"/>
      <c r="R203" s="158"/>
      <c r="S203" s="158">
        <v>216</v>
      </c>
      <c r="T203" s="158">
        <v>150</v>
      </c>
      <c r="U203" s="158"/>
      <c r="V203" s="158"/>
      <c r="W203" s="158"/>
      <c r="X203" s="158"/>
      <c r="Y203" s="37"/>
    </row>
    <row r="204" spans="10:25" x14ac:dyDescent="0.2">
      <c r="J204" s="158"/>
      <c r="K204" s="158"/>
      <c r="L204" s="158"/>
      <c r="M204" s="158"/>
      <c r="N204" s="158"/>
      <c r="O204" s="158"/>
      <c r="P204" s="158"/>
      <c r="Q204" s="158"/>
      <c r="R204" s="158"/>
      <c r="S204" s="158">
        <v>217</v>
      </c>
      <c r="T204" s="158">
        <v>150</v>
      </c>
      <c r="U204" s="158"/>
      <c r="V204" s="158"/>
      <c r="W204" s="158"/>
      <c r="X204" s="158"/>
      <c r="Y204" s="37"/>
    </row>
    <row r="205" spans="10:25" x14ac:dyDescent="0.2">
      <c r="J205" s="158"/>
      <c r="K205" s="158"/>
      <c r="L205" s="158"/>
      <c r="M205" s="158"/>
      <c r="N205" s="158"/>
      <c r="O205" s="158"/>
      <c r="P205" s="158"/>
      <c r="Q205" s="158"/>
      <c r="R205" s="158"/>
      <c r="S205" s="158">
        <v>218</v>
      </c>
      <c r="T205" s="158">
        <v>150</v>
      </c>
      <c r="U205" s="158"/>
      <c r="V205" s="158"/>
      <c r="W205" s="158"/>
      <c r="X205" s="158"/>
      <c r="Y205" s="37"/>
    </row>
    <row r="206" spans="10:25" x14ac:dyDescent="0.2">
      <c r="J206" s="158"/>
      <c r="K206" s="158"/>
      <c r="L206" s="158"/>
      <c r="M206" s="158"/>
      <c r="N206" s="158"/>
      <c r="O206" s="158"/>
      <c r="P206" s="158"/>
      <c r="Q206" s="158"/>
      <c r="R206" s="158"/>
      <c r="S206" s="158">
        <v>219</v>
      </c>
      <c r="T206" s="158">
        <v>150</v>
      </c>
      <c r="U206" s="158"/>
      <c r="V206" s="158"/>
      <c r="W206" s="158"/>
      <c r="X206" s="158"/>
      <c r="Y206" s="37"/>
    </row>
    <row r="207" spans="10:25" x14ac:dyDescent="0.2">
      <c r="J207" s="158"/>
      <c r="K207" s="158"/>
      <c r="L207" s="158"/>
      <c r="M207" s="158"/>
      <c r="N207" s="158"/>
      <c r="O207" s="158"/>
      <c r="P207" s="158"/>
      <c r="Q207" s="158"/>
      <c r="R207" s="158"/>
      <c r="S207" s="158">
        <v>220</v>
      </c>
      <c r="T207" s="158">
        <v>150</v>
      </c>
      <c r="U207" s="158"/>
      <c r="V207" s="158"/>
      <c r="W207" s="158"/>
      <c r="X207" s="158"/>
      <c r="Y207" s="37"/>
    </row>
    <row r="208" spans="10:25" x14ac:dyDescent="0.2">
      <c r="J208" s="158"/>
      <c r="K208" s="158"/>
      <c r="L208" s="158"/>
      <c r="M208" s="158"/>
      <c r="N208" s="158"/>
      <c r="O208" s="158"/>
      <c r="P208" s="158"/>
      <c r="Q208" s="158"/>
      <c r="R208" s="158"/>
      <c r="S208" s="158">
        <v>221</v>
      </c>
      <c r="T208" s="158">
        <v>150</v>
      </c>
      <c r="U208" s="158"/>
      <c r="V208" s="158"/>
      <c r="W208" s="158"/>
      <c r="X208" s="158"/>
      <c r="Y208" s="37"/>
    </row>
    <row r="209" spans="10:25" x14ac:dyDescent="0.2">
      <c r="J209" s="158"/>
      <c r="K209" s="158"/>
      <c r="L209" s="158"/>
      <c r="M209" s="158"/>
      <c r="N209" s="158"/>
      <c r="O209" s="158"/>
      <c r="P209" s="158"/>
      <c r="Q209" s="158"/>
      <c r="R209" s="158"/>
      <c r="S209" s="158">
        <v>222</v>
      </c>
      <c r="T209" s="158">
        <v>150</v>
      </c>
      <c r="U209" s="158"/>
      <c r="V209" s="158"/>
      <c r="W209" s="158"/>
      <c r="X209" s="158"/>
      <c r="Y209" s="37"/>
    </row>
    <row r="210" spans="10:25" x14ac:dyDescent="0.2">
      <c r="J210" s="158"/>
      <c r="K210" s="158"/>
      <c r="L210" s="158"/>
      <c r="M210" s="158"/>
      <c r="N210" s="158"/>
      <c r="O210" s="158"/>
      <c r="P210" s="158"/>
      <c r="Q210" s="158"/>
      <c r="R210" s="158"/>
      <c r="S210" s="158">
        <v>223</v>
      </c>
      <c r="T210" s="158">
        <v>150</v>
      </c>
      <c r="U210" s="158"/>
      <c r="V210" s="158"/>
      <c r="W210" s="158"/>
      <c r="X210" s="158"/>
      <c r="Y210" s="37"/>
    </row>
    <row r="211" spans="10:25" x14ac:dyDescent="0.2">
      <c r="J211" s="158"/>
      <c r="K211" s="158"/>
      <c r="L211" s="158"/>
      <c r="M211" s="158"/>
      <c r="N211" s="158"/>
      <c r="O211" s="158"/>
      <c r="P211" s="158"/>
      <c r="Q211" s="158"/>
      <c r="R211" s="158"/>
      <c r="S211" s="158">
        <v>224</v>
      </c>
      <c r="T211" s="158">
        <v>150</v>
      </c>
      <c r="U211" s="158"/>
      <c r="V211" s="158"/>
      <c r="W211" s="158"/>
      <c r="X211" s="158"/>
      <c r="Y211" s="37"/>
    </row>
    <row r="212" spans="10:25" x14ac:dyDescent="0.2">
      <c r="J212" s="158"/>
      <c r="K212" s="158"/>
      <c r="L212" s="158"/>
      <c r="M212" s="158"/>
      <c r="N212" s="158"/>
      <c r="O212" s="158"/>
      <c r="P212" s="158"/>
      <c r="Q212" s="158"/>
      <c r="R212" s="158"/>
      <c r="S212" s="158">
        <v>225</v>
      </c>
      <c r="T212" s="158">
        <v>150</v>
      </c>
      <c r="U212" s="158"/>
      <c r="V212" s="158"/>
      <c r="W212" s="158"/>
      <c r="X212" s="158"/>
      <c r="Y212" s="37"/>
    </row>
    <row r="213" spans="10:25" x14ac:dyDescent="0.2">
      <c r="J213" s="158"/>
      <c r="K213" s="158"/>
      <c r="L213" s="158"/>
      <c r="M213" s="158"/>
      <c r="N213" s="158"/>
      <c r="O213" s="158"/>
      <c r="P213" s="158"/>
      <c r="Q213" s="158"/>
      <c r="R213" s="158"/>
      <c r="S213" s="158">
        <v>226</v>
      </c>
      <c r="T213" s="158">
        <v>150</v>
      </c>
      <c r="U213" s="158"/>
      <c r="V213" s="158"/>
      <c r="W213" s="158"/>
      <c r="X213" s="158"/>
      <c r="Y213" s="37"/>
    </row>
    <row r="214" spans="10:25" x14ac:dyDescent="0.2">
      <c r="J214" s="158"/>
      <c r="K214" s="158"/>
      <c r="L214" s="158"/>
      <c r="M214" s="158"/>
      <c r="N214" s="158"/>
      <c r="O214" s="158"/>
      <c r="P214" s="158"/>
      <c r="Q214" s="158"/>
      <c r="R214" s="158"/>
      <c r="S214" s="158">
        <v>227</v>
      </c>
      <c r="T214" s="158">
        <v>150</v>
      </c>
      <c r="U214" s="158"/>
      <c r="V214" s="158"/>
      <c r="W214" s="158"/>
      <c r="X214" s="158"/>
      <c r="Y214" s="37"/>
    </row>
    <row r="215" spans="10:25" x14ac:dyDescent="0.2">
      <c r="J215" s="158"/>
      <c r="K215" s="158"/>
      <c r="L215" s="158"/>
      <c r="M215" s="158"/>
      <c r="N215" s="158"/>
      <c r="O215" s="158"/>
      <c r="P215" s="158"/>
      <c r="Q215" s="158"/>
      <c r="R215" s="158"/>
      <c r="S215" s="158">
        <v>228</v>
      </c>
      <c r="T215" s="158">
        <v>150</v>
      </c>
      <c r="U215" s="158"/>
      <c r="V215" s="158"/>
      <c r="W215" s="158"/>
      <c r="X215" s="158"/>
      <c r="Y215" s="37"/>
    </row>
    <row r="216" spans="10:25" x14ac:dyDescent="0.2">
      <c r="J216" s="158"/>
      <c r="K216" s="158"/>
      <c r="L216" s="158"/>
      <c r="M216" s="158"/>
      <c r="N216" s="158"/>
      <c r="O216" s="158"/>
      <c r="P216" s="158"/>
      <c r="Q216" s="158"/>
      <c r="R216" s="158"/>
      <c r="S216" s="158">
        <v>229</v>
      </c>
      <c r="T216" s="158">
        <v>150</v>
      </c>
      <c r="U216" s="158"/>
      <c r="V216" s="158"/>
      <c r="W216" s="158"/>
      <c r="X216" s="158"/>
      <c r="Y216" s="37"/>
    </row>
    <row r="217" spans="10:25" x14ac:dyDescent="0.2">
      <c r="J217" s="158"/>
      <c r="K217" s="158"/>
      <c r="L217" s="158"/>
      <c r="M217" s="158"/>
      <c r="N217" s="158"/>
      <c r="O217" s="158"/>
      <c r="P217" s="158"/>
      <c r="Q217" s="158"/>
      <c r="R217" s="158"/>
      <c r="S217" s="158">
        <v>230</v>
      </c>
      <c r="T217" s="158">
        <v>150</v>
      </c>
      <c r="U217" s="158"/>
      <c r="V217" s="158"/>
      <c r="W217" s="158"/>
      <c r="X217" s="158"/>
      <c r="Y217" s="37"/>
    </row>
    <row r="218" spans="10:25" x14ac:dyDescent="0.2">
      <c r="J218" s="158"/>
      <c r="K218" s="158"/>
      <c r="L218" s="158"/>
      <c r="M218" s="158"/>
      <c r="N218" s="158"/>
      <c r="O218" s="158"/>
      <c r="P218" s="158"/>
      <c r="Q218" s="158"/>
      <c r="R218" s="158"/>
      <c r="S218" s="158">
        <v>231</v>
      </c>
      <c r="T218" s="158">
        <v>150</v>
      </c>
      <c r="U218" s="158"/>
      <c r="V218" s="158"/>
      <c r="W218" s="158"/>
      <c r="X218" s="158"/>
      <c r="Y218" s="37"/>
    </row>
    <row r="219" spans="10:25" x14ac:dyDescent="0.2">
      <c r="J219" s="158"/>
      <c r="K219" s="158"/>
      <c r="L219" s="158"/>
      <c r="M219" s="158"/>
      <c r="N219" s="158"/>
      <c r="O219" s="158"/>
      <c r="P219" s="158"/>
      <c r="Q219" s="158"/>
      <c r="R219" s="158"/>
      <c r="S219" s="158">
        <v>232</v>
      </c>
      <c r="T219" s="158">
        <v>150</v>
      </c>
      <c r="U219" s="158"/>
      <c r="V219" s="158"/>
      <c r="W219" s="158"/>
      <c r="X219" s="158"/>
      <c r="Y219" s="37"/>
    </row>
    <row r="220" spans="10:25" x14ac:dyDescent="0.2">
      <c r="J220" s="158"/>
      <c r="K220" s="158"/>
      <c r="L220" s="158"/>
      <c r="M220" s="158"/>
      <c r="N220" s="158"/>
      <c r="O220" s="158"/>
      <c r="P220" s="158"/>
      <c r="Q220" s="158"/>
      <c r="R220" s="158"/>
      <c r="S220" s="158">
        <v>233</v>
      </c>
      <c r="T220" s="158">
        <v>150</v>
      </c>
      <c r="U220" s="158"/>
      <c r="V220" s="158"/>
      <c r="W220" s="158"/>
      <c r="X220" s="158"/>
      <c r="Y220" s="37"/>
    </row>
    <row r="221" spans="10:25" x14ac:dyDescent="0.2">
      <c r="J221" s="158"/>
      <c r="K221" s="158"/>
      <c r="L221" s="158"/>
      <c r="M221" s="158"/>
      <c r="N221" s="158"/>
      <c r="O221" s="158"/>
      <c r="P221" s="158"/>
      <c r="Q221" s="158"/>
      <c r="R221" s="158"/>
      <c r="S221" s="158">
        <v>234</v>
      </c>
      <c r="T221" s="158">
        <v>150</v>
      </c>
      <c r="U221" s="158"/>
      <c r="V221" s="158"/>
      <c r="W221" s="158"/>
      <c r="X221" s="158"/>
      <c r="Y221" s="37"/>
    </row>
    <row r="222" spans="10:25" x14ac:dyDescent="0.2">
      <c r="J222" s="158"/>
      <c r="K222" s="158"/>
      <c r="L222" s="158"/>
      <c r="M222" s="158"/>
      <c r="N222" s="158"/>
      <c r="O222" s="158"/>
      <c r="P222" s="158"/>
      <c r="Q222" s="158"/>
      <c r="R222" s="158"/>
      <c r="S222" s="158">
        <v>235</v>
      </c>
      <c r="T222" s="158">
        <v>150</v>
      </c>
      <c r="U222" s="158"/>
      <c r="V222" s="158"/>
      <c r="W222" s="158"/>
      <c r="X222" s="158"/>
      <c r="Y222" s="37"/>
    </row>
    <row r="223" spans="10:25" x14ac:dyDescent="0.2">
      <c r="J223" s="158"/>
      <c r="K223" s="158"/>
      <c r="L223" s="158"/>
      <c r="M223" s="158"/>
      <c r="N223" s="158"/>
      <c r="O223" s="158"/>
      <c r="P223" s="158"/>
      <c r="Q223" s="158"/>
      <c r="R223" s="158"/>
      <c r="S223" s="158">
        <v>236</v>
      </c>
      <c r="T223" s="158">
        <v>150</v>
      </c>
      <c r="U223" s="158"/>
      <c r="V223" s="158"/>
      <c r="W223" s="158"/>
      <c r="X223" s="158"/>
      <c r="Y223" s="37"/>
    </row>
    <row r="224" spans="10:25" x14ac:dyDescent="0.2">
      <c r="J224" s="158"/>
      <c r="K224" s="158"/>
      <c r="L224" s="158"/>
      <c r="M224" s="158"/>
      <c r="N224" s="158"/>
      <c r="O224" s="158"/>
      <c r="P224" s="158"/>
      <c r="Q224" s="158"/>
      <c r="R224" s="158"/>
      <c r="S224" s="158">
        <v>237</v>
      </c>
      <c r="T224" s="158">
        <v>150</v>
      </c>
      <c r="U224" s="158"/>
      <c r="V224" s="158"/>
      <c r="W224" s="158"/>
      <c r="X224" s="158"/>
      <c r="Y224" s="37"/>
    </row>
    <row r="225" spans="10:25" x14ac:dyDescent="0.2">
      <c r="J225" s="158"/>
      <c r="K225" s="158"/>
      <c r="L225" s="158"/>
      <c r="M225" s="158"/>
      <c r="N225" s="158"/>
      <c r="O225" s="158"/>
      <c r="P225" s="158"/>
      <c r="Q225" s="158"/>
      <c r="R225" s="158"/>
      <c r="S225" s="158">
        <v>238</v>
      </c>
      <c r="T225" s="158">
        <v>150</v>
      </c>
      <c r="U225" s="158"/>
      <c r="V225" s="158"/>
      <c r="W225" s="158"/>
      <c r="X225" s="158"/>
      <c r="Y225" s="37"/>
    </row>
    <row r="226" spans="10:25" x14ac:dyDescent="0.2">
      <c r="J226" s="158"/>
      <c r="K226" s="158"/>
      <c r="L226" s="158"/>
      <c r="M226" s="158"/>
      <c r="N226" s="158"/>
      <c r="O226" s="158"/>
      <c r="P226" s="158"/>
      <c r="Q226" s="158"/>
      <c r="R226" s="158"/>
      <c r="S226" s="158">
        <v>239</v>
      </c>
      <c r="T226" s="158">
        <v>150</v>
      </c>
      <c r="U226" s="158"/>
      <c r="V226" s="158"/>
      <c r="W226" s="158"/>
      <c r="X226" s="158"/>
      <c r="Y226" s="37"/>
    </row>
    <row r="227" spans="10:25" x14ac:dyDescent="0.2">
      <c r="J227" s="158"/>
      <c r="K227" s="158"/>
      <c r="L227" s="158"/>
      <c r="M227" s="158"/>
      <c r="N227" s="158"/>
      <c r="O227" s="158"/>
      <c r="P227" s="158"/>
      <c r="Q227" s="158"/>
      <c r="R227" s="158"/>
      <c r="S227" s="158">
        <v>240</v>
      </c>
      <c r="T227" s="158">
        <v>150</v>
      </c>
      <c r="U227" s="158"/>
      <c r="V227" s="158"/>
      <c r="W227" s="158"/>
      <c r="X227" s="158"/>
      <c r="Y227" s="37"/>
    </row>
    <row r="228" spans="10:25" x14ac:dyDescent="0.2">
      <c r="J228" s="158"/>
      <c r="K228" s="158"/>
      <c r="L228" s="158"/>
      <c r="M228" s="158"/>
      <c r="N228" s="158"/>
      <c r="O228" s="158"/>
      <c r="P228" s="158"/>
      <c r="Q228" s="158"/>
      <c r="R228" s="158"/>
      <c r="S228" s="158">
        <v>241</v>
      </c>
      <c r="T228" s="158">
        <v>150</v>
      </c>
      <c r="U228" s="158"/>
      <c r="V228" s="158"/>
      <c r="W228" s="158"/>
      <c r="X228" s="158"/>
      <c r="Y228" s="37"/>
    </row>
    <row r="229" spans="10:25" x14ac:dyDescent="0.2">
      <c r="J229" s="158"/>
      <c r="K229" s="158"/>
      <c r="L229" s="158"/>
      <c r="M229" s="158"/>
      <c r="N229" s="158"/>
      <c r="O229" s="158"/>
      <c r="P229" s="158"/>
      <c r="Q229" s="158"/>
      <c r="R229" s="158"/>
      <c r="S229" s="158">
        <v>242</v>
      </c>
      <c r="T229" s="158">
        <v>150</v>
      </c>
      <c r="U229" s="158"/>
      <c r="V229" s="158"/>
      <c r="W229" s="158"/>
      <c r="X229" s="158"/>
      <c r="Y229" s="37"/>
    </row>
    <row r="230" spans="10:25" x14ac:dyDescent="0.2">
      <c r="J230" s="158"/>
      <c r="K230" s="158"/>
      <c r="L230" s="158"/>
      <c r="M230" s="158"/>
      <c r="N230" s="158"/>
      <c r="O230" s="158"/>
      <c r="P230" s="158"/>
      <c r="Q230" s="158"/>
      <c r="R230" s="158"/>
      <c r="S230" s="158">
        <v>243</v>
      </c>
      <c r="T230" s="158">
        <v>150</v>
      </c>
      <c r="U230" s="158"/>
      <c r="V230" s="158"/>
      <c r="W230" s="158"/>
      <c r="X230" s="158"/>
      <c r="Y230" s="37"/>
    </row>
    <row r="231" spans="10:25" x14ac:dyDescent="0.2">
      <c r="J231" s="158"/>
      <c r="K231" s="158"/>
      <c r="L231" s="158"/>
      <c r="M231" s="158"/>
      <c r="N231" s="158"/>
      <c r="O231" s="158"/>
      <c r="P231" s="158"/>
      <c r="Q231" s="158"/>
      <c r="R231" s="158"/>
      <c r="S231" s="158">
        <v>244</v>
      </c>
      <c r="T231" s="158">
        <v>150</v>
      </c>
      <c r="U231" s="158"/>
      <c r="V231" s="158"/>
      <c r="W231" s="158"/>
      <c r="X231" s="158"/>
      <c r="Y231" s="37"/>
    </row>
    <row r="232" spans="10:25" x14ac:dyDescent="0.2">
      <c r="J232" s="158"/>
      <c r="K232" s="158"/>
      <c r="L232" s="158"/>
      <c r="M232" s="158"/>
      <c r="N232" s="158"/>
      <c r="O232" s="158"/>
      <c r="P232" s="158"/>
      <c r="Q232" s="158"/>
      <c r="R232" s="158"/>
      <c r="S232" s="158">
        <v>245</v>
      </c>
      <c r="T232" s="158">
        <v>150</v>
      </c>
      <c r="U232" s="158"/>
      <c r="V232" s="158"/>
      <c r="W232" s="158"/>
      <c r="X232" s="158"/>
      <c r="Y232" s="37"/>
    </row>
    <row r="233" spans="10:25" x14ac:dyDescent="0.2">
      <c r="J233" s="158"/>
      <c r="K233" s="158"/>
      <c r="L233" s="158"/>
      <c r="M233" s="158"/>
      <c r="N233" s="158"/>
      <c r="O233" s="158"/>
      <c r="P233" s="158"/>
      <c r="Q233" s="158"/>
      <c r="R233" s="158"/>
      <c r="S233" s="158">
        <v>246</v>
      </c>
      <c r="T233" s="158">
        <v>150</v>
      </c>
      <c r="U233" s="158"/>
      <c r="V233" s="158"/>
      <c r="W233" s="158"/>
      <c r="X233" s="158"/>
      <c r="Y233" s="37"/>
    </row>
    <row r="234" spans="10:25" x14ac:dyDescent="0.2">
      <c r="J234" s="158"/>
      <c r="K234" s="158"/>
      <c r="L234" s="158"/>
      <c r="M234" s="158"/>
      <c r="N234" s="158"/>
      <c r="O234" s="158"/>
      <c r="P234" s="158"/>
      <c r="Q234" s="158"/>
      <c r="R234" s="158"/>
      <c r="S234" s="158">
        <v>247</v>
      </c>
      <c r="T234" s="158">
        <v>150</v>
      </c>
      <c r="U234" s="158"/>
      <c r="V234" s="158"/>
      <c r="W234" s="158"/>
      <c r="X234" s="158"/>
      <c r="Y234" s="37"/>
    </row>
    <row r="235" spans="10:25" x14ac:dyDescent="0.2">
      <c r="J235" s="158"/>
      <c r="K235" s="158"/>
      <c r="L235" s="158"/>
      <c r="M235" s="158"/>
      <c r="N235" s="158"/>
      <c r="O235" s="158"/>
      <c r="P235" s="158"/>
      <c r="Q235" s="158"/>
      <c r="R235" s="158"/>
      <c r="S235" s="158">
        <v>248</v>
      </c>
      <c r="T235" s="158">
        <v>150</v>
      </c>
      <c r="U235" s="158"/>
      <c r="V235" s="158"/>
      <c r="W235" s="158"/>
      <c r="X235" s="158"/>
      <c r="Y235" s="37"/>
    </row>
    <row r="236" spans="10:25" x14ac:dyDescent="0.2">
      <c r="J236" s="158"/>
      <c r="K236" s="158"/>
      <c r="L236" s="158"/>
      <c r="M236" s="158"/>
      <c r="N236" s="158"/>
      <c r="O236" s="158"/>
      <c r="P236" s="158"/>
      <c r="Q236" s="158"/>
      <c r="R236" s="158"/>
      <c r="S236" s="158">
        <v>249</v>
      </c>
      <c r="T236" s="158">
        <v>150</v>
      </c>
      <c r="U236" s="158"/>
      <c r="V236" s="158"/>
      <c r="W236" s="158"/>
      <c r="X236" s="158"/>
      <c r="Y236" s="37"/>
    </row>
    <row r="237" spans="10:25" x14ac:dyDescent="0.2">
      <c r="J237" s="158"/>
      <c r="K237" s="158"/>
      <c r="L237" s="158"/>
      <c r="M237" s="158"/>
      <c r="N237" s="158"/>
      <c r="O237" s="158"/>
      <c r="P237" s="158"/>
      <c r="Q237" s="158"/>
      <c r="R237" s="158"/>
      <c r="S237" s="158">
        <v>250</v>
      </c>
      <c r="T237" s="158">
        <v>150</v>
      </c>
      <c r="U237" s="158"/>
      <c r="V237" s="158"/>
      <c r="W237" s="158"/>
      <c r="X237" s="158"/>
      <c r="Y237" s="37"/>
    </row>
    <row r="238" spans="10:25" x14ac:dyDescent="0.2">
      <c r="J238" s="158"/>
      <c r="K238" s="158"/>
      <c r="L238" s="158"/>
      <c r="M238" s="158"/>
      <c r="N238" s="158"/>
      <c r="O238" s="158"/>
      <c r="P238" s="158"/>
      <c r="Q238" s="158"/>
      <c r="R238" s="158"/>
      <c r="S238" s="158">
        <v>251</v>
      </c>
      <c r="T238" s="158">
        <v>150</v>
      </c>
      <c r="U238" s="158"/>
      <c r="V238" s="158"/>
      <c r="W238" s="158"/>
      <c r="X238" s="158"/>
      <c r="Y238" s="37"/>
    </row>
    <row r="239" spans="10:25" x14ac:dyDescent="0.2">
      <c r="J239" s="158"/>
      <c r="K239" s="158"/>
      <c r="L239" s="158"/>
      <c r="M239" s="158"/>
      <c r="N239" s="158"/>
      <c r="O239" s="158"/>
      <c r="P239" s="158"/>
      <c r="Q239" s="158"/>
      <c r="R239" s="158"/>
      <c r="S239" s="158">
        <v>252</v>
      </c>
      <c r="T239" s="158">
        <v>150</v>
      </c>
      <c r="U239" s="158"/>
      <c r="V239" s="158"/>
      <c r="W239" s="158"/>
      <c r="X239" s="158"/>
      <c r="Y239" s="37"/>
    </row>
    <row r="240" spans="10:25" x14ac:dyDescent="0.2">
      <c r="J240" s="158"/>
      <c r="K240" s="158"/>
      <c r="L240" s="158"/>
      <c r="M240" s="158"/>
      <c r="N240" s="158"/>
      <c r="O240" s="158"/>
      <c r="P240" s="158"/>
      <c r="Q240" s="158"/>
      <c r="R240" s="158"/>
      <c r="S240" s="158">
        <v>253</v>
      </c>
      <c r="T240" s="158">
        <v>150</v>
      </c>
      <c r="U240" s="158"/>
      <c r="V240" s="158"/>
      <c r="W240" s="158"/>
      <c r="X240" s="158"/>
      <c r="Y240" s="37"/>
    </row>
    <row r="241" spans="10:25" x14ac:dyDescent="0.2">
      <c r="J241" s="158"/>
      <c r="K241" s="158"/>
      <c r="L241" s="158"/>
      <c r="M241" s="158"/>
      <c r="N241" s="158"/>
      <c r="O241" s="158"/>
      <c r="P241" s="158"/>
      <c r="Q241" s="158"/>
      <c r="R241" s="158"/>
      <c r="S241" s="158">
        <v>254</v>
      </c>
      <c r="T241" s="158">
        <v>150</v>
      </c>
      <c r="U241" s="158"/>
      <c r="V241" s="158"/>
      <c r="W241" s="158"/>
      <c r="X241" s="158"/>
      <c r="Y241" s="37"/>
    </row>
    <row r="242" spans="10:25" x14ac:dyDescent="0.2">
      <c r="J242" s="158"/>
      <c r="K242" s="158"/>
      <c r="L242" s="158"/>
      <c r="M242" s="158"/>
      <c r="N242" s="158"/>
      <c r="O242" s="158"/>
      <c r="P242" s="158"/>
      <c r="Q242" s="158"/>
      <c r="R242" s="158"/>
      <c r="S242" s="158">
        <v>255</v>
      </c>
      <c r="T242" s="158">
        <v>150</v>
      </c>
      <c r="U242" s="158"/>
      <c r="V242" s="158"/>
      <c r="W242" s="158"/>
      <c r="X242" s="158"/>
      <c r="Y242" s="37"/>
    </row>
    <row r="243" spans="10:25" x14ac:dyDescent="0.2">
      <c r="J243" s="158"/>
      <c r="K243" s="158"/>
      <c r="L243" s="158"/>
      <c r="M243" s="158"/>
      <c r="N243" s="158"/>
      <c r="O243" s="158"/>
      <c r="P243" s="158"/>
      <c r="Q243" s="158"/>
      <c r="R243" s="158"/>
      <c r="S243" s="158">
        <v>256</v>
      </c>
      <c r="T243" s="158">
        <v>150</v>
      </c>
      <c r="U243" s="158"/>
      <c r="V243" s="158"/>
      <c r="W243" s="158"/>
      <c r="X243" s="158"/>
      <c r="Y243" s="37"/>
    </row>
    <row r="244" spans="10:25" x14ac:dyDescent="0.2">
      <c r="J244" s="158"/>
      <c r="K244" s="158"/>
      <c r="L244" s="158"/>
      <c r="M244" s="158"/>
      <c r="N244" s="158"/>
      <c r="O244" s="158"/>
      <c r="P244" s="158"/>
      <c r="Q244" s="158"/>
      <c r="R244" s="158"/>
      <c r="S244" s="158">
        <v>257</v>
      </c>
      <c r="T244" s="158">
        <v>150</v>
      </c>
      <c r="U244" s="158"/>
      <c r="V244" s="158"/>
      <c r="W244" s="158"/>
      <c r="X244" s="158"/>
      <c r="Y244" s="37"/>
    </row>
    <row r="245" spans="10:25" x14ac:dyDescent="0.2">
      <c r="J245" s="158"/>
      <c r="K245" s="158"/>
      <c r="L245" s="158"/>
      <c r="M245" s="158"/>
      <c r="N245" s="158"/>
      <c r="O245" s="158"/>
      <c r="P245" s="158"/>
      <c r="Q245" s="158"/>
      <c r="R245" s="158"/>
      <c r="S245" s="158">
        <v>258</v>
      </c>
      <c r="T245" s="158">
        <v>150</v>
      </c>
      <c r="U245" s="158"/>
      <c r="V245" s="158"/>
      <c r="W245" s="158"/>
      <c r="X245" s="158"/>
      <c r="Y245" s="37"/>
    </row>
    <row r="246" spans="10:25" x14ac:dyDescent="0.2">
      <c r="J246" s="158"/>
      <c r="K246" s="158"/>
      <c r="L246" s="158"/>
      <c r="M246" s="158"/>
      <c r="N246" s="158"/>
      <c r="O246" s="158"/>
      <c r="P246" s="158"/>
      <c r="Q246" s="158"/>
      <c r="R246" s="158"/>
      <c r="S246" s="158">
        <v>259</v>
      </c>
      <c r="T246" s="158">
        <v>150</v>
      </c>
      <c r="U246" s="158"/>
      <c r="V246" s="158"/>
      <c r="W246" s="158"/>
      <c r="X246" s="158"/>
      <c r="Y246" s="37"/>
    </row>
    <row r="247" spans="10:25" x14ac:dyDescent="0.2">
      <c r="J247" s="158"/>
      <c r="K247" s="158"/>
      <c r="L247" s="158"/>
      <c r="M247" s="158"/>
      <c r="N247" s="158"/>
      <c r="O247" s="158"/>
      <c r="P247" s="158"/>
      <c r="Q247" s="158"/>
      <c r="R247" s="158"/>
      <c r="S247" s="158">
        <v>260</v>
      </c>
      <c r="T247" s="158">
        <v>150</v>
      </c>
      <c r="U247" s="158"/>
      <c r="V247" s="158"/>
      <c r="W247" s="158"/>
      <c r="X247" s="158"/>
      <c r="Y247" s="37"/>
    </row>
    <row r="248" spans="10:25" x14ac:dyDescent="0.2">
      <c r="J248" s="158"/>
      <c r="K248" s="158"/>
      <c r="L248" s="158"/>
      <c r="M248" s="158"/>
      <c r="N248" s="158"/>
      <c r="O248" s="158"/>
      <c r="P248" s="158"/>
      <c r="Q248" s="158"/>
      <c r="R248" s="158"/>
      <c r="S248" s="158">
        <v>261</v>
      </c>
      <c r="T248" s="158">
        <v>150</v>
      </c>
      <c r="U248" s="158"/>
      <c r="V248" s="158"/>
      <c r="W248" s="158"/>
      <c r="X248" s="158"/>
      <c r="Y248" s="37"/>
    </row>
    <row r="249" spans="10:25" x14ac:dyDescent="0.2">
      <c r="J249" s="158"/>
      <c r="K249" s="158"/>
      <c r="L249" s="158"/>
      <c r="M249" s="158"/>
      <c r="N249" s="158"/>
      <c r="O249" s="158"/>
      <c r="P249" s="158"/>
      <c r="Q249" s="158"/>
      <c r="R249" s="158"/>
      <c r="S249" s="158">
        <v>262</v>
      </c>
      <c r="T249" s="158">
        <v>150</v>
      </c>
      <c r="U249" s="158"/>
      <c r="V249" s="158"/>
      <c r="W249" s="158"/>
      <c r="X249" s="158"/>
      <c r="Y249" s="37"/>
    </row>
    <row r="250" spans="10:25" x14ac:dyDescent="0.2">
      <c r="J250" s="158"/>
      <c r="K250" s="158"/>
      <c r="L250" s="158"/>
      <c r="M250" s="158"/>
      <c r="N250" s="158"/>
      <c r="O250" s="158"/>
      <c r="P250" s="158"/>
      <c r="Q250" s="158"/>
      <c r="R250" s="158"/>
      <c r="S250" s="158">
        <v>263</v>
      </c>
      <c r="T250" s="158">
        <v>150</v>
      </c>
      <c r="U250" s="158"/>
      <c r="V250" s="158"/>
      <c r="W250" s="158"/>
      <c r="X250" s="158"/>
      <c r="Y250" s="37"/>
    </row>
    <row r="251" spans="10:25" x14ac:dyDescent="0.2">
      <c r="J251" s="158"/>
      <c r="K251" s="158"/>
      <c r="L251" s="158"/>
      <c r="M251" s="158"/>
      <c r="N251" s="158"/>
      <c r="O251" s="158"/>
      <c r="P251" s="158"/>
      <c r="Q251" s="158"/>
      <c r="R251" s="158"/>
      <c r="S251" s="158">
        <v>264</v>
      </c>
      <c r="T251" s="158">
        <v>150</v>
      </c>
      <c r="U251" s="158"/>
      <c r="V251" s="158"/>
      <c r="W251" s="158"/>
      <c r="X251" s="158"/>
      <c r="Y251" s="37"/>
    </row>
    <row r="252" spans="10:25" x14ac:dyDescent="0.2">
      <c r="J252" s="158"/>
      <c r="K252" s="158"/>
      <c r="L252" s="158"/>
      <c r="M252" s="158"/>
      <c r="N252" s="158"/>
      <c r="O252" s="158"/>
      <c r="P252" s="158"/>
      <c r="Q252" s="158"/>
      <c r="R252" s="158"/>
      <c r="S252" s="158">
        <v>265</v>
      </c>
      <c r="T252" s="158">
        <v>150</v>
      </c>
      <c r="U252" s="158"/>
      <c r="V252" s="158"/>
      <c r="W252" s="158"/>
      <c r="X252" s="158"/>
      <c r="Y252" s="37"/>
    </row>
    <row r="253" spans="10:25" x14ac:dyDescent="0.2">
      <c r="J253" s="158"/>
      <c r="K253" s="158"/>
      <c r="L253" s="158"/>
      <c r="M253" s="158"/>
      <c r="N253" s="158"/>
      <c r="O253" s="158"/>
      <c r="P253" s="158"/>
      <c r="Q253" s="158"/>
      <c r="R253" s="158"/>
      <c r="S253" s="158">
        <v>266</v>
      </c>
      <c r="T253" s="158">
        <v>150</v>
      </c>
      <c r="U253" s="158"/>
      <c r="V253" s="158"/>
      <c r="W253" s="158"/>
      <c r="X253" s="158"/>
      <c r="Y253" s="37"/>
    </row>
    <row r="254" spans="10:25" x14ac:dyDescent="0.2">
      <c r="J254" s="158"/>
      <c r="K254" s="158"/>
      <c r="L254" s="158"/>
      <c r="M254" s="158"/>
      <c r="N254" s="158"/>
      <c r="O254" s="158"/>
      <c r="P254" s="158"/>
      <c r="Q254" s="158"/>
      <c r="R254" s="158"/>
      <c r="S254" s="158">
        <v>267</v>
      </c>
      <c r="T254" s="158">
        <v>150</v>
      </c>
      <c r="U254" s="158"/>
      <c r="V254" s="158"/>
      <c r="W254" s="158"/>
      <c r="X254" s="158"/>
      <c r="Y254" s="37"/>
    </row>
    <row r="255" spans="10:25" x14ac:dyDescent="0.2">
      <c r="J255" s="158"/>
      <c r="K255" s="158"/>
      <c r="L255" s="158"/>
      <c r="M255" s="158"/>
      <c r="N255" s="158"/>
      <c r="O255" s="158"/>
      <c r="P255" s="158"/>
      <c r="Q255" s="158"/>
      <c r="R255" s="158"/>
      <c r="S255" s="158">
        <v>268</v>
      </c>
      <c r="T255" s="158">
        <v>150</v>
      </c>
      <c r="U255" s="158"/>
      <c r="V255" s="158"/>
      <c r="W255" s="158"/>
      <c r="X255" s="158"/>
      <c r="Y255" s="37"/>
    </row>
    <row r="256" spans="10:25" x14ac:dyDescent="0.2">
      <c r="J256" s="158"/>
      <c r="K256" s="158"/>
      <c r="L256" s="158"/>
      <c r="M256" s="158"/>
      <c r="N256" s="158"/>
      <c r="O256" s="158"/>
      <c r="P256" s="158"/>
      <c r="Q256" s="158"/>
      <c r="R256" s="158"/>
      <c r="S256" s="158">
        <v>269</v>
      </c>
      <c r="T256" s="158">
        <v>150</v>
      </c>
      <c r="U256" s="158"/>
      <c r="V256" s="158"/>
      <c r="W256" s="158"/>
      <c r="X256" s="158"/>
      <c r="Y256" s="37"/>
    </row>
    <row r="257" spans="10:25" x14ac:dyDescent="0.2">
      <c r="J257" s="158"/>
      <c r="K257" s="158"/>
      <c r="L257" s="158"/>
      <c r="M257" s="158"/>
      <c r="N257" s="158"/>
      <c r="O257" s="158"/>
      <c r="P257" s="158"/>
      <c r="Q257" s="158"/>
      <c r="R257" s="158"/>
      <c r="S257" s="158">
        <v>270</v>
      </c>
      <c r="T257" s="158">
        <v>150</v>
      </c>
      <c r="U257" s="158"/>
      <c r="V257" s="158"/>
      <c r="W257" s="158"/>
      <c r="X257" s="158"/>
      <c r="Y257" s="37"/>
    </row>
    <row r="258" spans="10:25" x14ac:dyDescent="0.2">
      <c r="J258" s="158"/>
      <c r="K258" s="158"/>
      <c r="L258" s="158"/>
      <c r="M258" s="158"/>
      <c r="N258" s="158"/>
      <c r="O258" s="158"/>
      <c r="P258" s="158"/>
      <c r="Q258" s="158"/>
      <c r="R258" s="158"/>
      <c r="S258" s="158">
        <v>271</v>
      </c>
      <c r="T258" s="158">
        <v>150</v>
      </c>
      <c r="U258" s="158"/>
      <c r="V258" s="158"/>
      <c r="W258" s="158"/>
      <c r="X258" s="158"/>
      <c r="Y258" s="37"/>
    </row>
    <row r="259" spans="10:25" x14ac:dyDescent="0.2">
      <c r="J259" s="158"/>
      <c r="K259" s="158"/>
      <c r="L259" s="158"/>
      <c r="M259" s="158"/>
      <c r="N259" s="158"/>
      <c r="O259" s="158"/>
      <c r="P259" s="158"/>
      <c r="Q259" s="158"/>
      <c r="R259" s="158"/>
      <c r="S259" s="158">
        <v>272</v>
      </c>
      <c r="T259" s="158">
        <v>150</v>
      </c>
      <c r="U259" s="158"/>
      <c r="V259" s="158"/>
      <c r="W259" s="158"/>
      <c r="X259" s="158"/>
      <c r="Y259" s="37"/>
    </row>
    <row r="260" spans="10:25" x14ac:dyDescent="0.2">
      <c r="J260" s="158"/>
      <c r="K260" s="158"/>
      <c r="L260" s="158"/>
      <c r="M260" s="158"/>
      <c r="N260" s="158"/>
      <c r="O260" s="158"/>
      <c r="P260" s="158"/>
      <c r="Q260" s="158"/>
      <c r="R260" s="158"/>
      <c r="S260" s="158">
        <v>273</v>
      </c>
      <c r="T260" s="158">
        <v>150</v>
      </c>
      <c r="U260" s="158"/>
      <c r="V260" s="158"/>
      <c r="W260" s="158"/>
      <c r="X260" s="158"/>
      <c r="Y260" s="37"/>
    </row>
    <row r="261" spans="10:25" x14ac:dyDescent="0.2">
      <c r="J261" s="158"/>
      <c r="K261" s="158"/>
      <c r="L261" s="158"/>
      <c r="M261" s="158"/>
      <c r="N261" s="158"/>
      <c r="O261" s="158"/>
      <c r="P261" s="158"/>
      <c r="Q261" s="158"/>
      <c r="R261" s="158"/>
      <c r="S261" s="158">
        <v>274</v>
      </c>
      <c r="T261" s="158">
        <v>150</v>
      </c>
      <c r="U261" s="158"/>
      <c r="V261" s="158"/>
      <c r="W261" s="158"/>
      <c r="X261" s="158"/>
      <c r="Y261" s="37"/>
    </row>
    <row r="262" spans="10:25" x14ac:dyDescent="0.2">
      <c r="J262" s="158"/>
      <c r="K262" s="158"/>
      <c r="L262" s="158"/>
      <c r="M262" s="158"/>
      <c r="N262" s="158"/>
      <c r="O262" s="158"/>
      <c r="P262" s="158"/>
      <c r="Q262" s="158"/>
      <c r="R262" s="158"/>
      <c r="S262" s="158">
        <v>275</v>
      </c>
      <c r="T262" s="158">
        <v>150</v>
      </c>
      <c r="U262" s="158"/>
      <c r="V262" s="158"/>
      <c r="W262" s="158"/>
      <c r="X262" s="158"/>
      <c r="Y262" s="37"/>
    </row>
    <row r="263" spans="10:25" x14ac:dyDescent="0.2">
      <c r="J263" s="158"/>
      <c r="K263" s="158"/>
      <c r="L263" s="158"/>
      <c r="M263" s="158"/>
      <c r="N263" s="158"/>
      <c r="O263" s="158"/>
      <c r="P263" s="158"/>
      <c r="Q263" s="158"/>
      <c r="R263" s="158"/>
      <c r="S263" s="158">
        <v>276</v>
      </c>
      <c r="T263" s="158">
        <v>150</v>
      </c>
      <c r="U263" s="158"/>
      <c r="V263" s="158"/>
      <c r="W263" s="158"/>
      <c r="X263" s="158"/>
      <c r="Y263" s="37"/>
    </row>
    <row r="264" spans="10:25" x14ac:dyDescent="0.2">
      <c r="J264" s="158"/>
      <c r="K264" s="158"/>
      <c r="L264" s="158"/>
      <c r="M264" s="158"/>
      <c r="N264" s="158"/>
      <c r="O264" s="158"/>
      <c r="P264" s="158"/>
      <c r="Q264" s="158"/>
      <c r="R264" s="158"/>
      <c r="S264" s="158">
        <v>277</v>
      </c>
      <c r="T264" s="158">
        <v>150</v>
      </c>
      <c r="U264" s="158"/>
      <c r="V264" s="158"/>
      <c r="W264" s="158"/>
      <c r="X264" s="158"/>
      <c r="Y264" s="37"/>
    </row>
    <row r="265" spans="10:25" x14ac:dyDescent="0.2">
      <c r="J265" s="158"/>
      <c r="K265" s="158"/>
      <c r="L265" s="158"/>
      <c r="M265" s="158"/>
      <c r="N265" s="158"/>
      <c r="O265" s="158"/>
      <c r="P265" s="158"/>
      <c r="Q265" s="158"/>
      <c r="R265" s="158"/>
      <c r="S265" s="158">
        <v>278</v>
      </c>
      <c r="T265" s="158">
        <v>150</v>
      </c>
      <c r="U265" s="158"/>
      <c r="V265" s="158"/>
      <c r="W265" s="158"/>
      <c r="X265" s="158"/>
      <c r="Y265" s="37"/>
    </row>
    <row r="266" spans="10:25" x14ac:dyDescent="0.2">
      <c r="J266" s="158"/>
      <c r="K266" s="158"/>
      <c r="L266" s="158"/>
      <c r="M266" s="158"/>
      <c r="N266" s="158"/>
      <c r="O266" s="158"/>
      <c r="P266" s="158"/>
      <c r="Q266" s="158"/>
      <c r="R266" s="158"/>
      <c r="S266" s="158">
        <v>279</v>
      </c>
      <c r="T266" s="158">
        <v>150</v>
      </c>
      <c r="U266" s="158"/>
      <c r="V266" s="158"/>
      <c r="W266" s="158"/>
      <c r="X266" s="158"/>
      <c r="Y266" s="37"/>
    </row>
    <row r="267" spans="10:25" x14ac:dyDescent="0.2">
      <c r="J267" s="158"/>
      <c r="K267" s="158"/>
      <c r="L267" s="158"/>
      <c r="M267" s="158"/>
      <c r="N267" s="158"/>
      <c r="O267" s="158"/>
      <c r="P267" s="158"/>
      <c r="Q267" s="158"/>
      <c r="R267" s="158"/>
      <c r="S267" s="158">
        <v>280</v>
      </c>
      <c r="T267" s="158">
        <v>150</v>
      </c>
      <c r="U267" s="158"/>
      <c r="V267" s="158"/>
      <c r="W267" s="158"/>
      <c r="X267" s="158"/>
      <c r="Y267" s="37"/>
    </row>
    <row r="268" spans="10:25" x14ac:dyDescent="0.2">
      <c r="J268" s="158"/>
      <c r="K268" s="158"/>
      <c r="L268" s="158"/>
      <c r="M268" s="158"/>
      <c r="N268" s="158"/>
      <c r="O268" s="158"/>
      <c r="P268" s="158"/>
      <c r="Q268" s="158"/>
      <c r="R268" s="158"/>
      <c r="S268" s="158">
        <v>281</v>
      </c>
      <c r="T268" s="158">
        <v>150</v>
      </c>
      <c r="U268" s="158"/>
      <c r="V268" s="158"/>
      <c r="W268" s="158"/>
      <c r="X268" s="158"/>
      <c r="Y268" s="37"/>
    </row>
    <row r="269" spans="10:25" x14ac:dyDescent="0.2">
      <c r="J269" s="158"/>
      <c r="K269" s="158"/>
      <c r="L269" s="158"/>
      <c r="M269" s="158"/>
      <c r="N269" s="158"/>
      <c r="O269" s="158"/>
      <c r="P269" s="158"/>
      <c r="Q269" s="158"/>
      <c r="R269" s="158"/>
      <c r="S269" s="158">
        <v>282</v>
      </c>
      <c r="T269" s="158">
        <v>150</v>
      </c>
      <c r="U269" s="158"/>
      <c r="V269" s="158"/>
      <c r="W269" s="158"/>
      <c r="X269" s="158"/>
      <c r="Y269" s="37"/>
    </row>
    <row r="270" spans="10:25" x14ac:dyDescent="0.2">
      <c r="J270" s="158"/>
      <c r="K270" s="158"/>
      <c r="L270" s="158"/>
      <c r="M270" s="158"/>
      <c r="N270" s="158"/>
      <c r="O270" s="158"/>
      <c r="P270" s="158"/>
      <c r="Q270" s="158"/>
      <c r="R270" s="158"/>
      <c r="S270" s="158">
        <v>283</v>
      </c>
      <c r="T270" s="158">
        <v>150</v>
      </c>
      <c r="U270" s="158"/>
      <c r="V270" s="158"/>
      <c r="W270" s="158"/>
      <c r="X270" s="158"/>
      <c r="Y270" s="37"/>
    </row>
    <row r="271" spans="10:25" x14ac:dyDescent="0.2">
      <c r="J271" s="158"/>
      <c r="K271" s="158"/>
      <c r="L271" s="158"/>
      <c r="M271" s="158"/>
      <c r="N271" s="158"/>
      <c r="O271" s="158"/>
      <c r="P271" s="158"/>
      <c r="Q271" s="158"/>
      <c r="R271" s="158"/>
      <c r="S271" s="158">
        <v>284</v>
      </c>
      <c r="T271" s="158">
        <v>150</v>
      </c>
      <c r="U271" s="158"/>
      <c r="V271" s="158"/>
      <c r="W271" s="158"/>
      <c r="X271" s="158"/>
      <c r="Y271" s="37"/>
    </row>
    <row r="272" spans="10:25" x14ac:dyDescent="0.2">
      <c r="J272" s="158"/>
      <c r="K272" s="158"/>
      <c r="L272" s="158"/>
      <c r="M272" s="158"/>
      <c r="N272" s="158"/>
      <c r="O272" s="158"/>
      <c r="P272" s="158"/>
      <c r="Q272" s="158"/>
      <c r="R272" s="158"/>
      <c r="S272" s="158">
        <v>285</v>
      </c>
      <c r="T272" s="158">
        <v>150</v>
      </c>
      <c r="U272" s="158"/>
      <c r="V272" s="158"/>
      <c r="W272" s="158"/>
      <c r="X272" s="158"/>
      <c r="Y272" s="37"/>
    </row>
    <row r="273" spans="10:25" x14ac:dyDescent="0.2">
      <c r="J273" s="158"/>
      <c r="K273" s="158"/>
      <c r="L273" s="158"/>
      <c r="M273" s="158"/>
      <c r="N273" s="158"/>
      <c r="O273" s="158"/>
      <c r="P273" s="158"/>
      <c r="Q273" s="158"/>
      <c r="R273" s="158"/>
      <c r="S273" s="158">
        <v>286</v>
      </c>
      <c r="T273" s="158">
        <v>150</v>
      </c>
      <c r="U273" s="158"/>
      <c r="V273" s="158"/>
      <c r="W273" s="158"/>
      <c r="X273" s="158"/>
      <c r="Y273" s="37"/>
    </row>
    <row r="274" spans="10:25" x14ac:dyDescent="0.2">
      <c r="J274" s="158"/>
      <c r="K274" s="158"/>
      <c r="L274" s="158"/>
      <c r="M274" s="158"/>
      <c r="N274" s="158"/>
      <c r="O274" s="158"/>
      <c r="P274" s="158"/>
      <c r="Q274" s="158"/>
      <c r="R274" s="158"/>
      <c r="S274" s="158">
        <v>287</v>
      </c>
      <c r="T274" s="158">
        <v>150</v>
      </c>
      <c r="U274" s="158"/>
      <c r="V274" s="158"/>
      <c r="W274" s="158"/>
      <c r="X274" s="158"/>
      <c r="Y274" s="37"/>
    </row>
    <row r="275" spans="10:25" x14ac:dyDescent="0.2">
      <c r="J275" s="158"/>
      <c r="K275" s="158"/>
      <c r="L275" s="158"/>
      <c r="M275" s="158"/>
      <c r="N275" s="158"/>
      <c r="O275" s="158"/>
      <c r="P275" s="158"/>
      <c r="Q275" s="158"/>
      <c r="R275" s="158"/>
      <c r="S275" s="158">
        <v>288</v>
      </c>
      <c r="T275" s="158">
        <v>150</v>
      </c>
      <c r="U275" s="158"/>
      <c r="V275" s="158"/>
      <c r="W275" s="158"/>
      <c r="X275" s="158"/>
      <c r="Y275" s="37"/>
    </row>
    <row r="276" spans="10:25" x14ac:dyDescent="0.2">
      <c r="J276" s="158"/>
      <c r="K276" s="158"/>
      <c r="L276" s="158"/>
      <c r="M276" s="158"/>
      <c r="N276" s="158"/>
      <c r="O276" s="158"/>
      <c r="P276" s="158"/>
      <c r="Q276" s="158"/>
      <c r="R276" s="158"/>
      <c r="S276" s="158">
        <v>289</v>
      </c>
      <c r="T276" s="158">
        <v>150</v>
      </c>
      <c r="U276" s="158"/>
      <c r="V276" s="158"/>
      <c r="W276" s="158"/>
      <c r="X276" s="158"/>
      <c r="Y276" s="37"/>
    </row>
    <row r="277" spans="10:25" x14ac:dyDescent="0.2">
      <c r="J277" s="158"/>
      <c r="K277" s="158"/>
      <c r="L277" s="158"/>
      <c r="M277" s="158"/>
      <c r="N277" s="158"/>
      <c r="O277" s="158"/>
      <c r="P277" s="158"/>
      <c r="Q277" s="158"/>
      <c r="R277" s="158"/>
      <c r="S277" s="158">
        <v>290</v>
      </c>
      <c r="T277" s="158">
        <v>150</v>
      </c>
      <c r="U277" s="158"/>
      <c r="V277" s="158"/>
      <c r="W277" s="158"/>
      <c r="X277" s="158"/>
      <c r="Y277" s="37"/>
    </row>
    <row r="278" spans="10:25" x14ac:dyDescent="0.2">
      <c r="J278" s="158"/>
      <c r="K278" s="158"/>
      <c r="L278" s="158"/>
      <c r="M278" s="158"/>
      <c r="N278" s="158"/>
      <c r="O278" s="158"/>
      <c r="P278" s="158"/>
      <c r="Q278" s="158"/>
      <c r="R278" s="158"/>
      <c r="S278" s="158">
        <v>291</v>
      </c>
      <c r="T278" s="158">
        <v>150</v>
      </c>
      <c r="U278" s="158"/>
      <c r="V278" s="158"/>
      <c r="W278" s="158"/>
      <c r="X278" s="158"/>
      <c r="Y278" s="37"/>
    </row>
    <row r="279" spans="10:25" x14ac:dyDescent="0.2">
      <c r="J279" s="158"/>
      <c r="K279" s="158"/>
      <c r="L279" s="158"/>
      <c r="M279" s="158"/>
      <c r="N279" s="158"/>
      <c r="O279" s="158"/>
      <c r="P279" s="158"/>
      <c r="Q279" s="158"/>
      <c r="R279" s="158"/>
      <c r="S279" s="158">
        <v>292</v>
      </c>
      <c r="T279" s="158">
        <v>150</v>
      </c>
      <c r="U279" s="158"/>
      <c r="V279" s="158"/>
      <c r="W279" s="158"/>
      <c r="X279" s="158"/>
      <c r="Y279" s="37"/>
    </row>
    <row r="280" spans="10:25" x14ac:dyDescent="0.2">
      <c r="J280" s="158"/>
      <c r="K280" s="158"/>
      <c r="L280" s="158"/>
      <c r="M280" s="158"/>
      <c r="N280" s="158"/>
      <c r="O280" s="158"/>
      <c r="P280" s="158"/>
      <c r="Q280" s="158"/>
      <c r="R280" s="158"/>
      <c r="S280" s="158">
        <v>293</v>
      </c>
      <c r="T280" s="158">
        <v>150</v>
      </c>
      <c r="U280" s="158"/>
      <c r="V280" s="158"/>
      <c r="W280" s="158"/>
      <c r="X280" s="158"/>
      <c r="Y280" s="37"/>
    </row>
    <row r="281" spans="10:25" x14ac:dyDescent="0.2">
      <c r="J281" s="158"/>
      <c r="K281" s="158"/>
      <c r="L281" s="158"/>
      <c r="M281" s="158"/>
      <c r="N281" s="158"/>
      <c r="O281" s="158"/>
      <c r="P281" s="158"/>
      <c r="Q281" s="158"/>
      <c r="R281" s="158"/>
      <c r="S281" s="158">
        <v>294</v>
      </c>
      <c r="T281" s="158">
        <v>150</v>
      </c>
      <c r="U281" s="158"/>
      <c r="V281" s="158"/>
      <c r="W281" s="158"/>
      <c r="X281" s="158"/>
      <c r="Y281" s="37"/>
    </row>
    <row r="282" spans="10:25" x14ac:dyDescent="0.2">
      <c r="J282" s="158"/>
      <c r="K282" s="158"/>
      <c r="L282" s="158"/>
      <c r="M282" s="158"/>
      <c r="N282" s="158"/>
      <c r="O282" s="158"/>
      <c r="P282" s="158"/>
      <c r="Q282" s="158"/>
      <c r="R282" s="158"/>
      <c r="S282" s="158">
        <v>295</v>
      </c>
      <c r="T282" s="158">
        <v>150</v>
      </c>
      <c r="U282" s="158"/>
      <c r="V282" s="158"/>
      <c r="W282" s="158"/>
      <c r="X282" s="158"/>
      <c r="Y282" s="37"/>
    </row>
    <row r="283" spans="10:25" x14ac:dyDescent="0.2">
      <c r="J283" s="158"/>
      <c r="K283" s="158"/>
      <c r="L283" s="158"/>
      <c r="M283" s="158"/>
      <c r="N283" s="158"/>
      <c r="O283" s="158"/>
      <c r="P283" s="158"/>
      <c r="Q283" s="158"/>
      <c r="R283" s="158"/>
      <c r="S283" s="158">
        <v>296</v>
      </c>
      <c r="T283" s="158">
        <v>150</v>
      </c>
      <c r="U283" s="158"/>
      <c r="V283" s="158"/>
      <c r="W283" s="158"/>
      <c r="X283" s="158"/>
      <c r="Y283" s="37"/>
    </row>
    <row r="284" spans="10:25" x14ac:dyDescent="0.2">
      <c r="J284" s="158"/>
      <c r="K284" s="158"/>
      <c r="L284" s="158"/>
      <c r="M284" s="158"/>
      <c r="N284" s="158"/>
      <c r="O284" s="158"/>
      <c r="P284" s="158"/>
      <c r="Q284" s="158"/>
      <c r="R284" s="158"/>
      <c r="S284" s="158">
        <v>297</v>
      </c>
      <c r="T284" s="158">
        <v>150</v>
      </c>
      <c r="U284" s="158"/>
      <c r="V284" s="158"/>
      <c r="W284" s="158"/>
      <c r="X284" s="158"/>
      <c r="Y284" s="37"/>
    </row>
    <row r="285" spans="10:25" x14ac:dyDescent="0.2">
      <c r="J285" s="158"/>
      <c r="K285" s="158"/>
      <c r="L285" s="158"/>
      <c r="M285" s="158"/>
      <c r="N285" s="158"/>
      <c r="O285" s="158"/>
      <c r="P285" s="158"/>
      <c r="Q285" s="158"/>
      <c r="R285" s="158"/>
      <c r="S285" s="158">
        <v>298</v>
      </c>
      <c r="T285" s="158">
        <v>150</v>
      </c>
      <c r="U285" s="158"/>
      <c r="V285" s="158"/>
      <c r="W285" s="158"/>
      <c r="X285" s="158"/>
      <c r="Y285" s="37"/>
    </row>
    <row r="286" spans="10:25" x14ac:dyDescent="0.2">
      <c r="J286" s="158"/>
      <c r="K286" s="158"/>
      <c r="L286" s="158"/>
      <c r="M286" s="158"/>
      <c r="N286" s="158"/>
      <c r="O286" s="158"/>
      <c r="P286" s="158"/>
      <c r="Q286" s="158"/>
      <c r="R286" s="158"/>
      <c r="S286" s="158">
        <v>299</v>
      </c>
      <c r="T286" s="158">
        <v>150</v>
      </c>
      <c r="U286" s="158"/>
      <c r="V286" s="158"/>
      <c r="W286" s="158"/>
      <c r="X286" s="158"/>
      <c r="Y286" s="37"/>
    </row>
    <row r="287" spans="10:25" x14ac:dyDescent="0.2">
      <c r="J287" s="158"/>
      <c r="K287" s="158"/>
      <c r="L287" s="158"/>
      <c r="M287" s="158"/>
      <c r="N287" s="158"/>
      <c r="O287" s="158"/>
      <c r="P287" s="158"/>
      <c r="Q287" s="158"/>
      <c r="R287" s="158"/>
      <c r="S287" s="158">
        <v>300</v>
      </c>
      <c r="T287" s="158">
        <v>150</v>
      </c>
      <c r="U287" s="158">
        <v>300</v>
      </c>
      <c r="V287" s="158"/>
      <c r="W287" s="158"/>
      <c r="X287" s="158"/>
      <c r="Y287" s="37"/>
    </row>
    <row r="288" spans="10:25" x14ac:dyDescent="0.2">
      <c r="J288" s="158"/>
      <c r="K288" s="158"/>
      <c r="L288" s="158"/>
      <c r="M288" s="158"/>
      <c r="N288" s="158"/>
      <c r="O288" s="158"/>
      <c r="P288" s="158"/>
      <c r="Q288" s="158"/>
      <c r="R288" s="158"/>
      <c r="S288" s="158">
        <v>301</v>
      </c>
      <c r="T288" s="158">
        <v>150</v>
      </c>
      <c r="U288" s="158"/>
      <c r="V288" s="158"/>
      <c r="W288" s="158"/>
      <c r="X288" s="158"/>
      <c r="Y288" s="37"/>
    </row>
    <row r="289" spans="10:25" x14ac:dyDescent="0.2">
      <c r="J289" s="158"/>
      <c r="K289" s="158"/>
      <c r="L289" s="158"/>
      <c r="M289" s="158"/>
      <c r="N289" s="158"/>
      <c r="O289" s="158"/>
      <c r="P289" s="158"/>
      <c r="Q289" s="158"/>
      <c r="R289" s="158"/>
      <c r="S289" s="158">
        <v>302</v>
      </c>
      <c r="T289" s="158">
        <v>150</v>
      </c>
      <c r="U289" s="158"/>
      <c r="V289" s="158"/>
      <c r="W289" s="158"/>
      <c r="X289" s="158"/>
      <c r="Y289" s="37"/>
    </row>
    <row r="290" spans="10:25" x14ac:dyDescent="0.2">
      <c r="J290" s="158"/>
      <c r="K290" s="158"/>
      <c r="L290" s="158"/>
      <c r="M290" s="158"/>
      <c r="N290" s="158"/>
      <c r="O290" s="158"/>
      <c r="P290" s="158"/>
      <c r="Q290" s="158"/>
      <c r="R290" s="158"/>
      <c r="S290" s="158">
        <v>303</v>
      </c>
      <c r="T290" s="158">
        <v>150</v>
      </c>
      <c r="U290" s="158"/>
      <c r="V290" s="158"/>
      <c r="W290" s="158"/>
      <c r="X290" s="158"/>
      <c r="Y290" s="37"/>
    </row>
    <row r="291" spans="10:25" x14ac:dyDescent="0.2">
      <c r="J291" s="158"/>
      <c r="K291" s="158"/>
      <c r="L291" s="158"/>
      <c r="M291" s="158"/>
      <c r="N291" s="158"/>
      <c r="O291" s="158"/>
      <c r="P291" s="158"/>
      <c r="Q291" s="158"/>
      <c r="R291" s="158"/>
      <c r="S291" s="158">
        <v>304</v>
      </c>
      <c r="T291" s="158">
        <v>150</v>
      </c>
      <c r="U291" s="158"/>
      <c r="V291" s="158"/>
      <c r="W291" s="158"/>
      <c r="X291" s="158"/>
      <c r="Y291" s="37"/>
    </row>
    <row r="292" spans="10:25" x14ac:dyDescent="0.2">
      <c r="J292" s="158"/>
      <c r="K292" s="158"/>
      <c r="L292" s="158"/>
      <c r="M292" s="158"/>
      <c r="N292" s="158"/>
      <c r="O292" s="158"/>
      <c r="P292" s="158"/>
      <c r="Q292" s="158"/>
      <c r="R292" s="158"/>
      <c r="S292" s="158">
        <v>305</v>
      </c>
      <c r="T292" s="158">
        <v>150</v>
      </c>
      <c r="U292" s="158"/>
      <c r="V292" s="158"/>
      <c r="W292" s="158"/>
      <c r="X292" s="158"/>
      <c r="Y292" s="37"/>
    </row>
    <row r="293" spans="10:25" x14ac:dyDescent="0.2">
      <c r="J293" s="158"/>
      <c r="K293" s="158"/>
      <c r="L293" s="158"/>
      <c r="M293" s="158"/>
      <c r="N293" s="158"/>
      <c r="O293" s="158"/>
      <c r="P293" s="158"/>
      <c r="Q293" s="158"/>
      <c r="R293" s="158"/>
      <c r="S293" s="158">
        <v>306</v>
      </c>
      <c r="T293" s="158">
        <v>150</v>
      </c>
      <c r="U293" s="158"/>
      <c r="V293" s="158"/>
      <c r="W293" s="158"/>
      <c r="X293" s="158"/>
      <c r="Y293" s="37"/>
    </row>
    <row r="294" spans="10:25" x14ac:dyDescent="0.2">
      <c r="J294" s="158"/>
      <c r="K294" s="158"/>
      <c r="L294" s="158"/>
      <c r="M294" s="158"/>
      <c r="N294" s="158"/>
      <c r="O294" s="158"/>
      <c r="P294" s="158"/>
      <c r="Q294" s="158"/>
      <c r="R294" s="158"/>
      <c r="S294" s="158">
        <v>307</v>
      </c>
      <c r="T294" s="158">
        <v>150</v>
      </c>
      <c r="U294" s="158"/>
      <c r="V294" s="158"/>
      <c r="W294" s="158"/>
      <c r="X294" s="158"/>
      <c r="Y294" s="37"/>
    </row>
    <row r="295" spans="10:25" x14ac:dyDescent="0.2">
      <c r="J295" s="158"/>
      <c r="K295" s="158"/>
      <c r="L295" s="158"/>
      <c r="M295" s="158"/>
      <c r="N295" s="158"/>
      <c r="O295" s="158"/>
      <c r="P295" s="158"/>
      <c r="Q295" s="158"/>
      <c r="R295" s="158"/>
      <c r="S295" s="158">
        <v>308</v>
      </c>
      <c r="T295" s="158">
        <v>150</v>
      </c>
      <c r="U295" s="158"/>
      <c r="V295" s="158"/>
      <c r="W295" s="158"/>
      <c r="X295" s="158"/>
      <c r="Y295" s="37"/>
    </row>
    <row r="296" spans="10:25" x14ac:dyDescent="0.2">
      <c r="J296" s="158"/>
      <c r="K296" s="158"/>
      <c r="L296" s="158"/>
      <c r="M296" s="158"/>
      <c r="N296" s="158"/>
      <c r="O296" s="158"/>
      <c r="P296" s="158"/>
      <c r="Q296" s="158"/>
      <c r="R296" s="158"/>
      <c r="S296" s="158">
        <v>309</v>
      </c>
      <c r="T296" s="158">
        <v>150</v>
      </c>
      <c r="U296" s="158"/>
      <c r="V296" s="158"/>
      <c r="W296" s="158"/>
      <c r="X296" s="158"/>
      <c r="Y296" s="37"/>
    </row>
    <row r="297" spans="10:25" x14ac:dyDescent="0.2">
      <c r="J297" s="158"/>
      <c r="K297" s="158"/>
      <c r="L297" s="158"/>
      <c r="M297" s="158"/>
      <c r="N297" s="158"/>
      <c r="O297" s="158"/>
      <c r="P297" s="158"/>
      <c r="Q297" s="158"/>
      <c r="R297" s="158"/>
      <c r="S297" s="158">
        <v>310</v>
      </c>
      <c r="T297" s="158">
        <v>150</v>
      </c>
      <c r="U297" s="158"/>
      <c r="V297" s="158"/>
      <c r="W297" s="158"/>
      <c r="X297" s="158"/>
      <c r="Y297" s="37"/>
    </row>
    <row r="298" spans="10:25" x14ac:dyDescent="0.2">
      <c r="J298" s="158"/>
      <c r="K298" s="158"/>
      <c r="L298" s="158"/>
      <c r="M298" s="158"/>
      <c r="N298" s="158"/>
      <c r="O298" s="158"/>
      <c r="P298" s="158"/>
      <c r="Q298" s="158"/>
      <c r="R298" s="158"/>
      <c r="S298" s="158">
        <v>311</v>
      </c>
      <c r="T298" s="158">
        <v>150</v>
      </c>
      <c r="U298" s="158"/>
      <c r="V298" s="158"/>
      <c r="W298" s="158"/>
      <c r="X298" s="158"/>
      <c r="Y298" s="37"/>
    </row>
    <row r="299" spans="10:25" x14ac:dyDescent="0.2">
      <c r="J299" s="158"/>
      <c r="K299" s="158"/>
      <c r="L299" s="158"/>
      <c r="M299" s="158"/>
      <c r="N299" s="158"/>
      <c r="O299" s="158"/>
      <c r="P299" s="158"/>
      <c r="Q299" s="158"/>
      <c r="R299" s="158"/>
      <c r="S299" s="158">
        <v>312</v>
      </c>
      <c r="T299" s="158">
        <v>150</v>
      </c>
      <c r="U299" s="158"/>
      <c r="V299" s="158"/>
      <c r="W299" s="158"/>
      <c r="X299" s="158"/>
      <c r="Y299" s="37"/>
    </row>
    <row r="300" spans="10:25" x14ac:dyDescent="0.2">
      <c r="J300" s="158"/>
      <c r="K300" s="158"/>
      <c r="L300" s="158"/>
      <c r="M300" s="158"/>
      <c r="N300" s="158"/>
      <c r="O300" s="158"/>
      <c r="P300" s="158"/>
      <c r="Q300" s="158"/>
      <c r="R300" s="158"/>
      <c r="S300" s="158">
        <v>313</v>
      </c>
      <c r="T300" s="158">
        <v>150</v>
      </c>
      <c r="U300" s="158"/>
      <c r="V300" s="158"/>
      <c r="W300" s="158"/>
      <c r="X300" s="158"/>
      <c r="Y300" s="37"/>
    </row>
    <row r="301" spans="10:25" x14ac:dyDescent="0.2">
      <c r="J301" s="158"/>
      <c r="K301" s="158"/>
      <c r="L301" s="158"/>
      <c r="M301" s="158"/>
      <c r="N301" s="158"/>
      <c r="O301" s="158"/>
      <c r="P301" s="158"/>
      <c r="Q301" s="158"/>
      <c r="R301" s="158"/>
      <c r="S301" s="158">
        <v>314</v>
      </c>
      <c r="T301" s="158">
        <v>150</v>
      </c>
      <c r="U301" s="158"/>
      <c r="V301" s="158"/>
      <c r="W301" s="158"/>
      <c r="X301" s="158"/>
      <c r="Y301" s="37"/>
    </row>
    <row r="302" spans="10:25" x14ac:dyDescent="0.2">
      <c r="J302" s="158"/>
      <c r="K302" s="158"/>
      <c r="L302" s="158"/>
      <c r="M302" s="158"/>
      <c r="N302" s="158"/>
      <c r="O302" s="158"/>
      <c r="P302" s="158"/>
      <c r="Q302" s="158"/>
      <c r="R302" s="158"/>
      <c r="S302" s="158">
        <v>315</v>
      </c>
      <c r="T302" s="158">
        <v>150</v>
      </c>
      <c r="U302" s="158"/>
      <c r="V302" s="158"/>
      <c r="W302" s="158"/>
      <c r="X302" s="158"/>
      <c r="Y302" s="37"/>
    </row>
    <row r="303" spans="10:25" x14ac:dyDescent="0.2">
      <c r="J303" s="158"/>
      <c r="K303" s="158"/>
      <c r="L303" s="158"/>
      <c r="M303" s="158"/>
      <c r="N303" s="158"/>
      <c r="O303" s="158"/>
      <c r="P303" s="158"/>
      <c r="Q303" s="158"/>
      <c r="R303" s="158"/>
      <c r="S303" s="158">
        <v>316</v>
      </c>
      <c r="T303" s="158">
        <v>150</v>
      </c>
      <c r="U303" s="158"/>
      <c r="V303" s="158"/>
      <c r="W303" s="158"/>
      <c r="X303" s="158"/>
      <c r="Y303" s="37"/>
    </row>
    <row r="304" spans="10:25" x14ac:dyDescent="0.2">
      <c r="J304" s="158"/>
      <c r="K304" s="158"/>
      <c r="L304" s="158"/>
      <c r="M304" s="158"/>
      <c r="N304" s="158"/>
      <c r="O304" s="158"/>
      <c r="P304" s="158"/>
      <c r="Q304" s="158"/>
      <c r="R304" s="158"/>
      <c r="S304" s="158">
        <v>317</v>
      </c>
      <c r="T304" s="158">
        <v>150</v>
      </c>
      <c r="U304" s="158"/>
      <c r="V304" s="158"/>
      <c r="W304" s="158"/>
      <c r="X304" s="158"/>
      <c r="Y304" s="37"/>
    </row>
    <row r="305" spans="10:25" x14ac:dyDescent="0.2">
      <c r="J305" s="158"/>
      <c r="K305" s="158"/>
      <c r="L305" s="158"/>
      <c r="M305" s="158"/>
      <c r="N305" s="158"/>
      <c r="O305" s="158"/>
      <c r="P305" s="158"/>
      <c r="Q305" s="158"/>
      <c r="R305" s="158"/>
      <c r="S305" s="158">
        <v>318</v>
      </c>
      <c r="T305" s="158">
        <v>150</v>
      </c>
      <c r="U305" s="158"/>
      <c r="V305" s="158"/>
      <c r="W305" s="158"/>
      <c r="X305" s="158"/>
      <c r="Y305" s="37"/>
    </row>
    <row r="306" spans="10:25" x14ac:dyDescent="0.2">
      <c r="J306" s="158"/>
      <c r="K306" s="158"/>
      <c r="L306" s="158"/>
      <c r="M306" s="158"/>
      <c r="N306" s="158"/>
      <c r="O306" s="158"/>
      <c r="P306" s="158"/>
      <c r="Q306" s="158"/>
      <c r="R306" s="158"/>
      <c r="S306" s="158">
        <v>319</v>
      </c>
      <c r="T306" s="158">
        <v>150</v>
      </c>
      <c r="U306" s="158"/>
      <c r="V306" s="158"/>
      <c r="W306" s="158"/>
      <c r="X306" s="158"/>
      <c r="Y306" s="37"/>
    </row>
    <row r="307" spans="10:25" x14ac:dyDescent="0.2">
      <c r="J307" s="158"/>
      <c r="K307" s="158"/>
      <c r="L307" s="158"/>
      <c r="M307" s="158"/>
      <c r="N307" s="158"/>
      <c r="O307" s="158"/>
      <c r="P307" s="158"/>
      <c r="Q307" s="158"/>
      <c r="R307" s="158"/>
      <c r="S307" s="158">
        <v>320</v>
      </c>
      <c r="T307" s="158">
        <v>150</v>
      </c>
      <c r="U307" s="158"/>
      <c r="V307" s="158"/>
      <c r="W307" s="158"/>
      <c r="X307" s="158"/>
      <c r="Y307" s="37"/>
    </row>
    <row r="308" spans="10:25" x14ac:dyDescent="0.2">
      <c r="J308" s="158"/>
      <c r="K308" s="158"/>
      <c r="L308" s="158"/>
      <c r="M308" s="158"/>
      <c r="N308" s="158"/>
      <c r="O308" s="158"/>
      <c r="P308" s="158"/>
      <c r="Q308" s="158"/>
      <c r="R308" s="158"/>
      <c r="S308" s="158">
        <v>321</v>
      </c>
      <c r="T308" s="158">
        <v>150</v>
      </c>
      <c r="U308" s="158"/>
      <c r="V308" s="158"/>
      <c r="W308" s="158"/>
      <c r="X308" s="158"/>
      <c r="Y308" s="37"/>
    </row>
    <row r="309" spans="10:25" x14ac:dyDescent="0.2">
      <c r="J309" s="158"/>
      <c r="K309" s="158"/>
      <c r="L309" s="158"/>
      <c r="M309" s="158"/>
      <c r="N309" s="158"/>
      <c r="O309" s="158"/>
      <c r="P309" s="158"/>
      <c r="Q309" s="158"/>
      <c r="R309" s="158"/>
      <c r="S309" s="158">
        <v>322</v>
      </c>
      <c r="T309" s="158">
        <v>150</v>
      </c>
      <c r="U309" s="158"/>
      <c r="V309" s="158"/>
      <c r="W309" s="158"/>
      <c r="X309" s="158"/>
      <c r="Y309" s="37"/>
    </row>
    <row r="310" spans="10:25" x14ac:dyDescent="0.2">
      <c r="J310" s="158"/>
      <c r="K310" s="158"/>
      <c r="L310" s="158"/>
      <c r="M310" s="158"/>
      <c r="N310" s="158"/>
      <c r="O310" s="158"/>
      <c r="P310" s="158"/>
      <c r="Q310" s="158"/>
      <c r="R310" s="158"/>
      <c r="S310" s="158">
        <v>323</v>
      </c>
      <c r="T310" s="158">
        <v>150</v>
      </c>
      <c r="U310" s="158"/>
      <c r="V310" s="158"/>
      <c r="W310" s="158"/>
      <c r="X310" s="158"/>
      <c r="Y310" s="37"/>
    </row>
    <row r="311" spans="10:25" x14ac:dyDescent="0.2">
      <c r="J311" s="158"/>
      <c r="K311" s="158"/>
      <c r="L311" s="158"/>
      <c r="M311" s="158"/>
      <c r="N311" s="158"/>
      <c r="O311" s="158"/>
      <c r="P311" s="158"/>
      <c r="Q311" s="158"/>
      <c r="R311" s="158"/>
      <c r="S311" s="158">
        <v>324</v>
      </c>
      <c r="T311" s="158">
        <v>150</v>
      </c>
      <c r="U311" s="158"/>
      <c r="V311" s="158"/>
      <c r="W311" s="158"/>
      <c r="X311" s="158"/>
      <c r="Y311" s="37"/>
    </row>
    <row r="312" spans="10:25" x14ac:dyDescent="0.2">
      <c r="J312" s="158"/>
      <c r="K312" s="158"/>
      <c r="L312" s="158"/>
      <c r="M312" s="158"/>
      <c r="N312" s="158"/>
      <c r="O312" s="158"/>
      <c r="P312" s="158"/>
      <c r="Q312" s="158"/>
      <c r="R312" s="158"/>
      <c r="S312" s="158">
        <v>325</v>
      </c>
      <c r="T312" s="158">
        <v>150</v>
      </c>
      <c r="U312" s="158"/>
      <c r="V312" s="158"/>
      <c r="W312" s="158"/>
      <c r="X312" s="158"/>
      <c r="Y312" s="37"/>
    </row>
    <row r="313" spans="10:25" x14ac:dyDescent="0.2">
      <c r="J313" s="158"/>
      <c r="K313" s="158"/>
      <c r="L313" s="158"/>
      <c r="M313" s="158"/>
      <c r="N313" s="158"/>
      <c r="O313" s="158"/>
      <c r="P313" s="158"/>
      <c r="Q313" s="158"/>
      <c r="R313" s="158"/>
      <c r="S313" s="158">
        <v>326</v>
      </c>
      <c r="T313" s="158">
        <v>150</v>
      </c>
      <c r="U313" s="158"/>
      <c r="V313" s="158"/>
      <c r="W313" s="158"/>
      <c r="X313" s="158"/>
      <c r="Y313" s="37"/>
    </row>
    <row r="314" spans="10:25" x14ac:dyDescent="0.2">
      <c r="J314" s="158"/>
      <c r="K314" s="158"/>
      <c r="L314" s="158"/>
      <c r="M314" s="158"/>
      <c r="N314" s="158"/>
      <c r="O314" s="158"/>
      <c r="P314" s="158"/>
      <c r="Q314" s="158"/>
      <c r="R314" s="158"/>
      <c r="S314" s="158">
        <v>327</v>
      </c>
      <c r="T314" s="158">
        <v>150</v>
      </c>
      <c r="U314" s="158"/>
      <c r="V314" s="158"/>
      <c r="W314" s="158"/>
      <c r="X314" s="158"/>
      <c r="Y314" s="37"/>
    </row>
    <row r="315" spans="10:25" x14ac:dyDescent="0.2">
      <c r="J315" s="158"/>
      <c r="K315" s="158"/>
      <c r="L315" s="158"/>
      <c r="M315" s="158"/>
      <c r="N315" s="158"/>
      <c r="O315" s="158"/>
      <c r="P315" s="158"/>
      <c r="Q315" s="158"/>
      <c r="R315" s="158"/>
      <c r="S315" s="158">
        <v>328</v>
      </c>
      <c r="T315" s="158">
        <v>150</v>
      </c>
      <c r="U315" s="158"/>
      <c r="V315" s="158"/>
      <c r="W315" s="158"/>
      <c r="X315" s="158"/>
      <c r="Y315" s="37"/>
    </row>
    <row r="316" spans="10:25" x14ac:dyDescent="0.2">
      <c r="J316" s="158"/>
      <c r="K316" s="158"/>
      <c r="L316" s="158"/>
      <c r="M316" s="158"/>
      <c r="N316" s="158"/>
      <c r="O316" s="158"/>
      <c r="P316" s="158"/>
      <c r="Q316" s="158"/>
      <c r="R316" s="158"/>
      <c r="S316" s="158">
        <v>329</v>
      </c>
      <c r="T316" s="158">
        <v>150</v>
      </c>
      <c r="U316" s="158"/>
      <c r="V316" s="158"/>
      <c r="W316" s="158"/>
      <c r="X316" s="158"/>
      <c r="Y316" s="37"/>
    </row>
    <row r="317" spans="10:25" x14ac:dyDescent="0.2">
      <c r="J317" s="158"/>
      <c r="K317" s="158"/>
      <c r="L317" s="158"/>
      <c r="M317" s="158"/>
      <c r="N317" s="158"/>
      <c r="O317" s="158"/>
      <c r="P317" s="158"/>
      <c r="Q317" s="158"/>
      <c r="R317" s="158"/>
      <c r="S317" s="158">
        <v>330</v>
      </c>
      <c r="T317" s="158">
        <v>150</v>
      </c>
      <c r="U317" s="158"/>
      <c r="V317" s="158"/>
      <c r="W317" s="158"/>
      <c r="X317" s="158"/>
      <c r="Y317" s="37"/>
    </row>
    <row r="318" spans="10:25" x14ac:dyDescent="0.2">
      <c r="J318" s="158"/>
      <c r="K318" s="158"/>
      <c r="L318" s="158"/>
      <c r="M318" s="158"/>
      <c r="N318" s="158"/>
      <c r="O318" s="158"/>
      <c r="P318" s="158"/>
      <c r="Q318" s="158"/>
      <c r="R318" s="158"/>
      <c r="S318" s="158">
        <v>331</v>
      </c>
      <c r="T318" s="158">
        <v>150</v>
      </c>
      <c r="U318" s="158"/>
      <c r="V318" s="158"/>
      <c r="W318" s="158"/>
      <c r="X318" s="158"/>
      <c r="Y318" s="37"/>
    </row>
    <row r="319" spans="10:25" x14ac:dyDescent="0.2">
      <c r="J319" s="158"/>
      <c r="K319" s="158"/>
      <c r="L319" s="158"/>
      <c r="M319" s="158"/>
      <c r="N319" s="158"/>
      <c r="O319" s="158"/>
      <c r="P319" s="158"/>
      <c r="Q319" s="158"/>
      <c r="R319" s="158"/>
      <c r="S319" s="158">
        <v>332</v>
      </c>
      <c r="T319" s="158">
        <v>150</v>
      </c>
      <c r="U319" s="158"/>
      <c r="V319" s="158"/>
      <c r="W319" s="158"/>
      <c r="X319" s="158"/>
      <c r="Y319" s="37"/>
    </row>
    <row r="320" spans="10:25" x14ac:dyDescent="0.2">
      <c r="J320" s="158"/>
      <c r="K320" s="158"/>
      <c r="L320" s="158"/>
      <c r="M320" s="158"/>
      <c r="N320" s="158"/>
      <c r="O320" s="158"/>
      <c r="P320" s="158"/>
      <c r="Q320" s="158"/>
      <c r="R320" s="158"/>
      <c r="S320" s="158">
        <v>333</v>
      </c>
      <c r="T320" s="158">
        <v>150</v>
      </c>
      <c r="U320" s="158"/>
      <c r="V320" s="158"/>
      <c r="W320" s="158"/>
      <c r="X320" s="158"/>
      <c r="Y320" s="37"/>
    </row>
    <row r="321" spans="10:25" x14ac:dyDescent="0.2">
      <c r="J321" s="158"/>
      <c r="K321" s="158"/>
      <c r="L321" s="158"/>
      <c r="M321" s="158"/>
      <c r="N321" s="158"/>
      <c r="O321" s="158"/>
      <c r="P321" s="158"/>
      <c r="Q321" s="158"/>
      <c r="R321" s="158"/>
      <c r="S321" s="158">
        <v>334</v>
      </c>
      <c r="T321" s="158">
        <v>150</v>
      </c>
      <c r="U321" s="158"/>
      <c r="V321" s="158"/>
      <c r="W321" s="158"/>
      <c r="X321" s="158"/>
      <c r="Y321" s="37"/>
    </row>
    <row r="322" spans="10:25" x14ac:dyDescent="0.2">
      <c r="J322" s="158"/>
      <c r="K322" s="158"/>
      <c r="L322" s="158"/>
      <c r="M322" s="158"/>
      <c r="N322" s="158"/>
      <c r="O322" s="158"/>
      <c r="P322" s="158"/>
      <c r="Q322" s="158"/>
      <c r="R322" s="158"/>
      <c r="S322" s="158">
        <v>335</v>
      </c>
      <c r="T322" s="158">
        <v>150</v>
      </c>
      <c r="U322" s="158"/>
      <c r="V322" s="158"/>
      <c r="W322" s="158"/>
      <c r="X322" s="158"/>
      <c r="Y322" s="37"/>
    </row>
    <row r="323" spans="10:25" x14ac:dyDescent="0.2">
      <c r="J323" s="158"/>
      <c r="K323" s="158"/>
      <c r="L323" s="158"/>
      <c r="M323" s="158"/>
      <c r="N323" s="158"/>
      <c r="O323" s="158"/>
      <c r="P323" s="158"/>
      <c r="Q323" s="158"/>
      <c r="R323" s="158"/>
      <c r="S323" s="158">
        <v>336</v>
      </c>
      <c r="T323" s="158">
        <v>150</v>
      </c>
      <c r="U323" s="158"/>
      <c r="V323" s="158"/>
      <c r="W323" s="158"/>
      <c r="X323" s="158"/>
      <c r="Y323" s="37"/>
    </row>
    <row r="324" spans="10:25" x14ac:dyDescent="0.2">
      <c r="J324" s="158"/>
      <c r="K324" s="158"/>
      <c r="L324" s="158"/>
      <c r="M324" s="158"/>
      <c r="N324" s="158"/>
      <c r="O324" s="158"/>
      <c r="P324" s="158"/>
      <c r="Q324" s="158"/>
      <c r="R324" s="158"/>
      <c r="S324" s="158">
        <v>337</v>
      </c>
      <c r="T324" s="158">
        <v>150</v>
      </c>
      <c r="U324" s="158"/>
      <c r="V324" s="158"/>
      <c r="W324" s="158"/>
      <c r="X324" s="158"/>
      <c r="Y324" s="37"/>
    </row>
    <row r="325" spans="10:25" x14ac:dyDescent="0.2">
      <c r="J325" s="158"/>
      <c r="K325" s="158"/>
      <c r="L325" s="158"/>
      <c r="M325" s="158"/>
      <c r="N325" s="158"/>
      <c r="O325" s="158"/>
      <c r="P325" s="158"/>
      <c r="Q325" s="158"/>
      <c r="R325" s="158"/>
      <c r="S325" s="158">
        <v>338</v>
      </c>
      <c r="T325" s="158">
        <v>150</v>
      </c>
      <c r="U325" s="158"/>
      <c r="V325" s="158"/>
      <c r="W325" s="158"/>
      <c r="X325" s="158"/>
      <c r="Y325" s="37"/>
    </row>
    <row r="326" spans="10:25" x14ac:dyDescent="0.2">
      <c r="J326" s="158"/>
      <c r="K326" s="158"/>
      <c r="L326" s="158"/>
      <c r="M326" s="158"/>
      <c r="N326" s="158"/>
      <c r="O326" s="158"/>
      <c r="P326" s="158"/>
      <c r="Q326" s="158"/>
      <c r="R326" s="158"/>
      <c r="S326" s="158">
        <v>339</v>
      </c>
      <c r="T326" s="158">
        <v>150</v>
      </c>
      <c r="U326" s="158"/>
      <c r="V326" s="158"/>
      <c r="W326" s="158"/>
      <c r="X326" s="158"/>
      <c r="Y326" s="37"/>
    </row>
    <row r="327" spans="10:25" x14ac:dyDescent="0.2">
      <c r="J327" s="158"/>
      <c r="K327" s="158"/>
      <c r="L327" s="158"/>
      <c r="M327" s="158"/>
      <c r="N327" s="158"/>
      <c r="O327" s="158"/>
      <c r="P327" s="158"/>
      <c r="Q327" s="158"/>
      <c r="R327" s="158"/>
      <c r="S327" s="158">
        <v>340</v>
      </c>
      <c r="T327" s="158">
        <v>150</v>
      </c>
      <c r="U327" s="158"/>
      <c r="V327" s="158"/>
      <c r="W327" s="158"/>
      <c r="X327" s="158"/>
      <c r="Y327" s="37"/>
    </row>
    <row r="328" spans="10:25" x14ac:dyDescent="0.2">
      <c r="J328" s="158"/>
      <c r="K328" s="158"/>
      <c r="L328" s="158"/>
      <c r="M328" s="158"/>
      <c r="N328" s="158"/>
      <c r="O328" s="158"/>
      <c r="P328" s="158"/>
      <c r="Q328" s="158"/>
      <c r="R328" s="158"/>
      <c r="S328" s="158">
        <v>341</v>
      </c>
      <c r="T328" s="158">
        <v>150</v>
      </c>
      <c r="U328" s="158"/>
      <c r="V328" s="158"/>
      <c r="W328" s="158"/>
      <c r="X328" s="158"/>
      <c r="Y328" s="37"/>
    </row>
    <row r="329" spans="10:25" x14ac:dyDescent="0.2">
      <c r="J329" s="158"/>
      <c r="K329" s="158"/>
      <c r="L329" s="158"/>
      <c r="M329" s="158"/>
      <c r="N329" s="158"/>
      <c r="O329" s="158"/>
      <c r="P329" s="158"/>
      <c r="Q329" s="158"/>
      <c r="R329" s="158"/>
      <c r="S329" s="158">
        <v>342</v>
      </c>
      <c r="T329" s="158">
        <v>150</v>
      </c>
      <c r="U329" s="158"/>
      <c r="V329" s="158"/>
      <c r="W329" s="158"/>
      <c r="X329" s="158"/>
      <c r="Y329" s="37"/>
    </row>
    <row r="330" spans="10:25" x14ac:dyDescent="0.2">
      <c r="J330" s="158"/>
      <c r="K330" s="158"/>
      <c r="L330" s="158"/>
      <c r="M330" s="158"/>
      <c r="N330" s="158"/>
      <c r="O330" s="158"/>
      <c r="P330" s="158"/>
      <c r="Q330" s="158"/>
      <c r="R330" s="158"/>
      <c r="S330" s="158">
        <v>343</v>
      </c>
      <c r="T330" s="158">
        <v>150</v>
      </c>
      <c r="U330" s="158"/>
      <c r="V330" s="158"/>
      <c r="W330" s="158"/>
      <c r="X330" s="158"/>
      <c r="Y330" s="37"/>
    </row>
    <row r="331" spans="10:25" x14ac:dyDescent="0.2">
      <c r="J331" s="158"/>
      <c r="K331" s="158"/>
      <c r="L331" s="158"/>
      <c r="M331" s="158"/>
      <c r="N331" s="158"/>
      <c r="O331" s="158"/>
      <c r="P331" s="158"/>
      <c r="Q331" s="158"/>
      <c r="R331" s="158"/>
      <c r="S331" s="158">
        <v>344</v>
      </c>
      <c r="T331" s="158">
        <v>150</v>
      </c>
      <c r="U331" s="158"/>
      <c r="V331" s="158"/>
      <c r="W331" s="158"/>
      <c r="X331" s="158"/>
      <c r="Y331" s="37"/>
    </row>
    <row r="332" spans="10:25" x14ac:dyDescent="0.2">
      <c r="J332" s="158"/>
      <c r="K332" s="158"/>
      <c r="L332" s="158"/>
      <c r="M332" s="158"/>
      <c r="N332" s="158"/>
      <c r="O332" s="158"/>
      <c r="P332" s="158"/>
      <c r="Q332" s="158"/>
      <c r="R332" s="158"/>
      <c r="S332" s="158">
        <v>345</v>
      </c>
      <c r="T332" s="158">
        <v>150</v>
      </c>
      <c r="U332" s="158"/>
      <c r="V332" s="158"/>
      <c r="W332" s="158"/>
      <c r="X332" s="158"/>
      <c r="Y332" s="37"/>
    </row>
    <row r="333" spans="10:25" x14ac:dyDescent="0.2">
      <c r="J333" s="158"/>
      <c r="K333" s="158"/>
      <c r="L333" s="158"/>
      <c r="M333" s="158"/>
      <c r="N333" s="158"/>
      <c r="O333" s="158"/>
      <c r="P333" s="158"/>
      <c r="Q333" s="158"/>
      <c r="R333" s="158"/>
      <c r="S333" s="158">
        <v>346</v>
      </c>
      <c r="T333" s="158">
        <v>150</v>
      </c>
      <c r="U333" s="158"/>
      <c r="V333" s="158"/>
      <c r="W333" s="158"/>
      <c r="X333" s="158"/>
      <c r="Y333" s="37"/>
    </row>
    <row r="334" spans="10:25" x14ac:dyDescent="0.2">
      <c r="J334" s="158"/>
      <c r="K334" s="158"/>
      <c r="L334" s="158"/>
      <c r="M334" s="158"/>
      <c r="N334" s="158"/>
      <c r="O334" s="158"/>
      <c r="P334" s="158"/>
      <c r="Q334" s="158"/>
      <c r="R334" s="158"/>
      <c r="S334" s="158">
        <v>347</v>
      </c>
      <c r="T334" s="158">
        <v>150</v>
      </c>
      <c r="U334" s="158"/>
      <c r="V334" s="158"/>
      <c r="W334" s="158"/>
      <c r="X334" s="158"/>
      <c r="Y334" s="37"/>
    </row>
    <row r="335" spans="10:25" x14ac:dyDescent="0.2">
      <c r="J335" s="158"/>
      <c r="K335" s="158"/>
      <c r="L335" s="158"/>
      <c r="M335" s="158"/>
      <c r="N335" s="158"/>
      <c r="O335" s="158"/>
      <c r="P335" s="158"/>
      <c r="Q335" s="158"/>
      <c r="R335" s="158"/>
      <c r="S335" s="158">
        <v>348</v>
      </c>
      <c r="T335" s="158">
        <v>150</v>
      </c>
      <c r="U335" s="158"/>
      <c r="V335" s="158"/>
      <c r="W335" s="158"/>
      <c r="X335" s="158"/>
      <c r="Y335" s="37"/>
    </row>
    <row r="336" spans="10:25" x14ac:dyDescent="0.2">
      <c r="J336" s="158"/>
      <c r="K336" s="158"/>
      <c r="L336" s="158"/>
      <c r="M336" s="158"/>
      <c r="N336" s="158"/>
      <c r="O336" s="158"/>
      <c r="P336" s="158"/>
      <c r="Q336" s="158"/>
      <c r="R336" s="158"/>
      <c r="S336" s="158">
        <v>349</v>
      </c>
      <c r="T336" s="158">
        <v>150</v>
      </c>
      <c r="U336" s="158"/>
      <c r="V336" s="158"/>
      <c r="W336" s="158"/>
      <c r="X336" s="158"/>
      <c r="Y336" s="37"/>
    </row>
    <row r="337" spans="10:25" x14ac:dyDescent="0.2">
      <c r="J337" s="158"/>
      <c r="K337" s="158"/>
      <c r="L337" s="158"/>
      <c r="M337" s="158"/>
      <c r="N337" s="158"/>
      <c r="O337" s="158"/>
      <c r="P337" s="158"/>
      <c r="Q337" s="158"/>
      <c r="R337" s="158"/>
      <c r="S337" s="158">
        <v>350</v>
      </c>
      <c r="T337" s="158">
        <v>150</v>
      </c>
      <c r="U337" s="158"/>
      <c r="V337" s="158"/>
      <c r="W337" s="158"/>
      <c r="X337" s="158"/>
      <c r="Y337" s="37"/>
    </row>
    <row r="338" spans="10:25" x14ac:dyDescent="0.2">
      <c r="J338" s="158"/>
      <c r="K338" s="158"/>
      <c r="L338" s="158"/>
      <c r="M338" s="158"/>
      <c r="N338" s="158"/>
      <c r="O338" s="158"/>
      <c r="P338" s="158"/>
      <c r="Q338" s="158"/>
      <c r="R338" s="158"/>
      <c r="S338" s="158">
        <v>351</v>
      </c>
      <c r="T338" s="158">
        <v>150</v>
      </c>
      <c r="U338" s="158"/>
      <c r="V338" s="158"/>
      <c r="W338" s="158"/>
      <c r="X338" s="158"/>
      <c r="Y338" s="37"/>
    </row>
    <row r="339" spans="10:25" x14ac:dyDescent="0.2">
      <c r="J339" s="158"/>
      <c r="K339" s="158"/>
      <c r="L339" s="158"/>
      <c r="M339" s="158"/>
      <c r="N339" s="158"/>
      <c r="O339" s="158"/>
      <c r="P339" s="158"/>
      <c r="Q339" s="158"/>
      <c r="R339" s="158"/>
      <c r="S339" s="158">
        <v>352</v>
      </c>
      <c r="T339" s="158">
        <v>150</v>
      </c>
      <c r="U339" s="158"/>
      <c r="V339" s="158"/>
      <c r="W339" s="158"/>
      <c r="X339" s="158"/>
      <c r="Y339" s="37"/>
    </row>
    <row r="340" spans="10:25" x14ac:dyDescent="0.2">
      <c r="J340" s="158"/>
      <c r="K340" s="158"/>
      <c r="L340" s="158"/>
      <c r="M340" s="158"/>
      <c r="N340" s="158"/>
      <c r="O340" s="158"/>
      <c r="P340" s="158"/>
      <c r="Q340" s="158"/>
      <c r="R340" s="158"/>
      <c r="S340" s="158">
        <v>353</v>
      </c>
      <c r="T340" s="158">
        <v>150</v>
      </c>
      <c r="U340" s="158"/>
      <c r="V340" s="158"/>
      <c r="W340" s="158"/>
      <c r="X340" s="158"/>
      <c r="Y340" s="37"/>
    </row>
    <row r="341" spans="10:25" x14ac:dyDescent="0.2">
      <c r="J341" s="158"/>
      <c r="K341" s="158"/>
      <c r="L341" s="158"/>
      <c r="M341" s="158"/>
      <c r="N341" s="158"/>
      <c r="O341" s="158"/>
      <c r="P341" s="158"/>
      <c r="Q341" s="158"/>
      <c r="R341" s="158"/>
      <c r="S341" s="158">
        <v>354</v>
      </c>
      <c r="T341" s="158">
        <v>150</v>
      </c>
      <c r="U341" s="158"/>
      <c r="V341" s="158"/>
      <c r="W341" s="158"/>
      <c r="X341" s="158"/>
      <c r="Y341" s="37"/>
    </row>
    <row r="342" spans="10:25" x14ac:dyDescent="0.2">
      <c r="J342" s="158"/>
      <c r="K342" s="158"/>
      <c r="L342" s="158"/>
      <c r="M342" s="158"/>
      <c r="N342" s="158"/>
      <c r="O342" s="158"/>
      <c r="P342" s="158"/>
      <c r="Q342" s="158"/>
      <c r="R342" s="158"/>
      <c r="S342" s="158">
        <v>355</v>
      </c>
      <c r="T342" s="158">
        <v>150</v>
      </c>
      <c r="U342" s="158"/>
      <c r="V342" s="158"/>
      <c r="W342" s="158"/>
      <c r="X342" s="158"/>
      <c r="Y342" s="37"/>
    </row>
    <row r="343" spans="10:25" x14ac:dyDescent="0.2">
      <c r="J343" s="158"/>
      <c r="K343" s="158"/>
      <c r="L343" s="158"/>
      <c r="M343" s="158"/>
      <c r="N343" s="158"/>
      <c r="O343" s="158"/>
      <c r="P343" s="158"/>
      <c r="Q343" s="158"/>
      <c r="R343" s="158"/>
      <c r="S343" s="158">
        <v>356</v>
      </c>
      <c r="T343" s="158">
        <v>150</v>
      </c>
      <c r="U343" s="158"/>
      <c r="V343" s="158"/>
      <c r="W343" s="158"/>
      <c r="X343" s="158"/>
      <c r="Y343" s="37"/>
    </row>
    <row r="344" spans="10:25" x14ac:dyDescent="0.2">
      <c r="J344" s="158"/>
      <c r="K344" s="158"/>
      <c r="L344" s="158"/>
      <c r="M344" s="158"/>
      <c r="N344" s="158"/>
      <c r="O344" s="158"/>
      <c r="P344" s="158"/>
      <c r="Q344" s="158"/>
      <c r="R344" s="158"/>
      <c r="S344" s="158">
        <v>357</v>
      </c>
      <c r="T344" s="158">
        <v>150</v>
      </c>
      <c r="U344" s="158"/>
      <c r="V344" s="158"/>
      <c r="W344" s="158"/>
      <c r="X344" s="158"/>
      <c r="Y344" s="37"/>
    </row>
    <row r="345" spans="10:25" x14ac:dyDescent="0.2">
      <c r="J345" s="158"/>
      <c r="K345" s="158"/>
      <c r="L345" s="158"/>
      <c r="M345" s="158"/>
      <c r="N345" s="158"/>
      <c r="O345" s="158"/>
      <c r="P345" s="158"/>
      <c r="Q345" s="158"/>
      <c r="R345" s="158"/>
      <c r="S345" s="158">
        <v>358</v>
      </c>
      <c r="T345" s="158">
        <v>150</v>
      </c>
      <c r="U345" s="158"/>
      <c r="V345" s="158"/>
      <c r="W345" s="158"/>
      <c r="X345" s="158"/>
      <c r="Y345" s="37"/>
    </row>
    <row r="346" spans="10:25" x14ac:dyDescent="0.2">
      <c r="J346" s="158"/>
      <c r="K346" s="158"/>
      <c r="L346" s="158"/>
      <c r="M346" s="158"/>
      <c r="N346" s="158"/>
      <c r="O346" s="158"/>
      <c r="P346" s="158"/>
      <c r="Q346" s="158"/>
      <c r="R346" s="158"/>
      <c r="S346" s="158">
        <v>359</v>
      </c>
      <c r="T346" s="158">
        <v>150</v>
      </c>
      <c r="U346" s="158"/>
      <c r="V346" s="158"/>
      <c r="W346" s="158"/>
      <c r="X346" s="158"/>
      <c r="Y346" s="37"/>
    </row>
    <row r="347" spans="10:25" x14ac:dyDescent="0.2">
      <c r="J347" s="158"/>
      <c r="K347" s="158"/>
      <c r="L347" s="158"/>
      <c r="M347" s="158"/>
      <c r="N347" s="158"/>
      <c r="O347" s="158"/>
      <c r="P347" s="158"/>
      <c r="Q347" s="158"/>
      <c r="R347" s="158"/>
      <c r="S347" s="158">
        <v>360</v>
      </c>
      <c r="T347" s="158">
        <v>150</v>
      </c>
      <c r="U347" s="158">
        <v>360</v>
      </c>
      <c r="V347" s="158"/>
      <c r="W347" s="158"/>
      <c r="X347" s="158"/>
      <c r="Y347" s="37"/>
    </row>
    <row r="348" spans="10:25" x14ac:dyDescent="0.2">
      <c r="J348" s="158"/>
      <c r="K348" s="158"/>
      <c r="L348" s="158"/>
      <c r="M348" s="158"/>
      <c r="N348" s="158"/>
      <c r="O348" s="158"/>
      <c r="P348" s="158"/>
      <c r="Q348" s="158"/>
      <c r="R348" s="158"/>
      <c r="S348" s="158"/>
      <c r="T348" s="158"/>
      <c r="U348" s="158"/>
      <c r="V348" s="158"/>
      <c r="W348" s="158"/>
      <c r="X348" s="158"/>
      <c r="Y348" s="37"/>
    </row>
    <row r="349" spans="10:25" x14ac:dyDescent="0.2">
      <c r="J349" s="158"/>
      <c r="K349" s="158"/>
      <c r="L349" s="158"/>
      <c r="M349" s="158"/>
      <c r="N349" s="158"/>
      <c r="O349" s="158"/>
      <c r="P349" s="158"/>
      <c r="Q349" s="158"/>
      <c r="R349" s="158"/>
      <c r="S349" s="158"/>
      <c r="T349" s="158"/>
      <c r="U349" s="158"/>
      <c r="V349" s="158"/>
      <c r="W349" s="158"/>
      <c r="X349" s="158"/>
      <c r="Y349" s="37"/>
    </row>
    <row r="350" spans="10:25" x14ac:dyDescent="0.2">
      <c r="J350" s="158"/>
      <c r="K350" s="158"/>
      <c r="L350" s="158"/>
      <c r="M350" s="158"/>
      <c r="N350" s="158"/>
      <c r="O350" s="158"/>
      <c r="P350" s="158"/>
      <c r="Q350" s="158"/>
      <c r="R350" s="158"/>
      <c r="S350" s="158"/>
      <c r="T350" s="158"/>
      <c r="U350" s="158"/>
      <c r="V350" s="158"/>
      <c r="W350" s="158"/>
      <c r="X350" s="158"/>
      <c r="Y350" s="37"/>
    </row>
    <row r="351" spans="10:25" x14ac:dyDescent="0.2">
      <c r="J351" s="158"/>
      <c r="K351" s="158"/>
      <c r="L351" s="158"/>
      <c r="M351" s="158"/>
      <c r="N351" s="158"/>
      <c r="O351" s="158"/>
      <c r="P351" s="158"/>
      <c r="Q351" s="158"/>
      <c r="R351" s="158"/>
      <c r="S351" s="158"/>
      <c r="T351" s="158"/>
      <c r="U351" s="158"/>
      <c r="V351" s="158"/>
      <c r="W351" s="158"/>
      <c r="X351" s="158"/>
      <c r="Y351" s="37"/>
    </row>
    <row r="352" spans="10:25" x14ac:dyDescent="0.2">
      <c r="J352" s="158"/>
      <c r="K352" s="158"/>
      <c r="L352" s="158"/>
      <c r="M352" s="158"/>
      <c r="N352" s="158"/>
      <c r="O352" s="158"/>
      <c r="P352" s="158"/>
      <c r="Q352" s="158"/>
      <c r="R352" s="158"/>
      <c r="S352" s="158"/>
      <c r="T352" s="158"/>
      <c r="U352" s="158"/>
      <c r="V352" s="158"/>
      <c r="W352" s="158"/>
      <c r="X352" s="158"/>
      <c r="Y352" s="37"/>
    </row>
    <row r="353" spans="10:25" x14ac:dyDescent="0.2">
      <c r="J353" s="158"/>
      <c r="K353" s="158"/>
      <c r="L353" s="158"/>
      <c r="M353" s="158"/>
      <c r="N353" s="158"/>
      <c r="O353" s="158"/>
      <c r="P353" s="158"/>
      <c r="Q353" s="158"/>
      <c r="R353" s="158"/>
      <c r="S353" s="158"/>
      <c r="T353" s="158"/>
      <c r="U353" s="158"/>
      <c r="V353" s="158"/>
      <c r="W353" s="158"/>
      <c r="X353" s="158"/>
      <c r="Y353" s="37"/>
    </row>
    <row r="354" spans="10:25" x14ac:dyDescent="0.2">
      <c r="J354" s="158"/>
      <c r="K354" s="158"/>
      <c r="L354" s="158"/>
      <c r="M354" s="158"/>
      <c r="N354" s="158"/>
      <c r="O354" s="158"/>
      <c r="P354" s="158"/>
      <c r="Q354" s="158"/>
      <c r="R354" s="158"/>
      <c r="S354" s="158"/>
      <c r="T354" s="158"/>
      <c r="U354" s="158"/>
      <c r="V354" s="158"/>
      <c r="W354" s="158"/>
      <c r="X354" s="158"/>
      <c r="Y354" s="37"/>
    </row>
    <row r="355" spans="10:25" x14ac:dyDescent="0.2">
      <c r="J355" s="158"/>
      <c r="K355" s="158"/>
      <c r="L355" s="158"/>
      <c r="M355" s="158"/>
      <c r="N355" s="158"/>
      <c r="O355" s="158"/>
      <c r="P355" s="158"/>
      <c r="Q355" s="158"/>
      <c r="R355" s="158"/>
      <c r="S355" s="158"/>
      <c r="T355" s="158"/>
      <c r="U355" s="158"/>
      <c r="V355" s="158"/>
      <c r="W355" s="158"/>
      <c r="X355" s="158"/>
      <c r="Y355" s="37"/>
    </row>
    <row r="356" spans="10:25" x14ac:dyDescent="0.2">
      <c r="J356" s="158"/>
      <c r="K356" s="158"/>
      <c r="L356" s="158"/>
      <c r="M356" s="158"/>
      <c r="N356" s="158"/>
      <c r="O356" s="158"/>
      <c r="P356" s="158"/>
      <c r="Q356" s="158"/>
      <c r="R356" s="158"/>
      <c r="S356" s="158"/>
      <c r="T356" s="158"/>
      <c r="U356" s="158"/>
      <c r="V356" s="158"/>
      <c r="W356" s="158"/>
      <c r="X356" s="158"/>
      <c r="Y356" s="37"/>
    </row>
    <row r="357" spans="10:25" x14ac:dyDescent="0.2">
      <c r="J357" s="158"/>
      <c r="K357" s="158"/>
      <c r="L357" s="158"/>
      <c r="M357" s="158"/>
      <c r="N357" s="158"/>
      <c r="O357" s="158"/>
      <c r="P357" s="158"/>
      <c r="Q357" s="158"/>
      <c r="R357" s="158"/>
      <c r="S357" s="158"/>
      <c r="T357" s="158"/>
      <c r="U357" s="158"/>
      <c r="V357" s="158"/>
      <c r="W357" s="158"/>
      <c r="X357" s="158"/>
      <c r="Y357" s="37"/>
    </row>
    <row r="358" spans="10:25" x14ac:dyDescent="0.2">
      <c r="J358" s="158"/>
      <c r="K358" s="158"/>
      <c r="L358" s="158"/>
      <c r="M358" s="158"/>
      <c r="N358" s="158"/>
      <c r="O358" s="158"/>
      <c r="P358" s="158"/>
      <c r="Q358" s="158"/>
      <c r="R358" s="158"/>
      <c r="S358" s="158"/>
      <c r="T358" s="158"/>
      <c r="U358" s="158"/>
      <c r="V358" s="158"/>
      <c r="W358" s="158"/>
      <c r="X358" s="158"/>
      <c r="Y358" s="37"/>
    </row>
    <row r="359" spans="10:25" x14ac:dyDescent="0.2">
      <c r="J359" s="158"/>
      <c r="K359" s="158"/>
      <c r="L359" s="158"/>
      <c r="M359" s="158"/>
      <c r="N359" s="158"/>
      <c r="O359" s="158"/>
      <c r="P359" s="158"/>
      <c r="Q359" s="158"/>
      <c r="R359" s="158"/>
      <c r="S359" s="158"/>
      <c r="T359" s="158"/>
      <c r="U359" s="158"/>
      <c r="V359" s="158"/>
      <c r="W359" s="158"/>
      <c r="X359" s="158"/>
      <c r="Y359" s="37"/>
    </row>
    <row r="360" spans="10:25" x14ac:dyDescent="0.2">
      <c r="J360" s="158"/>
      <c r="K360" s="158"/>
      <c r="L360" s="158"/>
      <c r="M360" s="158"/>
      <c r="N360" s="158"/>
      <c r="O360" s="158"/>
      <c r="P360" s="158"/>
      <c r="Q360" s="158"/>
      <c r="R360" s="158"/>
      <c r="S360" s="158"/>
      <c r="T360" s="158"/>
      <c r="U360" s="158"/>
      <c r="V360" s="158"/>
      <c r="W360" s="158"/>
      <c r="X360" s="158"/>
      <c r="Y360" s="37"/>
    </row>
    <row r="361" spans="10:25" x14ac:dyDescent="0.2">
      <c r="J361" s="158"/>
      <c r="K361" s="158"/>
      <c r="L361" s="158"/>
      <c r="M361" s="158"/>
      <c r="N361" s="158"/>
      <c r="O361" s="158"/>
      <c r="P361" s="158"/>
      <c r="Q361" s="158"/>
      <c r="R361" s="158"/>
      <c r="S361" s="158"/>
      <c r="T361" s="158"/>
      <c r="U361" s="158"/>
      <c r="V361" s="158"/>
      <c r="W361" s="158"/>
      <c r="X361" s="158"/>
      <c r="Y361" s="37"/>
    </row>
    <row r="362" spans="10:25" x14ac:dyDescent="0.2">
      <c r="J362" s="158"/>
      <c r="K362" s="158"/>
      <c r="L362" s="158"/>
      <c r="M362" s="158"/>
      <c r="N362" s="158"/>
      <c r="O362" s="158"/>
      <c r="P362" s="158"/>
      <c r="Q362" s="158"/>
      <c r="R362" s="158"/>
      <c r="S362" s="158"/>
      <c r="T362" s="158"/>
      <c r="U362" s="158"/>
      <c r="V362" s="158"/>
      <c r="W362" s="158"/>
      <c r="X362" s="158"/>
      <c r="Y362" s="37"/>
    </row>
    <row r="363" spans="10:25" x14ac:dyDescent="0.2">
      <c r="J363" s="158"/>
      <c r="K363" s="158"/>
      <c r="L363" s="158"/>
      <c r="M363" s="158"/>
      <c r="N363" s="158"/>
      <c r="O363" s="158"/>
      <c r="P363" s="158"/>
      <c r="Q363" s="158"/>
      <c r="R363" s="158"/>
      <c r="S363" s="158"/>
      <c r="T363" s="158"/>
      <c r="U363" s="158"/>
      <c r="V363" s="158"/>
      <c r="W363" s="158"/>
      <c r="X363" s="158"/>
      <c r="Y363" s="37"/>
    </row>
    <row r="364" spans="10:25" x14ac:dyDescent="0.2">
      <c r="J364" s="158"/>
      <c r="K364" s="158"/>
      <c r="L364" s="158"/>
      <c r="M364" s="158"/>
      <c r="N364" s="158"/>
      <c r="O364" s="158"/>
      <c r="P364" s="158"/>
      <c r="Q364" s="158"/>
      <c r="R364" s="158"/>
      <c r="S364" s="158"/>
      <c r="T364" s="158"/>
      <c r="U364" s="158"/>
      <c r="V364" s="158"/>
      <c r="W364" s="158"/>
      <c r="X364" s="158"/>
      <c r="Y364" s="37"/>
    </row>
    <row r="365" spans="10:25" x14ac:dyDescent="0.2">
      <c r="J365" s="158"/>
      <c r="K365" s="158"/>
      <c r="L365" s="158"/>
      <c r="M365" s="158"/>
      <c r="N365" s="158"/>
      <c r="O365" s="158"/>
      <c r="P365" s="158"/>
      <c r="Q365" s="158"/>
      <c r="R365" s="158"/>
      <c r="S365" s="158"/>
      <c r="T365" s="158"/>
      <c r="U365" s="158"/>
      <c r="V365" s="158"/>
      <c r="W365" s="158"/>
      <c r="X365" s="158"/>
      <c r="Y365" s="37"/>
    </row>
    <row r="366" spans="10:25" x14ac:dyDescent="0.2">
      <c r="J366" s="158"/>
      <c r="K366" s="158"/>
      <c r="L366" s="158"/>
      <c r="M366" s="158"/>
      <c r="N366" s="158"/>
      <c r="O366" s="158"/>
      <c r="P366" s="158"/>
      <c r="Q366" s="158"/>
      <c r="R366" s="158"/>
      <c r="S366" s="158"/>
      <c r="T366" s="158"/>
      <c r="U366" s="158"/>
      <c r="V366" s="158"/>
      <c r="W366" s="158"/>
      <c r="X366" s="158"/>
      <c r="Y366" s="37"/>
    </row>
    <row r="367" spans="10:25" x14ac:dyDescent="0.2">
      <c r="J367" s="158"/>
      <c r="K367" s="158"/>
      <c r="L367" s="158"/>
      <c r="M367" s="158"/>
      <c r="N367" s="158"/>
      <c r="O367" s="158"/>
      <c r="P367" s="158"/>
      <c r="Q367" s="158"/>
      <c r="R367" s="158"/>
      <c r="S367" s="158"/>
      <c r="T367" s="158"/>
      <c r="U367" s="158"/>
      <c r="V367" s="158"/>
      <c r="W367" s="158"/>
      <c r="X367" s="158"/>
      <c r="Y367" s="37"/>
    </row>
    <row r="368" spans="10:25" x14ac:dyDescent="0.2">
      <c r="J368" s="158"/>
      <c r="K368" s="158"/>
      <c r="L368" s="158"/>
      <c r="M368" s="158"/>
      <c r="N368" s="158"/>
      <c r="O368" s="158"/>
      <c r="P368" s="158"/>
      <c r="Q368" s="158"/>
      <c r="R368" s="158"/>
      <c r="S368" s="158"/>
      <c r="T368" s="158"/>
      <c r="U368" s="158"/>
      <c r="V368" s="158"/>
      <c r="W368" s="158"/>
      <c r="X368" s="158"/>
      <c r="Y368" s="37"/>
    </row>
    <row r="369" spans="10:25" x14ac:dyDescent="0.2">
      <c r="J369" s="158"/>
      <c r="K369" s="158"/>
      <c r="L369" s="158"/>
      <c r="M369" s="158"/>
      <c r="N369" s="158"/>
      <c r="O369" s="158"/>
      <c r="P369" s="158"/>
      <c r="Q369" s="158"/>
      <c r="R369" s="158"/>
      <c r="S369" s="158"/>
      <c r="T369" s="158"/>
      <c r="U369" s="158"/>
      <c r="V369" s="158"/>
      <c r="W369" s="158"/>
      <c r="X369" s="158"/>
      <c r="Y369" s="37"/>
    </row>
    <row r="370" spans="10:25" x14ac:dyDescent="0.2">
      <c r="J370" s="158"/>
      <c r="K370" s="158"/>
      <c r="L370" s="158"/>
      <c r="M370" s="158"/>
      <c r="N370" s="158"/>
      <c r="O370" s="158"/>
      <c r="P370" s="158"/>
      <c r="Q370" s="158"/>
      <c r="R370" s="158"/>
      <c r="S370" s="158"/>
      <c r="T370" s="158"/>
      <c r="U370" s="158"/>
      <c r="V370" s="158"/>
      <c r="W370" s="158"/>
      <c r="X370" s="158"/>
      <c r="Y370" s="37"/>
    </row>
    <row r="371" spans="10:25" x14ac:dyDescent="0.2">
      <c r="J371" s="158"/>
      <c r="K371" s="158"/>
      <c r="L371" s="158"/>
      <c r="M371" s="158"/>
      <c r="N371" s="158"/>
      <c r="O371" s="158"/>
      <c r="P371" s="158"/>
      <c r="Q371" s="158"/>
      <c r="R371" s="158"/>
      <c r="S371" s="158"/>
      <c r="T371" s="158"/>
      <c r="U371" s="158"/>
      <c r="V371" s="158"/>
      <c r="W371" s="158"/>
      <c r="X371" s="158"/>
      <c r="Y371" s="37"/>
    </row>
    <row r="372" spans="10:25" x14ac:dyDescent="0.2">
      <c r="J372" s="158"/>
      <c r="K372" s="158"/>
      <c r="L372" s="158"/>
      <c r="M372" s="158"/>
      <c r="N372" s="158"/>
      <c r="O372" s="158"/>
      <c r="P372" s="158"/>
      <c r="Q372" s="158"/>
      <c r="R372" s="158"/>
      <c r="S372" s="158"/>
      <c r="T372" s="158"/>
      <c r="U372" s="158"/>
      <c r="V372" s="158"/>
      <c r="W372" s="158"/>
      <c r="X372" s="158"/>
      <c r="Y372" s="37"/>
    </row>
    <row r="373" spans="10:25" x14ac:dyDescent="0.2">
      <c r="J373" s="158"/>
      <c r="K373" s="158"/>
      <c r="L373" s="158"/>
      <c r="M373" s="158"/>
      <c r="N373" s="158"/>
      <c r="O373" s="158"/>
      <c r="P373" s="158"/>
      <c r="Q373" s="158"/>
      <c r="R373" s="158"/>
      <c r="S373" s="158"/>
      <c r="T373" s="158"/>
      <c r="U373" s="158"/>
      <c r="V373" s="158"/>
      <c r="W373" s="158"/>
      <c r="X373" s="158"/>
      <c r="Y373" s="37"/>
    </row>
    <row r="374" spans="10:25" x14ac:dyDescent="0.2">
      <c r="J374" s="158"/>
      <c r="K374" s="158"/>
      <c r="L374" s="158"/>
      <c r="M374" s="158"/>
      <c r="N374" s="158"/>
      <c r="O374" s="158"/>
      <c r="P374" s="158"/>
      <c r="Q374" s="158"/>
      <c r="R374" s="158"/>
      <c r="S374" s="158"/>
      <c r="T374" s="158"/>
      <c r="U374" s="158"/>
      <c r="V374" s="158"/>
      <c r="W374" s="158"/>
      <c r="X374" s="158"/>
      <c r="Y374" s="37"/>
    </row>
    <row r="375" spans="10:25" x14ac:dyDescent="0.2">
      <c r="J375" s="158"/>
      <c r="K375" s="158"/>
      <c r="L375" s="158"/>
      <c r="M375" s="158"/>
      <c r="N375" s="158"/>
      <c r="O375" s="158"/>
      <c r="P375" s="158"/>
      <c r="Q375" s="158"/>
      <c r="R375" s="158"/>
      <c r="S375" s="158"/>
      <c r="T375" s="158"/>
      <c r="U375" s="158"/>
      <c r="V375" s="158"/>
      <c r="W375" s="158"/>
      <c r="X375" s="158"/>
      <c r="Y375" s="37"/>
    </row>
    <row r="376" spans="10:25" x14ac:dyDescent="0.2">
      <c r="J376" s="158"/>
      <c r="K376" s="158"/>
      <c r="L376" s="158"/>
      <c r="M376" s="158"/>
      <c r="N376" s="158"/>
      <c r="O376" s="158"/>
      <c r="P376" s="158"/>
      <c r="Q376" s="158"/>
      <c r="R376" s="158"/>
      <c r="S376" s="158"/>
      <c r="T376" s="158"/>
      <c r="U376" s="158"/>
      <c r="V376" s="158"/>
      <c r="W376" s="158"/>
      <c r="X376" s="158"/>
      <c r="Y376" s="37"/>
    </row>
    <row r="377" spans="10:25" x14ac:dyDescent="0.2">
      <c r="J377" s="158"/>
      <c r="K377" s="158"/>
      <c r="L377" s="158"/>
      <c r="M377" s="158"/>
      <c r="N377" s="158"/>
      <c r="O377" s="158"/>
      <c r="P377" s="158"/>
      <c r="Q377" s="158"/>
      <c r="R377" s="158"/>
      <c r="S377" s="158"/>
      <c r="T377" s="158"/>
      <c r="U377" s="158"/>
      <c r="V377" s="158"/>
      <c r="W377" s="158"/>
      <c r="X377" s="158"/>
      <c r="Y377" s="37"/>
    </row>
    <row r="378" spans="10:25" x14ac:dyDescent="0.2">
      <c r="J378" s="158"/>
      <c r="K378" s="158"/>
      <c r="L378" s="158"/>
      <c r="M378" s="158"/>
      <c r="N378" s="158"/>
      <c r="O378" s="158"/>
      <c r="P378" s="158"/>
      <c r="Q378" s="158"/>
      <c r="R378" s="158"/>
      <c r="S378" s="158"/>
      <c r="T378" s="158"/>
      <c r="U378" s="158"/>
      <c r="V378" s="158"/>
      <c r="W378" s="158"/>
      <c r="X378" s="158"/>
      <c r="Y378" s="37"/>
    </row>
    <row r="379" spans="10:25" x14ac:dyDescent="0.2">
      <c r="J379" s="158"/>
      <c r="K379" s="158"/>
      <c r="L379" s="158"/>
      <c r="M379" s="158"/>
      <c r="N379" s="158"/>
      <c r="O379" s="158"/>
      <c r="P379" s="158"/>
      <c r="Q379" s="158"/>
      <c r="R379" s="158"/>
      <c r="S379" s="158"/>
      <c r="T379" s="158"/>
      <c r="U379" s="158"/>
      <c r="V379" s="158"/>
      <c r="W379" s="158"/>
      <c r="X379" s="158"/>
      <c r="Y379" s="37"/>
    </row>
    <row r="380" spans="10:25" x14ac:dyDescent="0.2">
      <c r="J380" s="158"/>
      <c r="K380" s="158"/>
      <c r="L380" s="158"/>
      <c r="M380" s="158"/>
      <c r="N380" s="158"/>
      <c r="O380" s="158"/>
      <c r="P380" s="158"/>
      <c r="Q380" s="158"/>
      <c r="R380" s="158"/>
      <c r="S380" s="158"/>
      <c r="T380" s="158"/>
      <c r="U380" s="158"/>
      <c r="V380" s="158"/>
      <c r="W380" s="158"/>
      <c r="X380" s="158"/>
      <c r="Y380" s="37"/>
    </row>
    <row r="381" spans="10:25" x14ac:dyDescent="0.2">
      <c r="J381" s="158"/>
      <c r="K381" s="158"/>
      <c r="L381" s="158"/>
      <c r="M381" s="158"/>
      <c r="N381" s="158"/>
      <c r="O381" s="158"/>
      <c r="P381" s="158"/>
      <c r="Q381" s="158"/>
      <c r="R381" s="158"/>
      <c r="S381" s="158"/>
      <c r="T381" s="158"/>
      <c r="U381" s="158"/>
      <c r="V381" s="158"/>
      <c r="W381" s="158"/>
      <c r="X381" s="158"/>
      <c r="Y381" s="37"/>
    </row>
    <row r="382" spans="10:25" x14ac:dyDescent="0.2">
      <c r="J382" s="158"/>
      <c r="K382" s="158"/>
      <c r="L382" s="158"/>
      <c r="M382" s="158"/>
      <c r="N382" s="158"/>
      <c r="O382" s="158"/>
      <c r="P382" s="158"/>
      <c r="Q382" s="158"/>
      <c r="R382" s="158"/>
      <c r="S382" s="158"/>
      <c r="T382" s="158"/>
      <c r="U382" s="158"/>
      <c r="V382" s="158"/>
      <c r="W382" s="158"/>
      <c r="X382" s="158"/>
      <c r="Y382" s="37"/>
    </row>
    <row r="383" spans="10:25" x14ac:dyDescent="0.2">
      <c r="J383" s="158"/>
      <c r="K383" s="158"/>
      <c r="L383" s="158"/>
      <c r="M383" s="158"/>
      <c r="N383" s="158"/>
      <c r="O383" s="158"/>
      <c r="P383" s="158"/>
      <c r="Q383" s="158"/>
      <c r="R383" s="158"/>
      <c r="S383" s="158"/>
      <c r="T383" s="158"/>
      <c r="U383" s="158"/>
      <c r="V383" s="158"/>
      <c r="W383" s="158"/>
      <c r="X383" s="158"/>
      <c r="Y383" s="37"/>
    </row>
    <row r="384" spans="10:25" x14ac:dyDescent="0.2">
      <c r="J384" s="158"/>
      <c r="K384" s="158"/>
      <c r="L384" s="158"/>
      <c r="M384" s="158"/>
      <c r="N384" s="158"/>
      <c r="O384" s="158"/>
      <c r="P384" s="158"/>
      <c r="Q384" s="158"/>
      <c r="R384" s="158"/>
      <c r="S384" s="158"/>
      <c r="T384" s="158"/>
      <c r="U384" s="158"/>
      <c r="V384" s="158"/>
      <c r="W384" s="158"/>
      <c r="X384" s="158"/>
      <c r="Y384" s="37"/>
    </row>
    <row r="385" spans="10:25" x14ac:dyDescent="0.2">
      <c r="J385" s="158"/>
      <c r="K385" s="158"/>
      <c r="L385" s="158"/>
      <c r="M385" s="158"/>
      <c r="N385" s="158"/>
      <c r="O385" s="158"/>
      <c r="P385" s="158"/>
      <c r="Q385" s="158"/>
      <c r="R385" s="158"/>
      <c r="S385" s="158"/>
      <c r="T385" s="158"/>
      <c r="U385" s="158"/>
      <c r="V385" s="158"/>
      <c r="W385" s="158"/>
      <c r="X385" s="158"/>
      <c r="Y385" s="37"/>
    </row>
    <row r="386" spans="10:25" x14ac:dyDescent="0.2">
      <c r="J386" s="158"/>
      <c r="K386" s="158"/>
      <c r="L386" s="158"/>
      <c r="M386" s="158"/>
      <c r="N386" s="158"/>
      <c r="O386" s="158"/>
      <c r="P386" s="158"/>
      <c r="Q386" s="158"/>
      <c r="R386" s="158"/>
      <c r="S386" s="158"/>
      <c r="T386" s="158"/>
      <c r="U386" s="158"/>
      <c r="V386" s="158"/>
      <c r="W386" s="158"/>
      <c r="X386" s="158"/>
      <c r="Y386" s="37"/>
    </row>
    <row r="387" spans="10:25" x14ac:dyDescent="0.2">
      <c r="J387" s="158"/>
      <c r="K387" s="158"/>
      <c r="L387" s="158"/>
      <c r="M387" s="158"/>
      <c r="N387" s="158"/>
      <c r="O387" s="158"/>
      <c r="P387" s="158"/>
      <c r="Q387" s="158"/>
      <c r="R387" s="158"/>
      <c r="S387" s="158"/>
      <c r="T387" s="158"/>
      <c r="U387" s="158"/>
      <c r="V387" s="158"/>
      <c r="W387" s="158"/>
      <c r="X387" s="158"/>
      <c r="Y387" s="37"/>
    </row>
    <row r="388" spans="10:25" x14ac:dyDescent="0.2">
      <c r="J388" s="158"/>
      <c r="K388" s="158"/>
      <c r="L388" s="158"/>
      <c r="M388" s="158"/>
      <c r="N388" s="158"/>
      <c r="O388" s="158"/>
      <c r="P388" s="158"/>
      <c r="Q388" s="158"/>
      <c r="R388" s="158"/>
      <c r="S388" s="158"/>
      <c r="T388" s="158"/>
      <c r="U388" s="158"/>
      <c r="V388" s="158"/>
      <c r="W388" s="158"/>
      <c r="X388" s="158"/>
      <c r="Y388" s="37"/>
    </row>
    <row r="389" spans="10:25" x14ac:dyDescent="0.2">
      <c r="J389" s="158"/>
      <c r="K389" s="158"/>
      <c r="L389" s="158"/>
      <c r="M389" s="158"/>
      <c r="N389" s="158"/>
      <c r="O389" s="158"/>
      <c r="P389" s="158"/>
      <c r="Q389" s="158"/>
      <c r="R389" s="158"/>
      <c r="S389" s="158"/>
      <c r="T389" s="158"/>
      <c r="U389" s="158"/>
      <c r="V389" s="158"/>
      <c r="W389" s="158"/>
      <c r="X389" s="158"/>
      <c r="Y389" s="37"/>
    </row>
    <row r="390" spans="10:25" x14ac:dyDescent="0.2">
      <c r="J390" s="158"/>
      <c r="K390" s="158"/>
      <c r="L390" s="158"/>
      <c r="M390" s="158"/>
      <c r="N390" s="158"/>
      <c r="O390" s="158"/>
      <c r="P390" s="158"/>
      <c r="Q390" s="158"/>
      <c r="R390" s="158"/>
      <c r="S390" s="158"/>
      <c r="T390" s="158"/>
      <c r="U390" s="158"/>
      <c r="V390" s="158"/>
      <c r="W390" s="158"/>
      <c r="X390" s="158"/>
      <c r="Y390" s="37"/>
    </row>
    <row r="391" spans="10:25" x14ac:dyDescent="0.2">
      <c r="J391" s="158"/>
      <c r="K391" s="158"/>
      <c r="L391" s="158"/>
      <c r="M391" s="158"/>
      <c r="N391" s="158"/>
      <c r="O391" s="158"/>
      <c r="P391" s="158"/>
      <c r="Q391" s="158"/>
      <c r="R391" s="158"/>
      <c r="S391" s="158"/>
      <c r="T391" s="158"/>
      <c r="U391" s="158"/>
      <c r="V391" s="158"/>
      <c r="W391" s="158"/>
      <c r="X391" s="158"/>
      <c r="Y391" s="37"/>
    </row>
    <row r="392" spans="10:25" x14ac:dyDescent="0.2">
      <c r="J392" s="158"/>
      <c r="K392" s="158"/>
      <c r="L392" s="158"/>
      <c r="M392" s="158"/>
      <c r="N392" s="158"/>
      <c r="O392" s="158"/>
      <c r="P392" s="158"/>
      <c r="Q392" s="158"/>
      <c r="R392" s="158"/>
      <c r="S392" s="158"/>
      <c r="T392" s="158"/>
      <c r="U392" s="158"/>
      <c r="V392" s="158"/>
      <c r="W392" s="158"/>
      <c r="X392" s="158"/>
      <c r="Y392" s="37"/>
    </row>
    <row r="393" spans="10:25" x14ac:dyDescent="0.2">
      <c r="J393" s="158"/>
      <c r="K393" s="158"/>
      <c r="L393" s="158"/>
      <c r="M393" s="158"/>
      <c r="N393" s="158"/>
      <c r="O393" s="158"/>
      <c r="P393" s="158"/>
      <c r="Q393" s="158"/>
      <c r="R393" s="158"/>
      <c r="S393" s="158"/>
      <c r="T393" s="158"/>
      <c r="U393" s="158"/>
      <c r="V393" s="158"/>
      <c r="W393" s="158"/>
      <c r="X393" s="158"/>
      <c r="Y393" s="37"/>
    </row>
    <row r="394" spans="10:25" x14ac:dyDescent="0.2">
      <c r="J394" s="158"/>
      <c r="K394" s="158"/>
      <c r="L394" s="158"/>
      <c r="M394" s="158"/>
      <c r="N394" s="158"/>
      <c r="O394" s="158"/>
      <c r="P394" s="158"/>
      <c r="Q394" s="158"/>
      <c r="R394" s="158"/>
      <c r="S394" s="158"/>
      <c r="T394" s="158"/>
      <c r="U394" s="158"/>
      <c r="V394" s="158"/>
      <c r="W394" s="158"/>
      <c r="X394" s="158"/>
      <c r="Y394" s="37"/>
    </row>
    <row r="395" spans="10:25" x14ac:dyDescent="0.2">
      <c r="J395" s="158"/>
      <c r="K395" s="158"/>
      <c r="L395" s="158"/>
      <c r="M395" s="158"/>
      <c r="N395" s="158"/>
      <c r="O395" s="158"/>
      <c r="P395" s="158"/>
      <c r="Q395" s="158"/>
      <c r="R395" s="158"/>
      <c r="S395" s="158"/>
      <c r="T395" s="158"/>
      <c r="U395" s="158"/>
      <c r="V395" s="158"/>
      <c r="W395" s="158"/>
      <c r="X395" s="158"/>
      <c r="Y395" s="37"/>
    </row>
    <row r="396" spans="10:25" x14ac:dyDescent="0.2">
      <c r="J396" s="158"/>
      <c r="K396" s="158"/>
      <c r="L396" s="158"/>
      <c r="M396" s="158"/>
      <c r="N396" s="158"/>
      <c r="O396" s="158"/>
      <c r="P396" s="158"/>
      <c r="Q396" s="158"/>
      <c r="R396" s="158"/>
      <c r="S396" s="158"/>
      <c r="T396" s="158"/>
      <c r="U396" s="158"/>
      <c r="V396" s="158"/>
      <c r="W396" s="158"/>
      <c r="X396" s="158"/>
      <c r="Y396" s="37"/>
    </row>
    <row r="397" spans="10:25" x14ac:dyDescent="0.2">
      <c r="J397" s="158"/>
      <c r="K397" s="158"/>
      <c r="L397" s="158"/>
      <c r="M397" s="158"/>
      <c r="N397" s="158"/>
      <c r="O397" s="158"/>
      <c r="P397" s="158"/>
      <c r="Q397" s="158"/>
      <c r="R397" s="158"/>
      <c r="S397" s="158"/>
      <c r="T397" s="158"/>
      <c r="U397" s="158"/>
      <c r="V397" s="158"/>
      <c r="W397" s="158"/>
      <c r="X397" s="158"/>
      <c r="Y397" s="37"/>
    </row>
    <row r="398" spans="10:25" x14ac:dyDescent="0.2">
      <c r="J398" s="158"/>
      <c r="K398" s="158"/>
      <c r="L398" s="158"/>
      <c r="M398" s="158"/>
      <c r="N398" s="158"/>
      <c r="O398" s="158"/>
      <c r="P398" s="158"/>
      <c r="Q398" s="158"/>
      <c r="R398" s="158"/>
      <c r="S398" s="158"/>
      <c r="T398" s="158"/>
      <c r="U398" s="158"/>
      <c r="V398" s="158"/>
      <c r="W398" s="158"/>
      <c r="X398" s="158"/>
      <c r="Y398" s="37"/>
    </row>
    <row r="399" spans="10:25" x14ac:dyDescent="0.2">
      <c r="J399" s="158"/>
      <c r="K399" s="158"/>
      <c r="L399" s="158"/>
      <c r="M399" s="158"/>
      <c r="N399" s="158"/>
      <c r="O399" s="158"/>
      <c r="P399" s="158"/>
      <c r="Q399" s="158"/>
      <c r="R399" s="158"/>
      <c r="S399" s="158"/>
      <c r="T399" s="158"/>
      <c r="U399" s="158"/>
      <c r="V399" s="158"/>
      <c r="W399" s="158"/>
      <c r="X399" s="158"/>
      <c r="Y399" s="37"/>
    </row>
    <row r="400" spans="10:25" x14ac:dyDescent="0.2">
      <c r="J400" s="158"/>
      <c r="K400" s="158"/>
      <c r="L400" s="158"/>
      <c r="M400" s="158"/>
      <c r="N400" s="158"/>
      <c r="O400" s="158"/>
      <c r="P400" s="158"/>
      <c r="Q400" s="158"/>
      <c r="R400" s="158"/>
      <c r="S400" s="158"/>
      <c r="T400" s="158"/>
      <c r="U400" s="158"/>
      <c r="V400" s="158"/>
      <c r="W400" s="158"/>
      <c r="X400" s="158"/>
      <c r="Y400" s="37"/>
    </row>
    <row r="401" spans="10:25" x14ac:dyDescent="0.2">
      <c r="J401" s="158"/>
      <c r="K401" s="158"/>
      <c r="L401" s="158"/>
      <c r="M401" s="158"/>
      <c r="N401" s="158"/>
      <c r="O401" s="158"/>
      <c r="P401" s="158"/>
      <c r="Q401" s="158"/>
      <c r="R401" s="158"/>
      <c r="S401" s="158"/>
      <c r="T401" s="158"/>
      <c r="U401" s="158"/>
      <c r="V401" s="158"/>
      <c r="W401" s="158"/>
      <c r="X401" s="158"/>
      <c r="Y401" s="37"/>
    </row>
    <row r="402" spans="10:25" x14ac:dyDescent="0.2">
      <c r="J402" s="158"/>
      <c r="K402" s="158"/>
      <c r="L402" s="158"/>
      <c r="M402" s="158"/>
      <c r="N402" s="158"/>
      <c r="O402" s="158"/>
      <c r="P402" s="158"/>
      <c r="Q402" s="158"/>
      <c r="R402" s="158"/>
      <c r="S402" s="158"/>
      <c r="T402" s="158"/>
      <c r="U402" s="158"/>
      <c r="V402" s="158"/>
      <c r="W402" s="158"/>
      <c r="X402" s="158"/>
      <c r="Y402" s="37"/>
    </row>
    <row r="403" spans="10:25" x14ac:dyDescent="0.2">
      <c r="J403" s="158"/>
      <c r="K403" s="158"/>
      <c r="L403" s="158"/>
      <c r="M403" s="158"/>
      <c r="N403" s="158"/>
      <c r="O403" s="158"/>
      <c r="P403" s="158"/>
      <c r="Q403" s="158"/>
      <c r="R403" s="158"/>
      <c r="S403" s="158"/>
      <c r="T403" s="158"/>
      <c r="U403" s="158"/>
      <c r="V403" s="158"/>
      <c r="W403" s="158"/>
      <c r="X403" s="158"/>
      <c r="Y403" s="37"/>
    </row>
    <row r="404" spans="10:25" x14ac:dyDescent="0.2">
      <c r="J404" s="158"/>
      <c r="K404" s="158"/>
      <c r="L404" s="158"/>
      <c r="M404" s="158"/>
      <c r="N404" s="158"/>
      <c r="O404" s="158"/>
      <c r="P404" s="158"/>
      <c r="Q404" s="158"/>
      <c r="R404" s="158"/>
      <c r="S404" s="158"/>
      <c r="T404" s="158"/>
      <c r="U404" s="158"/>
      <c r="V404" s="158"/>
      <c r="W404" s="158"/>
      <c r="X404" s="158"/>
      <c r="Y404" s="37"/>
    </row>
    <row r="405" spans="10:25" x14ac:dyDescent="0.2">
      <c r="J405" s="158"/>
      <c r="K405" s="158"/>
      <c r="L405" s="158"/>
      <c r="M405" s="158"/>
      <c r="N405" s="158"/>
      <c r="O405" s="158"/>
      <c r="P405" s="158"/>
      <c r="Q405" s="158"/>
      <c r="R405" s="158"/>
      <c r="S405" s="158"/>
      <c r="T405" s="158"/>
      <c r="U405" s="158"/>
      <c r="V405" s="158"/>
      <c r="W405" s="158"/>
      <c r="X405" s="158"/>
      <c r="Y405" s="37"/>
    </row>
    <row r="406" spans="10:25" x14ac:dyDescent="0.2">
      <c r="J406" s="158"/>
      <c r="K406" s="158"/>
      <c r="L406" s="158"/>
      <c r="M406" s="158"/>
      <c r="N406" s="158"/>
      <c r="O406" s="158"/>
      <c r="P406" s="158"/>
      <c r="Q406" s="158"/>
      <c r="R406" s="158"/>
      <c r="S406" s="158"/>
      <c r="T406" s="158"/>
      <c r="U406" s="158"/>
      <c r="V406" s="158"/>
      <c r="W406" s="158"/>
      <c r="X406" s="158"/>
      <c r="Y406" s="37"/>
    </row>
    <row r="407" spans="10:25" x14ac:dyDescent="0.2">
      <c r="J407" s="158"/>
      <c r="K407" s="158"/>
      <c r="L407" s="158"/>
      <c r="M407" s="158"/>
      <c r="N407" s="158"/>
      <c r="O407" s="158"/>
      <c r="P407" s="158"/>
      <c r="Q407" s="158"/>
      <c r="R407" s="158"/>
      <c r="S407" s="158"/>
      <c r="T407" s="158"/>
      <c r="U407" s="158"/>
      <c r="V407" s="158"/>
      <c r="W407" s="158"/>
      <c r="X407" s="158"/>
      <c r="Y407" s="37"/>
    </row>
    <row r="408" spans="10:25" x14ac:dyDescent="0.2">
      <c r="J408" s="158"/>
      <c r="K408" s="158"/>
      <c r="L408" s="158"/>
      <c r="M408" s="158"/>
      <c r="N408" s="158"/>
      <c r="O408" s="158"/>
      <c r="P408" s="158"/>
      <c r="Q408" s="158"/>
      <c r="R408" s="158"/>
      <c r="S408" s="158"/>
      <c r="T408" s="158"/>
      <c r="U408" s="158"/>
      <c r="V408" s="158"/>
      <c r="W408" s="158"/>
      <c r="X408" s="158"/>
      <c r="Y408" s="37"/>
    </row>
    <row r="409" spans="10:25" x14ac:dyDescent="0.2">
      <c r="J409" s="158"/>
      <c r="K409" s="158"/>
      <c r="L409" s="158"/>
      <c r="M409" s="158"/>
      <c r="N409" s="158"/>
      <c r="O409" s="158"/>
      <c r="P409" s="158"/>
      <c r="Q409" s="158"/>
      <c r="R409" s="158"/>
      <c r="S409" s="158"/>
      <c r="T409" s="158"/>
      <c r="U409" s="158"/>
      <c r="V409" s="158"/>
      <c r="W409" s="158"/>
      <c r="X409" s="158"/>
      <c r="Y409" s="37"/>
    </row>
    <row r="410" spans="10:25" x14ac:dyDescent="0.2">
      <c r="J410" s="158"/>
      <c r="K410" s="158"/>
      <c r="L410" s="158"/>
      <c r="M410" s="158"/>
      <c r="N410" s="158"/>
      <c r="O410" s="158"/>
      <c r="P410" s="158"/>
      <c r="Q410" s="158"/>
      <c r="R410" s="158"/>
      <c r="S410" s="158"/>
      <c r="T410" s="158"/>
      <c r="U410" s="158"/>
      <c r="V410" s="158"/>
      <c r="W410" s="158"/>
      <c r="X410" s="158"/>
      <c r="Y410" s="37"/>
    </row>
    <row r="411" spans="10:25" x14ac:dyDescent="0.2">
      <c r="J411" s="158"/>
      <c r="K411" s="158"/>
      <c r="L411" s="158"/>
      <c r="M411" s="158"/>
      <c r="N411" s="158"/>
      <c r="O411" s="158"/>
      <c r="P411" s="158"/>
      <c r="Q411" s="158"/>
      <c r="R411" s="158"/>
      <c r="S411" s="158"/>
      <c r="T411" s="158"/>
      <c r="U411" s="158"/>
      <c r="V411" s="158"/>
      <c r="W411" s="158"/>
      <c r="X411" s="158"/>
      <c r="Y411" s="37"/>
    </row>
    <row r="412" spans="10:25" x14ac:dyDescent="0.2">
      <c r="J412" s="158"/>
      <c r="K412" s="158"/>
      <c r="L412" s="158"/>
      <c r="M412" s="158"/>
      <c r="N412" s="158"/>
      <c r="O412" s="158"/>
      <c r="P412" s="158"/>
      <c r="Q412" s="158"/>
      <c r="R412" s="158"/>
      <c r="S412" s="158"/>
      <c r="T412" s="158"/>
      <c r="U412" s="158"/>
      <c r="V412" s="158"/>
      <c r="W412" s="158"/>
      <c r="X412" s="158"/>
      <c r="Y412" s="37"/>
    </row>
    <row r="413" spans="10:25" x14ac:dyDescent="0.2">
      <c r="J413" s="158"/>
      <c r="K413" s="158"/>
      <c r="L413" s="158"/>
      <c r="M413" s="158"/>
      <c r="N413" s="158"/>
      <c r="O413" s="158"/>
      <c r="P413" s="158"/>
      <c r="Q413" s="158"/>
      <c r="R413" s="158"/>
      <c r="S413" s="158"/>
      <c r="T413" s="158"/>
      <c r="U413" s="158"/>
      <c r="V413" s="158"/>
      <c r="W413" s="158"/>
      <c r="X413" s="158"/>
      <c r="Y413" s="37"/>
    </row>
    <row r="414" spans="10:25" x14ac:dyDescent="0.2">
      <c r="J414" s="158"/>
      <c r="K414" s="158"/>
      <c r="L414" s="158"/>
      <c r="M414" s="158"/>
      <c r="N414" s="158"/>
      <c r="O414" s="158"/>
      <c r="P414" s="158"/>
      <c r="Q414" s="158"/>
      <c r="R414" s="158"/>
      <c r="S414" s="158"/>
      <c r="T414" s="158"/>
      <c r="U414" s="158"/>
      <c r="V414" s="158"/>
      <c r="W414" s="158"/>
      <c r="X414" s="158"/>
      <c r="Y414" s="37"/>
    </row>
    <row r="415" spans="10:25" x14ac:dyDescent="0.2">
      <c r="J415" s="158"/>
      <c r="K415" s="158"/>
      <c r="L415" s="158"/>
      <c r="M415" s="158"/>
      <c r="N415" s="158"/>
      <c r="O415" s="158"/>
      <c r="P415" s="158"/>
      <c r="Q415" s="158"/>
      <c r="R415" s="158"/>
      <c r="S415" s="158"/>
      <c r="T415" s="158"/>
      <c r="U415" s="158"/>
      <c r="V415" s="158"/>
      <c r="W415" s="158"/>
      <c r="X415" s="158"/>
      <c r="Y415" s="37"/>
    </row>
    <row r="416" spans="10:25" x14ac:dyDescent="0.2">
      <c r="J416" s="158"/>
      <c r="K416" s="158"/>
      <c r="L416" s="158"/>
      <c r="M416" s="158"/>
      <c r="N416" s="158"/>
      <c r="O416" s="158"/>
      <c r="P416" s="158"/>
      <c r="Q416" s="158"/>
      <c r="R416" s="158"/>
      <c r="S416" s="158"/>
      <c r="T416" s="158"/>
      <c r="U416" s="158"/>
      <c r="V416" s="158"/>
      <c r="W416" s="158"/>
      <c r="X416" s="158"/>
      <c r="Y416" s="37"/>
    </row>
    <row r="417" spans="10:25" x14ac:dyDescent="0.2">
      <c r="J417" s="158"/>
      <c r="K417" s="158"/>
      <c r="L417" s="158"/>
      <c r="M417" s="158"/>
      <c r="N417" s="158"/>
      <c r="O417" s="158"/>
      <c r="P417" s="158"/>
      <c r="Q417" s="158"/>
      <c r="R417" s="158"/>
      <c r="S417" s="158"/>
      <c r="T417" s="158"/>
      <c r="U417" s="158"/>
      <c r="V417" s="158"/>
      <c r="W417" s="158"/>
      <c r="X417" s="158"/>
      <c r="Y417" s="37"/>
    </row>
    <row r="418" spans="10:25" x14ac:dyDescent="0.2">
      <c r="J418" s="158"/>
      <c r="K418" s="158"/>
      <c r="L418" s="158"/>
      <c r="M418" s="158"/>
      <c r="N418" s="158"/>
      <c r="O418" s="158"/>
      <c r="P418" s="158"/>
      <c r="Q418" s="158"/>
      <c r="R418" s="158"/>
      <c r="S418" s="158"/>
      <c r="T418" s="158"/>
      <c r="U418" s="158"/>
      <c r="V418" s="158"/>
      <c r="W418" s="158"/>
      <c r="X418" s="158"/>
      <c r="Y418" s="37"/>
    </row>
    <row r="419" spans="10:25" x14ac:dyDescent="0.2">
      <c r="J419" s="158"/>
      <c r="K419" s="158"/>
      <c r="L419" s="158"/>
      <c r="M419" s="158"/>
      <c r="N419" s="158"/>
      <c r="O419" s="158"/>
      <c r="P419" s="158"/>
      <c r="Q419" s="158"/>
      <c r="R419" s="158"/>
      <c r="S419" s="158"/>
      <c r="T419" s="158"/>
      <c r="U419" s="158"/>
      <c r="V419" s="158"/>
      <c r="W419" s="158"/>
      <c r="X419" s="158"/>
      <c r="Y419" s="37"/>
    </row>
    <row r="420" spans="10:25" x14ac:dyDescent="0.2">
      <c r="J420" s="158"/>
      <c r="K420" s="158"/>
      <c r="L420" s="158"/>
      <c r="M420" s="158"/>
      <c r="N420" s="158"/>
      <c r="O420" s="158"/>
      <c r="P420" s="158"/>
      <c r="Q420" s="158"/>
      <c r="R420" s="158"/>
      <c r="S420" s="158"/>
      <c r="T420" s="158"/>
      <c r="U420" s="158"/>
      <c r="V420" s="158"/>
      <c r="W420" s="158"/>
      <c r="X420" s="158"/>
      <c r="Y420" s="37"/>
    </row>
    <row r="421" spans="10:25" x14ac:dyDescent="0.2">
      <c r="J421" s="158"/>
      <c r="K421" s="158"/>
      <c r="L421" s="158"/>
      <c r="M421" s="158"/>
      <c r="N421" s="158"/>
      <c r="O421" s="158"/>
      <c r="P421" s="158"/>
      <c r="Q421" s="158"/>
      <c r="R421" s="158"/>
      <c r="S421" s="158"/>
      <c r="T421" s="158"/>
      <c r="U421" s="158"/>
      <c r="V421" s="158"/>
      <c r="W421" s="158"/>
      <c r="X421" s="158"/>
      <c r="Y421" s="37"/>
    </row>
    <row r="422" spans="10:25" x14ac:dyDescent="0.2">
      <c r="J422" s="158"/>
      <c r="K422" s="158"/>
      <c r="L422" s="158"/>
      <c r="M422" s="158"/>
      <c r="N422" s="158"/>
      <c r="O422" s="158"/>
      <c r="P422" s="158"/>
      <c r="Q422" s="158"/>
      <c r="R422" s="158"/>
      <c r="S422" s="158"/>
      <c r="T422" s="158"/>
      <c r="U422" s="158"/>
      <c r="V422" s="158"/>
      <c r="W422" s="158"/>
      <c r="X422" s="158"/>
      <c r="Y422" s="37"/>
    </row>
    <row r="423" spans="10:25" x14ac:dyDescent="0.2">
      <c r="J423" s="158"/>
      <c r="K423" s="158"/>
      <c r="L423" s="158"/>
      <c r="M423" s="158"/>
      <c r="N423" s="158"/>
      <c r="O423" s="158"/>
      <c r="P423" s="158"/>
      <c r="Q423" s="158"/>
      <c r="R423" s="158"/>
      <c r="S423" s="158"/>
      <c r="T423" s="158"/>
      <c r="U423" s="158"/>
      <c r="V423" s="158"/>
      <c r="W423" s="158"/>
      <c r="X423" s="158"/>
      <c r="Y423" s="37"/>
    </row>
    <row r="424" spans="10:25" x14ac:dyDescent="0.2">
      <c r="J424" s="158"/>
      <c r="K424" s="158"/>
      <c r="L424" s="158"/>
      <c r="M424" s="158"/>
      <c r="N424" s="158"/>
      <c r="O424" s="158"/>
      <c r="P424" s="158"/>
      <c r="Q424" s="158"/>
      <c r="R424" s="158"/>
      <c r="S424" s="158"/>
      <c r="T424" s="158"/>
      <c r="U424" s="158"/>
      <c r="V424" s="158"/>
      <c r="W424" s="158"/>
      <c r="X424" s="158"/>
      <c r="Y424" s="37"/>
    </row>
    <row r="425" spans="10:25" x14ac:dyDescent="0.2">
      <c r="J425" s="158"/>
      <c r="K425" s="158"/>
      <c r="L425" s="158"/>
      <c r="M425" s="158"/>
      <c r="N425" s="158"/>
      <c r="O425" s="158"/>
      <c r="P425" s="158"/>
      <c r="Q425" s="158"/>
      <c r="R425" s="158"/>
      <c r="S425" s="158"/>
      <c r="T425" s="158"/>
      <c r="U425" s="158"/>
      <c r="V425" s="158"/>
      <c r="W425" s="158"/>
      <c r="X425" s="158"/>
      <c r="Y425" s="37"/>
    </row>
    <row r="426" spans="10:25" x14ac:dyDescent="0.2">
      <c r="J426" s="158"/>
      <c r="K426" s="158"/>
      <c r="L426" s="158"/>
      <c r="M426" s="158"/>
      <c r="N426" s="158"/>
      <c r="O426" s="158"/>
      <c r="P426" s="158"/>
      <c r="Q426" s="158"/>
      <c r="R426" s="158"/>
      <c r="S426" s="158"/>
      <c r="T426" s="158"/>
      <c r="U426" s="158"/>
      <c r="V426" s="158"/>
      <c r="W426" s="158"/>
      <c r="X426" s="158"/>
      <c r="Y426" s="37"/>
    </row>
    <row r="427" spans="10:25" x14ac:dyDescent="0.2">
      <c r="J427" s="158"/>
      <c r="K427" s="158"/>
      <c r="L427" s="158"/>
      <c r="M427" s="158"/>
      <c r="N427" s="158"/>
      <c r="O427" s="158"/>
      <c r="P427" s="158"/>
      <c r="Q427" s="158"/>
      <c r="R427" s="158"/>
      <c r="S427" s="158"/>
      <c r="T427" s="158"/>
      <c r="U427" s="158"/>
      <c r="V427" s="158"/>
      <c r="W427" s="158"/>
      <c r="X427" s="158"/>
      <c r="Y427" s="37"/>
    </row>
    <row r="428" spans="10:25" x14ac:dyDescent="0.2">
      <c r="J428" s="158"/>
      <c r="K428" s="158"/>
      <c r="L428" s="158"/>
      <c r="M428" s="158"/>
      <c r="N428" s="158"/>
      <c r="O428" s="158"/>
      <c r="P428" s="158"/>
      <c r="Q428" s="158"/>
      <c r="R428" s="158"/>
      <c r="S428" s="158"/>
      <c r="T428" s="158"/>
      <c r="U428" s="158"/>
      <c r="V428" s="158"/>
      <c r="W428" s="158"/>
      <c r="X428" s="158"/>
      <c r="Y428" s="37"/>
    </row>
    <row r="429" spans="10:25" x14ac:dyDescent="0.2">
      <c r="J429" s="158"/>
      <c r="K429" s="158"/>
      <c r="L429" s="158"/>
      <c r="M429" s="158"/>
      <c r="N429" s="158"/>
      <c r="O429" s="158"/>
      <c r="P429" s="158"/>
      <c r="Q429" s="158"/>
      <c r="R429" s="158"/>
      <c r="S429" s="158"/>
      <c r="T429" s="158"/>
      <c r="U429" s="158"/>
      <c r="V429" s="158"/>
      <c r="W429" s="158"/>
      <c r="X429" s="158"/>
      <c r="Y429" s="37"/>
    </row>
    <row r="430" spans="10:25" x14ac:dyDescent="0.2">
      <c r="J430" s="158"/>
      <c r="K430" s="158"/>
      <c r="L430" s="158"/>
      <c r="M430" s="158"/>
      <c r="N430" s="158"/>
      <c r="O430" s="158"/>
      <c r="P430" s="158"/>
      <c r="Q430" s="158"/>
      <c r="R430" s="158"/>
      <c r="S430" s="158"/>
      <c r="T430" s="158"/>
      <c r="U430" s="158"/>
      <c r="V430" s="158"/>
      <c r="W430" s="158"/>
      <c r="X430" s="158"/>
      <c r="Y430" s="37"/>
    </row>
    <row r="431" spans="10:25" x14ac:dyDescent="0.2">
      <c r="J431" s="158"/>
      <c r="K431" s="158"/>
      <c r="L431" s="158"/>
      <c r="M431" s="158"/>
      <c r="N431" s="158"/>
      <c r="O431" s="158"/>
      <c r="P431" s="158"/>
      <c r="Q431" s="158"/>
      <c r="R431" s="158"/>
      <c r="S431" s="158"/>
      <c r="T431" s="158"/>
      <c r="U431" s="158"/>
      <c r="V431" s="158"/>
      <c r="W431" s="158"/>
      <c r="X431" s="158"/>
      <c r="Y431" s="37"/>
    </row>
    <row r="432" spans="10:25" x14ac:dyDescent="0.2">
      <c r="J432" s="158"/>
      <c r="K432" s="158"/>
      <c r="L432" s="158"/>
      <c r="M432" s="158"/>
      <c r="N432" s="158"/>
      <c r="O432" s="158"/>
      <c r="P432" s="158"/>
      <c r="Q432" s="158"/>
      <c r="R432" s="158"/>
      <c r="S432" s="158"/>
      <c r="T432" s="158"/>
      <c r="U432" s="158"/>
      <c r="V432" s="158"/>
      <c r="W432" s="158"/>
      <c r="X432" s="158"/>
      <c r="Y432" s="37"/>
    </row>
    <row r="433" spans="10:25" x14ac:dyDescent="0.2">
      <c r="J433" s="158"/>
      <c r="K433" s="158"/>
      <c r="L433" s="158"/>
      <c r="M433" s="158"/>
      <c r="N433" s="158"/>
      <c r="O433" s="158"/>
      <c r="P433" s="158"/>
      <c r="Q433" s="158"/>
      <c r="R433" s="158"/>
      <c r="S433" s="158"/>
      <c r="T433" s="158"/>
      <c r="U433" s="158"/>
      <c r="V433" s="158"/>
      <c r="W433" s="158"/>
      <c r="X433" s="158"/>
      <c r="Y433" s="37"/>
    </row>
    <row r="434" spans="10:25" x14ac:dyDescent="0.2">
      <c r="J434" s="158"/>
      <c r="K434" s="158"/>
      <c r="L434" s="158"/>
      <c r="M434" s="158"/>
      <c r="N434" s="158"/>
      <c r="O434" s="158"/>
      <c r="P434" s="158"/>
      <c r="Q434" s="158"/>
      <c r="R434" s="158"/>
      <c r="S434" s="158"/>
      <c r="T434" s="158"/>
      <c r="U434" s="158"/>
      <c r="V434" s="158"/>
      <c r="W434" s="158"/>
      <c r="X434" s="158"/>
      <c r="Y434" s="37"/>
    </row>
    <row r="435" spans="10:25" x14ac:dyDescent="0.2">
      <c r="J435" s="158"/>
      <c r="K435" s="158"/>
      <c r="L435" s="37"/>
      <c r="M435" s="37"/>
      <c r="N435" s="37"/>
      <c r="O435" s="37"/>
      <c r="P435" s="37"/>
      <c r="Q435" s="37"/>
      <c r="R435" s="37"/>
      <c r="S435" s="37"/>
      <c r="T435" s="37"/>
      <c r="U435" s="37"/>
      <c r="V435" s="37"/>
      <c r="W435" s="37"/>
      <c r="X435" s="158"/>
      <c r="Y435" s="37"/>
    </row>
    <row r="436" spans="10:25" x14ac:dyDescent="0.2">
      <c r="J436" s="158"/>
      <c r="K436" s="158"/>
      <c r="X436" s="158"/>
      <c r="Y436" s="37"/>
    </row>
    <row r="437" spans="10:25" x14ac:dyDescent="0.2">
      <c r="X437" s="37"/>
      <c r="Y437" s="37"/>
    </row>
    <row r="438" spans="10:25" x14ac:dyDescent="0.2">
      <c r="Y438" s="37"/>
    </row>
    <row r="439" spans="10:25" x14ac:dyDescent="0.2">
      <c r="Y439" s="37"/>
    </row>
  </sheetData>
  <mergeCells count="1">
    <mergeCell ref="E20:F21"/>
  </mergeCells>
  <pageMargins left="0.7" right="0.7" top="0.75" bottom="0.75" header="0.3" footer="0.3"/>
  <pageSetup paperSize="9" scale="78" orientation="portrait" r:id="rId1"/>
  <headerFooter alignWithMargins="0">
    <oddHeader>&amp;R&amp;8Datum en tijd; &amp;D  &amp;T&amp;CBed 0&amp;LAfsprakenProgramma 0.23.08-beta</oddHeader>
  </headerFooter>
  <colBreaks count="1" manualBreakCount="1">
    <brk id="7" max="1048575" man="1"/>
  </colBreaks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 fitToPage="1"/>
  </sheetPr>
  <dimension ref="A1:S145"/>
  <sheetViews>
    <sheetView zoomScaleNormal="100" workbookViewId="0">
      <selection activeCell="J12" sqref="J12"/>
    </sheetView>
  </sheetViews>
  <sheetFormatPr defaultColWidth="9.140625" defaultRowHeight="12.75" x14ac:dyDescent="0.2"/>
  <cols>
    <col min="1" max="1" width="3.140625" style="54" customWidth="1"/>
    <col min="2" max="14" width="5.7109375" style="54" customWidth="1"/>
    <col min="15" max="16" width="5.7109375" style="261" customWidth="1"/>
    <col min="17" max="18" width="5.7109375" style="54" customWidth="1"/>
    <col min="19" max="19" width="6.85546875" style="54" customWidth="1"/>
    <col min="20" max="22" width="5.7109375" style="54" customWidth="1"/>
    <col min="23" max="16384" width="9.140625" style="54"/>
  </cols>
  <sheetData>
    <row r="1" spans="1:19" x14ac:dyDescent="0.2">
      <c r="A1" s="178"/>
      <c r="B1" s="54" t="s">
        <v>387</v>
      </c>
      <c r="D1" s="285" t="str">
        <f>Txt_Pat_Bed</f>
        <v/>
      </c>
      <c r="L1" s="54" t="s">
        <v>388</v>
      </c>
      <c r="M1" s="905">
        <f ca="1">TODAY()</f>
        <v>43418</v>
      </c>
      <c r="N1" s="906"/>
      <c r="O1" s="549"/>
      <c r="P1" s="549"/>
      <c r="Q1" s="56">
        <f ca="1">NOW()</f>
        <v>43418.601847106482</v>
      </c>
      <c r="R1" s="56"/>
    </row>
    <row r="2" spans="1:19" ht="6.75" customHeight="1" x14ac:dyDescent="0.2"/>
    <row r="3" spans="1:19" x14ac:dyDescent="0.2">
      <c r="B3" s="57" t="s">
        <v>4865</v>
      </c>
      <c r="J3" s="54" t="s">
        <v>265</v>
      </c>
      <c r="M3" s="907">
        <f>__0_PatNum</f>
        <v>0</v>
      </c>
      <c r="N3" s="907"/>
      <c r="O3" s="550"/>
      <c r="P3" s="550"/>
      <c r="Q3" s="58"/>
    </row>
    <row r="4" spans="1:19" x14ac:dyDescent="0.2">
      <c r="B4" s="57" t="s">
        <v>4866</v>
      </c>
      <c r="J4" s="54" t="s">
        <v>27</v>
      </c>
      <c r="M4" s="59" t="str">
        <f>Txt_Pat_FullName</f>
        <v/>
      </c>
      <c r="N4" s="60"/>
      <c r="O4" s="60"/>
      <c r="P4" s="60"/>
      <c r="Q4" s="58"/>
    </row>
    <row r="5" spans="1:19" x14ac:dyDescent="0.2">
      <c r="B5" s="57" t="s">
        <v>4867</v>
      </c>
      <c r="J5" s="54" t="s">
        <v>4868</v>
      </c>
      <c r="M5" s="908" t="str">
        <f ca="1">Txt_Pat_GeboorteDat</f>
        <v/>
      </c>
      <c r="N5" s="908"/>
      <c r="O5" s="908"/>
      <c r="P5" s="908"/>
      <c r="Q5" s="908"/>
      <c r="R5" s="908"/>
    </row>
    <row r="6" spans="1:19" ht="15" x14ac:dyDescent="0.2">
      <c r="A6" s="178"/>
      <c r="B6" s="61"/>
      <c r="C6" s="62"/>
      <c r="D6" s="62"/>
      <c r="E6" s="62"/>
      <c r="F6" s="62"/>
      <c r="G6" s="62"/>
      <c r="H6" s="62"/>
      <c r="I6" s="62"/>
      <c r="J6" s="54" t="str">
        <f ca="1">"Leeftijd: "&amp;Txt_Pat_Leeftijd&amp;" AD: "&amp;Txt_Pat_GestAge</f>
        <v xml:space="preserve">Leeftijd:  AD: </v>
      </c>
      <c r="N6" s="62"/>
      <c r="O6" s="62"/>
      <c r="P6" s="62"/>
      <c r="Q6" s="62"/>
      <c r="S6" s="62"/>
    </row>
    <row r="7" spans="1:19" ht="9" customHeight="1" x14ac:dyDescent="0.2">
      <c r="B7" s="63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5"/>
      <c r="R7" s="65"/>
      <c r="S7" s="64"/>
    </row>
    <row r="8" spans="1:19" x14ac:dyDescent="0.2">
      <c r="R8" s="66" t="s">
        <v>389</v>
      </c>
      <c r="S8" s="67"/>
    </row>
    <row r="9" spans="1:19" x14ac:dyDescent="0.2">
      <c r="B9" s="54" t="s">
        <v>4869</v>
      </c>
      <c r="D9" s="909" t="str">
        <f ca="1">Txt_Pat_AfspraakDat</f>
        <v>14-nov-2018</v>
      </c>
      <c r="E9" s="909"/>
      <c r="F9" s="906"/>
      <c r="I9" s="54" t="str">
        <f>Txt_Pat_Gewicht</f>
        <v>Gewicht:</v>
      </c>
      <c r="R9" s="66" t="s">
        <v>390</v>
      </c>
      <c r="S9" s="67"/>
    </row>
    <row r="10" spans="1:19" x14ac:dyDescent="0.2">
      <c r="B10" s="54" t="s">
        <v>386</v>
      </c>
      <c r="D10" s="54" t="str">
        <f>Txt_Pat_Bed</f>
        <v/>
      </c>
      <c r="I10" s="910" t="str">
        <f ca="1">Txt_Pat_Leeftijd</f>
        <v/>
      </c>
      <c r="J10" s="906"/>
      <c r="K10" s="906"/>
      <c r="L10" s="906"/>
      <c r="M10" s="906"/>
      <c r="N10" s="906"/>
      <c r="O10" s="906"/>
      <c r="P10" s="906"/>
      <c r="Q10" s="911"/>
      <c r="R10" s="66"/>
      <c r="S10" s="67"/>
    </row>
    <row r="11" spans="1:19" x14ac:dyDescent="0.2">
      <c r="B11" s="64" t="s">
        <v>391</v>
      </c>
      <c r="C11" s="64"/>
      <c r="D11" s="64"/>
      <c r="E11" s="64"/>
      <c r="F11" s="64"/>
      <c r="G11" s="64"/>
      <c r="H11" s="64"/>
      <c r="I11" s="64" t="s">
        <v>135</v>
      </c>
      <c r="J11" s="64" t="str">
        <f>IF(OR(_User_Type="Artsen",_User_Type="Supervisor"), _User_LastName&amp;", "&amp;_User_FirstName,"")</f>
        <v/>
      </c>
      <c r="K11" s="64"/>
      <c r="L11" s="64"/>
      <c r="M11" s="64"/>
      <c r="N11" s="64"/>
      <c r="O11" s="64"/>
      <c r="P11" s="64"/>
      <c r="Q11" s="64"/>
      <c r="R11" s="66"/>
      <c r="S11" s="67"/>
    </row>
    <row r="12" spans="1:19" x14ac:dyDescent="0.2">
      <c r="R12" s="66"/>
      <c r="S12" s="67"/>
    </row>
    <row r="13" spans="1:19" x14ac:dyDescent="0.2">
      <c r="B13" s="68" t="str">
        <f>NeoGuiInfB!D15</f>
        <v>Totale vochtintake</v>
      </c>
      <c r="C13" s="62"/>
      <c r="D13" s="62"/>
      <c r="E13" s="62"/>
      <c r="F13" s="69" t="str">
        <f>NeoBerInfB!AL58</f>
        <v/>
      </c>
      <c r="G13" s="62"/>
      <c r="H13" s="62"/>
      <c r="I13" s="62"/>
      <c r="J13" s="54" t="str">
        <f>"= "&amp;NeoBerInfB!AL54&amp;" ml"</f>
        <v>= 0 ml</v>
      </c>
      <c r="R13" s="66"/>
      <c r="S13" s="67"/>
    </row>
    <row r="14" spans="1:19" x14ac:dyDescent="0.2">
      <c r="B14" s="68"/>
      <c r="C14" s="62"/>
      <c r="D14" s="62"/>
      <c r="E14" s="62"/>
      <c r="F14" s="69"/>
      <c r="G14" s="62"/>
      <c r="H14" s="62"/>
      <c r="I14" s="62"/>
      <c r="R14" s="197"/>
      <c r="S14" s="198"/>
    </row>
    <row r="15" spans="1:19" x14ac:dyDescent="0.2">
      <c r="B15" s="68"/>
      <c r="C15" s="62"/>
      <c r="D15" s="62"/>
      <c r="E15" s="62"/>
      <c r="F15" s="69"/>
      <c r="G15" s="62"/>
      <c r="H15" s="62"/>
      <c r="I15" s="62"/>
      <c r="J15" s="60" t="s">
        <v>784</v>
      </c>
      <c r="R15" s="197"/>
      <c r="S15" s="198"/>
    </row>
    <row r="16" spans="1:19" x14ac:dyDescent="0.2">
      <c r="B16" s="57" t="str">
        <f>NeoGuiInfB!C17</f>
        <v>Voeding:</v>
      </c>
      <c r="E16" s="54" t="str">
        <f>NeoBerInfB!P9</f>
        <v/>
      </c>
      <c r="I16" s="54" t="str">
        <f>IF(OR(J16&lt;&gt;0,J17&lt;&gt;0,J18&lt;&gt;0,J19&lt;&gt;0,J20&lt;&gt;0),"met","")</f>
        <v>met</v>
      </c>
      <c r="J16" s="54" t="str">
        <f>NeoBerInfB!BB11</f>
        <v/>
      </c>
      <c r="M16" s="60"/>
      <c r="R16" s="197"/>
      <c r="S16" s="198"/>
    </row>
    <row r="17" spans="1:19" x14ac:dyDescent="0.2">
      <c r="B17" s="70" t="str">
        <f>NeoGuiInfB!G17</f>
        <v>Hoeveelheid:</v>
      </c>
      <c r="E17" s="59" t="str">
        <f>NeoGuiInfB!$H$17</f>
        <v/>
      </c>
      <c r="F17" s="54" t="str">
        <f>NeoGuiInfB!I17</f>
        <v>maal</v>
      </c>
      <c r="G17" s="60" t="str">
        <f>NeoGuiInfB!J17</f>
        <v/>
      </c>
      <c r="J17" s="54" t="str">
        <f>NeoBerInfB!BB12</f>
        <v/>
      </c>
      <c r="M17" s="60"/>
      <c r="R17" s="197"/>
      <c r="S17" s="198"/>
    </row>
    <row r="18" spans="1:19" x14ac:dyDescent="0.2">
      <c r="C18" s="71" t="str">
        <f>IF(E18="","","en")</f>
        <v/>
      </c>
      <c r="E18" s="59" t="str">
        <f>IF(NeoGuiInfB!J18&lt;&gt;"0 ml",NeoGuiInfB!$H$18,"")</f>
        <v/>
      </c>
      <c r="F18" s="54" t="str">
        <f>IF(NeoGuiInfB!J18&lt;&gt;"0 ml",NeoGuiInfB!I18,"")</f>
        <v>maal</v>
      </c>
      <c r="G18" s="60" t="str">
        <f>IF(NeoGuiInfB!J18&lt;&gt;"0 ml",NeoGuiInfB!J18,"")</f>
        <v/>
      </c>
      <c r="J18" s="54" t="str">
        <f>NeoBerInfB!BB13</f>
        <v/>
      </c>
      <c r="M18" s="60"/>
      <c r="R18" s="197"/>
      <c r="S18" s="198"/>
    </row>
    <row r="19" spans="1:19" x14ac:dyDescent="0.2">
      <c r="J19" s="54" t="str">
        <f>NeoBerInfB!BB14</f>
        <v/>
      </c>
      <c r="M19" s="60"/>
      <c r="R19" s="197"/>
      <c r="S19" s="198"/>
    </row>
    <row r="20" spans="1:19" x14ac:dyDescent="0.2">
      <c r="B20" s="68"/>
      <c r="C20" s="62"/>
      <c r="D20" s="62"/>
      <c r="E20" s="62"/>
      <c r="F20" s="69"/>
      <c r="G20" s="62"/>
      <c r="H20" s="62"/>
      <c r="I20" s="62"/>
      <c r="J20" s="54" t="str">
        <f>NeoBerInfB!BB15</f>
        <v/>
      </c>
      <c r="K20" s="62"/>
      <c r="L20" s="72"/>
      <c r="M20" s="60"/>
      <c r="R20" s="197"/>
      <c r="S20" s="198"/>
    </row>
    <row r="21" spans="1:19" x14ac:dyDescent="0.2">
      <c r="B21" s="60"/>
      <c r="R21" s="66"/>
      <c r="S21" s="67"/>
    </row>
    <row r="22" spans="1:19" x14ac:dyDescent="0.2">
      <c r="B22" s="60"/>
      <c r="I22" s="62"/>
      <c r="J22" s="60" t="s">
        <v>785</v>
      </c>
      <c r="R22" s="197"/>
      <c r="S22" s="198"/>
    </row>
    <row r="23" spans="1:19" x14ac:dyDescent="0.2">
      <c r="B23" s="60"/>
      <c r="I23" s="54" t="str">
        <f>IF(OR(J23&lt;&gt;0,J24&lt;&gt;0,J25&lt;&gt;0,J26&lt;&gt;0),"met","")</f>
        <v>met</v>
      </c>
      <c r="J23" s="54" t="str">
        <f>NeoBerInfB!BB16</f>
        <v/>
      </c>
      <c r="M23" s="60"/>
      <c r="R23" s="197"/>
      <c r="S23" s="198"/>
    </row>
    <row r="24" spans="1:19" x14ac:dyDescent="0.2">
      <c r="B24" s="60"/>
      <c r="J24" s="54" t="str">
        <f>NeoBerInfB!BB17</f>
        <v/>
      </c>
      <c r="M24" s="60"/>
      <c r="R24" s="197"/>
      <c r="S24" s="198"/>
    </row>
    <row r="25" spans="1:19" x14ac:dyDescent="0.2">
      <c r="J25" s="54" t="str">
        <f>NeoBerInfB!BB18</f>
        <v/>
      </c>
      <c r="M25" s="60"/>
      <c r="R25" s="66"/>
      <c r="S25" s="67"/>
    </row>
    <row r="26" spans="1:19" x14ac:dyDescent="0.2">
      <c r="J26" s="54" t="str">
        <f>NeoBerInfB!BB19</f>
        <v/>
      </c>
      <c r="M26" s="60"/>
      <c r="R26" s="66"/>
      <c r="S26" s="67"/>
    </row>
    <row r="27" spans="1:19" x14ac:dyDescent="0.2">
      <c r="R27" s="66"/>
      <c r="S27" s="67"/>
    </row>
    <row r="28" spans="1:19" x14ac:dyDescent="0.2">
      <c r="B28" s="73" t="str">
        <f>IF(NeoGuiInfB!L13=1,"De voeding is extra","")</f>
        <v/>
      </c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  <c r="R28" s="74"/>
      <c r="S28" s="75"/>
    </row>
    <row r="29" spans="1:19" x14ac:dyDescent="0.2">
      <c r="R29" s="66"/>
      <c r="S29" s="67"/>
    </row>
    <row r="30" spans="1:19" x14ac:dyDescent="0.2">
      <c r="B30" s="57" t="s">
        <v>4870</v>
      </c>
      <c r="G30" s="60">
        <f>IF(NeoBerInfB!B21,NeoBerInfB!C21,NeoBerInfB!AX53)</f>
        <v>0</v>
      </c>
      <c r="H30" s="54" t="s">
        <v>4871</v>
      </c>
      <c r="Q30" s="67"/>
      <c r="R30" s="62"/>
      <c r="S30" s="67"/>
    </row>
    <row r="31" spans="1:19" x14ac:dyDescent="0.2">
      <c r="Q31" s="67"/>
      <c r="R31" s="76" t="s">
        <v>392</v>
      </c>
      <c r="S31" s="67"/>
    </row>
    <row r="32" spans="1:19" ht="15.95" customHeight="1" x14ac:dyDescent="0.2">
      <c r="A32" s="54">
        <v>1</v>
      </c>
      <c r="B32" s="77" t="str">
        <f>NeoBerInfB!BB22</f>
        <v/>
      </c>
      <c r="C32" s="77"/>
      <c r="D32" s="77"/>
      <c r="E32" s="77"/>
      <c r="F32" s="77"/>
      <c r="G32" s="77"/>
      <c r="H32" s="77"/>
      <c r="I32" s="77"/>
      <c r="J32" s="77"/>
      <c r="K32" s="78"/>
      <c r="L32" s="77"/>
      <c r="M32" s="77"/>
      <c r="N32" s="77"/>
      <c r="O32" s="77"/>
      <c r="P32" s="77"/>
      <c r="Q32" s="79"/>
      <c r="R32" s="80" t="str">
        <f>IF(B32="","",IF(NeoBerInfB!I22,"ja","nee"))</f>
        <v/>
      </c>
      <c r="S32" s="81"/>
    </row>
    <row r="33" spans="1:19" ht="15.95" customHeight="1" x14ac:dyDescent="0.2">
      <c r="A33" s="54">
        <v>2</v>
      </c>
      <c r="B33" s="82" t="str">
        <f>NeoBerInfB!BB23</f>
        <v/>
      </c>
      <c r="C33" s="77"/>
      <c r="D33" s="82"/>
      <c r="E33" s="83"/>
      <c r="F33" s="82"/>
      <c r="G33" s="84"/>
      <c r="H33" s="82"/>
      <c r="I33" s="85"/>
      <c r="J33" s="82"/>
      <c r="K33" s="83"/>
      <c r="L33" s="82"/>
      <c r="M33" s="86"/>
      <c r="N33" s="87"/>
      <c r="O33" s="87"/>
      <c r="P33" s="87"/>
      <c r="Q33" s="88"/>
      <c r="R33" s="85" t="str">
        <f>IF(B33="","",IF(NeoBerInfB!I23,"ja","nee"))</f>
        <v/>
      </c>
      <c r="S33" s="89"/>
    </row>
    <row r="34" spans="1:19" ht="15.95" customHeight="1" x14ac:dyDescent="0.2">
      <c r="A34" s="54">
        <v>3</v>
      </c>
      <c r="B34" s="82" t="str">
        <f>NeoBerInfB!BB24</f>
        <v/>
      </c>
      <c r="C34" s="77"/>
      <c r="D34" s="82"/>
      <c r="E34" s="83"/>
      <c r="F34" s="82"/>
      <c r="G34" s="84"/>
      <c r="H34" s="82"/>
      <c r="I34" s="85"/>
      <c r="J34" s="82"/>
      <c r="K34" s="83"/>
      <c r="L34" s="82"/>
      <c r="M34" s="86"/>
      <c r="N34" s="87"/>
      <c r="O34" s="87"/>
      <c r="P34" s="87"/>
      <c r="Q34" s="88"/>
      <c r="R34" s="85" t="str">
        <f>IF(B34="","",IF(NeoBerInfB!I24,"ja","nee"))</f>
        <v/>
      </c>
      <c r="S34" s="81"/>
    </row>
    <row r="35" spans="1:19" ht="15.95" customHeight="1" x14ac:dyDescent="0.2">
      <c r="A35" s="54">
        <v>4</v>
      </c>
      <c r="B35" s="82" t="str">
        <f>NeoBerInfB!BB25</f>
        <v/>
      </c>
      <c r="C35" s="77"/>
      <c r="D35" s="82"/>
      <c r="E35" s="83"/>
      <c r="F35" s="82"/>
      <c r="G35" s="84"/>
      <c r="H35" s="82"/>
      <c r="I35" s="85"/>
      <c r="J35" s="82"/>
      <c r="K35" s="83"/>
      <c r="L35" s="82"/>
      <c r="M35" s="86"/>
      <c r="N35" s="87"/>
      <c r="O35" s="87"/>
      <c r="P35" s="87"/>
      <c r="Q35" s="88"/>
      <c r="R35" s="85" t="str">
        <f>IF(B35="","",IF(NeoBerInfB!I25,"ja","nee"))</f>
        <v/>
      </c>
      <c r="S35" s="89"/>
    </row>
    <row r="36" spans="1:19" ht="15.95" customHeight="1" x14ac:dyDescent="0.2">
      <c r="A36" s="54">
        <v>5</v>
      </c>
      <c r="B36" s="82" t="str">
        <f>NeoBerInfB!BB26</f>
        <v/>
      </c>
      <c r="C36" s="77"/>
      <c r="D36" s="82"/>
      <c r="E36" s="83"/>
      <c r="F36" s="82"/>
      <c r="G36" s="84"/>
      <c r="H36" s="82"/>
      <c r="I36" s="85"/>
      <c r="J36" s="82"/>
      <c r="K36" s="83"/>
      <c r="L36" s="82"/>
      <c r="M36" s="86"/>
      <c r="N36" s="87"/>
      <c r="O36" s="87"/>
      <c r="P36" s="87"/>
      <c r="Q36" s="88"/>
      <c r="R36" s="85" t="str">
        <f>IF(B36="","",IF(NeoBerInfB!I26,"ja","nee"))</f>
        <v/>
      </c>
      <c r="S36" s="81"/>
    </row>
    <row r="37" spans="1:19" ht="15.95" customHeight="1" x14ac:dyDescent="0.2">
      <c r="A37" s="54">
        <v>6</v>
      </c>
      <c r="B37" s="82" t="str">
        <f>NeoBerInfB!BB27</f>
        <v/>
      </c>
      <c r="C37" s="77"/>
      <c r="D37" s="82"/>
      <c r="E37" s="83"/>
      <c r="F37" s="82"/>
      <c r="G37" s="84"/>
      <c r="H37" s="82"/>
      <c r="I37" s="85"/>
      <c r="J37" s="82"/>
      <c r="K37" s="83"/>
      <c r="L37" s="82"/>
      <c r="M37" s="86"/>
      <c r="N37" s="87"/>
      <c r="O37" s="87"/>
      <c r="P37" s="87"/>
      <c r="Q37" s="88"/>
      <c r="R37" s="85" t="str">
        <f>IF(B37="","",IF(NeoBerInfB!I27,"ja","nee"))</f>
        <v/>
      </c>
      <c r="S37" s="89"/>
    </row>
    <row r="38" spans="1:19" ht="15.95" customHeight="1" x14ac:dyDescent="0.2">
      <c r="A38" s="54">
        <v>7</v>
      </c>
      <c r="B38" s="82" t="str">
        <f>NeoBerInfB!BB28</f>
        <v/>
      </c>
      <c r="C38" s="77"/>
      <c r="D38" s="82"/>
      <c r="E38" s="83"/>
      <c r="F38" s="82"/>
      <c r="G38" s="84"/>
      <c r="H38" s="82"/>
      <c r="I38" s="85"/>
      <c r="J38" s="82"/>
      <c r="K38" s="83"/>
      <c r="L38" s="82"/>
      <c r="M38" s="86"/>
      <c r="N38" s="87"/>
      <c r="O38" s="87"/>
      <c r="P38" s="87"/>
      <c r="Q38" s="88"/>
      <c r="R38" s="85" t="str">
        <f>IF(B38="","",IF(NeoBerInfB!I28,"ja","nee"))</f>
        <v/>
      </c>
      <c r="S38" s="81"/>
    </row>
    <row r="39" spans="1:19" ht="15.95" customHeight="1" x14ac:dyDescent="0.2">
      <c r="A39" s="54">
        <v>8</v>
      </c>
      <c r="B39" s="82" t="str">
        <f>NeoBerInfB!BB29</f>
        <v/>
      </c>
      <c r="C39" s="77"/>
      <c r="D39" s="82"/>
      <c r="E39" s="83"/>
      <c r="F39" s="82"/>
      <c r="G39" s="84"/>
      <c r="H39" s="82"/>
      <c r="I39" s="85"/>
      <c r="J39" s="82"/>
      <c r="K39" s="83"/>
      <c r="L39" s="82"/>
      <c r="M39" s="86"/>
      <c r="N39" s="87"/>
      <c r="O39" s="87"/>
      <c r="P39" s="87"/>
      <c r="Q39" s="88"/>
      <c r="R39" s="85" t="str">
        <f>IF(B39="","",IF(NeoBerInfB!I29,"ja","nee"))</f>
        <v/>
      </c>
      <c r="S39" s="89"/>
    </row>
    <row r="40" spans="1:19" ht="15.95" customHeight="1" x14ac:dyDescent="0.2">
      <c r="A40" s="54">
        <v>9</v>
      </c>
      <c r="B40" s="82" t="str">
        <f>NeoBerInfB!BB30</f>
        <v/>
      </c>
      <c r="C40" s="77"/>
      <c r="D40" s="82"/>
      <c r="E40" s="83"/>
      <c r="F40" s="82"/>
      <c r="G40" s="84"/>
      <c r="H40" s="82"/>
      <c r="I40" s="85"/>
      <c r="J40" s="82"/>
      <c r="K40" s="83"/>
      <c r="L40" s="82"/>
      <c r="M40" s="86"/>
      <c r="N40" s="87"/>
      <c r="O40" s="87"/>
      <c r="P40" s="87"/>
      <c r="Q40" s="88"/>
      <c r="R40" s="85" t="str">
        <f>IF(B40="","",IF(NeoBerInfB!I30,"ja","nee"))</f>
        <v/>
      </c>
      <c r="S40" s="81"/>
    </row>
    <row r="41" spans="1:19" ht="15.95" customHeight="1" x14ac:dyDescent="0.2">
      <c r="A41" s="54">
        <v>10</v>
      </c>
      <c r="B41" s="82" t="str">
        <f>NeoBerInfB!BB31</f>
        <v/>
      </c>
      <c r="C41" s="77"/>
      <c r="D41" s="82"/>
      <c r="E41" s="83"/>
      <c r="F41" s="82"/>
      <c r="G41" s="84"/>
      <c r="H41" s="82"/>
      <c r="I41" s="85"/>
      <c r="J41" s="82"/>
      <c r="K41" s="83"/>
      <c r="L41" s="82"/>
      <c r="M41" s="86"/>
      <c r="N41" s="87"/>
      <c r="O41" s="87"/>
      <c r="P41" s="87"/>
      <c r="Q41" s="88"/>
      <c r="R41" s="85" t="str">
        <f>IF(B41="","",IF(NeoBerInfB!I31,"ja","nee"))</f>
        <v/>
      </c>
      <c r="S41" s="89"/>
    </row>
    <row r="42" spans="1:19" ht="15.95" customHeight="1" x14ac:dyDescent="0.2">
      <c r="A42" s="54">
        <v>11</v>
      </c>
      <c r="B42" s="82" t="str">
        <f>NeoBerInfB!BB32</f>
        <v/>
      </c>
      <c r="C42" s="77"/>
      <c r="D42" s="82"/>
      <c r="E42" s="83"/>
      <c r="F42" s="82"/>
      <c r="G42" s="83"/>
      <c r="H42" s="82"/>
      <c r="I42" s="85"/>
      <c r="J42" s="82"/>
      <c r="K42" s="83"/>
      <c r="L42" s="82"/>
      <c r="M42" s="86"/>
      <c r="N42" s="82"/>
      <c r="O42" s="82"/>
      <c r="P42" s="82"/>
      <c r="Q42" s="88"/>
      <c r="R42" s="85" t="str">
        <f>IF(B42="","",IF(NeoBerInfB!I32,"ja","nee"))</f>
        <v/>
      </c>
      <c r="S42" s="89"/>
    </row>
    <row r="43" spans="1:19" ht="15.95" customHeight="1" x14ac:dyDescent="0.2">
      <c r="A43" s="54">
        <v>12</v>
      </c>
      <c r="B43" s="82" t="str">
        <f>NeoBerInfB!BB33</f>
        <v/>
      </c>
      <c r="C43" s="77"/>
      <c r="D43" s="82"/>
      <c r="E43" s="83"/>
      <c r="F43" s="82"/>
      <c r="G43" s="83"/>
      <c r="H43" s="82"/>
      <c r="I43" s="85"/>
      <c r="J43" s="82"/>
      <c r="K43" s="83"/>
      <c r="L43" s="82"/>
      <c r="M43" s="86"/>
      <c r="N43" s="82"/>
      <c r="O43" s="82"/>
      <c r="P43" s="82"/>
      <c r="Q43" s="88"/>
      <c r="R43" s="85" t="str">
        <f>IF(B43="","",IF(NeoBerInfB!I33,"ja","nee"))</f>
        <v/>
      </c>
      <c r="S43" s="89"/>
    </row>
    <row r="44" spans="1:19" ht="15.95" customHeight="1" x14ac:dyDescent="0.2">
      <c r="A44" s="54">
        <v>13</v>
      </c>
      <c r="B44" s="82" t="str">
        <f>NeoBerInfB!BB34</f>
        <v/>
      </c>
      <c r="C44" s="77"/>
      <c r="D44" s="82"/>
      <c r="E44" s="83"/>
      <c r="F44" s="82"/>
      <c r="G44" s="83"/>
      <c r="H44" s="82"/>
      <c r="I44" s="85"/>
      <c r="J44" s="82"/>
      <c r="K44" s="83"/>
      <c r="L44" s="82"/>
      <c r="M44" s="82"/>
      <c r="N44" s="82"/>
      <c r="O44" s="82"/>
      <c r="P44" s="82"/>
      <c r="Q44" s="88"/>
      <c r="R44" s="85" t="str">
        <f>IF(B44="","",IF(NeoBerInfB!I34,"ja","nee"))</f>
        <v/>
      </c>
      <c r="S44" s="89"/>
    </row>
    <row r="45" spans="1:19" ht="15.95" customHeight="1" x14ac:dyDescent="0.2">
      <c r="A45" s="54">
        <v>14</v>
      </c>
      <c r="B45" s="82" t="str">
        <f>NeoBerInfB!BB35</f>
        <v/>
      </c>
      <c r="C45" s="77"/>
      <c r="D45" s="82"/>
      <c r="E45" s="83"/>
      <c r="F45" s="82"/>
      <c r="G45" s="83"/>
      <c r="H45" s="82"/>
      <c r="I45" s="82"/>
      <c r="J45" s="82"/>
      <c r="K45" s="83"/>
      <c r="L45" s="82"/>
      <c r="M45" s="82"/>
      <c r="N45" s="82"/>
      <c r="O45" s="82"/>
      <c r="P45" s="82"/>
      <c r="Q45" s="88"/>
      <c r="R45" s="85" t="str">
        <f>IF(B45="","",IF(NeoBerInfB!I35,"ja","nee"))</f>
        <v/>
      </c>
      <c r="S45" s="89"/>
    </row>
    <row r="46" spans="1:19" ht="15.95" customHeight="1" x14ac:dyDescent="0.2">
      <c r="A46" s="54">
        <v>15</v>
      </c>
      <c r="B46" s="82" t="str">
        <f>NeoBerInfB!BB36</f>
        <v/>
      </c>
      <c r="C46" s="77"/>
      <c r="D46" s="82"/>
      <c r="E46" s="83"/>
      <c r="F46" s="82"/>
      <c r="G46" s="83"/>
      <c r="H46" s="82"/>
      <c r="I46" s="82"/>
      <c r="J46" s="82"/>
      <c r="K46" s="83"/>
      <c r="L46" s="82"/>
      <c r="M46" s="82"/>
      <c r="N46" s="82"/>
      <c r="O46" s="82"/>
      <c r="P46" s="82"/>
      <c r="Q46" s="88"/>
      <c r="R46" s="85" t="str">
        <f>IF(B46="","",IF(NeoBerInfB!I36,"ja","nee"))</f>
        <v/>
      </c>
      <c r="S46" s="89"/>
    </row>
    <row r="47" spans="1:19" ht="15.75" customHeight="1" x14ac:dyDescent="0.2">
      <c r="A47" s="54">
        <v>16</v>
      </c>
      <c r="B47" s="82" t="str">
        <f>NeoBerInfB!BB37</f>
        <v/>
      </c>
      <c r="C47" s="77"/>
      <c r="D47" s="82"/>
      <c r="E47" s="83"/>
      <c r="F47" s="82"/>
      <c r="G47" s="83"/>
      <c r="H47" s="82"/>
      <c r="I47" s="82"/>
      <c r="J47" s="82"/>
      <c r="K47" s="83"/>
      <c r="L47" s="82"/>
      <c r="M47" s="82"/>
      <c r="N47" s="82"/>
      <c r="O47" s="82"/>
      <c r="P47" s="82"/>
      <c r="Q47" s="88"/>
      <c r="R47" s="85" t="str">
        <f>IF(B47="","",IF(NeoBerInfB!I37,"ja","nee"))</f>
        <v/>
      </c>
      <c r="S47" s="81"/>
    </row>
    <row r="48" spans="1:19" x14ac:dyDescent="0.2">
      <c r="Q48" s="67"/>
      <c r="R48" s="62"/>
      <c r="S48" s="67"/>
    </row>
    <row r="49" spans="2:19" x14ac:dyDescent="0.2">
      <c r="B49" s="57" t="s">
        <v>4872</v>
      </c>
      <c r="F49" s="54" t="s">
        <v>4873</v>
      </c>
      <c r="I49" s="54" t="s">
        <v>256</v>
      </c>
      <c r="L49" s="54" t="s">
        <v>4874</v>
      </c>
      <c r="R49" s="66"/>
      <c r="S49" s="67"/>
    </row>
    <row r="50" spans="2:19" x14ac:dyDescent="0.2">
      <c r="F50" s="90"/>
      <c r="G50" s="91"/>
      <c r="H50" s="92"/>
      <c r="I50" s="93"/>
      <c r="J50" s="91"/>
      <c r="K50" s="94"/>
      <c r="L50" s="90"/>
      <c r="M50" s="91"/>
      <c r="N50" s="94"/>
      <c r="O50" s="62"/>
      <c r="P50" s="62"/>
      <c r="R50" s="66"/>
      <c r="S50" s="67"/>
    </row>
    <row r="51" spans="2:19" x14ac:dyDescent="0.2">
      <c r="B51" s="93" t="str">
        <f>NeoGuiInfB!D51</f>
        <v>NaCl 3%</v>
      </c>
      <c r="C51" s="95"/>
      <c r="D51" s="95"/>
      <c r="E51" s="92"/>
      <c r="F51" s="96"/>
      <c r="G51" s="97"/>
      <c r="H51" s="98"/>
      <c r="I51" s="96" t="str">
        <f>IF(AND(NeoBerInfB!AL42&gt;0,Var_Neo_InfB_TPN_DagKeuze=2),NeoBerInfB!AL42&amp;" ml","")</f>
        <v/>
      </c>
      <c r="J51" s="97"/>
      <c r="K51" s="98"/>
      <c r="L51" s="96" t="str">
        <f>IF(AND(NeoBerInfB!AL42&gt;0,Var_Neo_InfB_TPN_DagKeuze=3),NeoBerInfB!AL42&amp;" ml","")</f>
        <v/>
      </c>
      <c r="M51" s="97"/>
      <c r="N51" s="98"/>
      <c r="O51" s="552"/>
      <c r="P51" s="552"/>
      <c r="R51" s="99"/>
      <c r="S51" s="81"/>
    </row>
    <row r="52" spans="2:19" x14ac:dyDescent="0.2">
      <c r="B52" s="93" t="str">
        <f>NeoGuiInfB!D52</f>
        <v>Kacetaat</v>
      </c>
      <c r="C52" s="95"/>
      <c r="D52" s="95"/>
      <c r="E52" s="92"/>
      <c r="F52" s="96"/>
      <c r="G52" s="97"/>
      <c r="H52" s="98"/>
      <c r="I52" s="96" t="str">
        <f>IF(AND(NeoBerInfB!AL43&gt;0,Var_Neo_InfB_TPN_DagKeuze=2),NeoBerInfB!AL43&amp;" ml","")</f>
        <v/>
      </c>
      <c r="J52" s="97"/>
      <c r="K52" s="98"/>
      <c r="L52" s="96" t="str">
        <f>IF(AND(NeoBerInfB!AL43&gt;0,Var_Neo_InfB_TPN_DagKeuze=3),NeoBerInfB!AL43&amp;" ml","")</f>
        <v/>
      </c>
      <c r="M52" s="97"/>
      <c r="N52" s="98"/>
      <c r="O52" s="552"/>
      <c r="P52" s="552"/>
      <c r="R52" s="100"/>
      <c r="S52" s="89"/>
    </row>
    <row r="53" spans="2:19" x14ac:dyDescent="0.2">
      <c r="B53" s="93" t="str">
        <f>NeoGuiInfB!D53</f>
        <v>CaCl2 3,3%</v>
      </c>
      <c r="C53" s="95"/>
      <c r="D53" s="95"/>
      <c r="E53" s="92"/>
      <c r="F53" s="96"/>
      <c r="G53" s="97"/>
      <c r="H53" s="98"/>
      <c r="I53" s="96"/>
      <c r="J53" s="97"/>
      <c r="K53" s="98"/>
      <c r="L53" s="96" t="str">
        <f>IF(AND(NeoBerInfB!AL44&gt;0,Var_Neo_InfB_TPN_DagKeuze=3),NeoBerInfB!AL44&amp;" ml","")</f>
        <v/>
      </c>
      <c r="M53" s="97"/>
      <c r="N53" s="98"/>
      <c r="O53" s="552"/>
      <c r="P53" s="552"/>
      <c r="R53" s="99"/>
      <c r="S53" s="81"/>
    </row>
    <row r="54" spans="2:19" x14ac:dyDescent="0.2">
      <c r="B54" s="93" t="str">
        <f>NeoGuiInfB!D54</f>
        <v>MgCl2 10%</v>
      </c>
      <c r="C54" s="95"/>
      <c r="D54" s="95"/>
      <c r="E54" s="92"/>
      <c r="F54" s="96"/>
      <c r="G54" s="97"/>
      <c r="H54" s="98"/>
      <c r="I54" s="96"/>
      <c r="J54" s="97"/>
      <c r="K54" s="98"/>
      <c r="L54" s="96" t="str">
        <f>IF(AND(NeoBerInfB!AL45&gt;0,Var_Neo_InfB_TPN_DagKeuze=3),NeoBerInfB!AL45&amp;" ml","")</f>
        <v/>
      </c>
      <c r="M54" s="97"/>
      <c r="N54" s="98"/>
      <c r="O54" s="552"/>
      <c r="P54" s="552"/>
      <c r="R54" s="100"/>
      <c r="S54" s="89"/>
    </row>
    <row r="55" spans="2:19" x14ac:dyDescent="0.2">
      <c r="B55" s="93" t="str">
        <f>NeoGuiInfB!D55</f>
        <v>Soluvit</v>
      </c>
      <c r="C55" s="95"/>
      <c r="D55" s="95"/>
      <c r="E55" s="92"/>
      <c r="F55" s="96"/>
      <c r="G55" s="97"/>
      <c r="H55" s="98"/>
      <c r="I55" s="96"/>
      <c r="J55" s="97"/>
      <c r="K55" s="98"/>
      <c r="L55" s="96" t="str">
        <f>IF(AND(NeoBerInfB!AL46&gt;0,Var_Neo_InfB_TPN_DagKeuze=3),NeoBerInfB!AL46&amp;" ml","")</f>
        <v/>
      </c>
      <c r="M55" s="97"/>
      <c r="N55" s="98"/>
      <c r="O55" s="552"/>
      <c r="P55" s="552"/>
      <c r="R55" s="99"/>
      <c r="S55" s="81"/>
    </row>
    <row r="56" spans="2:19" x14ac:dyDescent="0.2">
      <c r="B56" s="93" t="str">
        <f>NeoGuiInfB!D56</f>
        <v>Primene</v>
      </c>
      <c r="C56" s="95"/>
      <c r="D56" s="95"/>
      <c r="E56" s="92"/>
      <c r="F56" s="96"/>
      <c r="G56" s="97"/>
      <c r="H56" s="98"/>
      <c r="I56" s="96"/>
      <c r="J56" s="97"/>
      <c r="K56" s="98"/>
      <c r="L56" s="96" t="str">
        <f>IF(AND(NeoBerInfB!AL47&gt;0,Var_Neo_InfB_TPN_DagKeuze=3),NeoBerInfB!AL47&amp;" ml","")</f>
        <v/>
      </c>
      <c r="M56" s="97"/>
      <c r="N56" s="98"/>
      <c r="O56" s="552"/>
      <c r="P56" s="552"/>
      <c r="R56" s="100"/>
      <c r="S56" s="89"/>
    </row>
    <row r="57" spans="2:19" x14ac:dyDescent="0.2">
      <c r="B57" s="93" t="str">
        <f>NeoGuiInfB!D57</f>
        <v>NICU-mix</v>
      </c>
      <c r="C57" s="95"/>
      <c r="D57" s="95"/>
      <c r="E57" s="92"/>
      <c r="F57" s="96" t="str">
        <f>IF(NeoBerInfB!AL48&gt;0,NeoBerInfB!AL48&amp;" ml","")</f>
        <v/>
      </c>
      <c r="G57" s="97"/>
      <c r="H57" s="98"/>
      <c r="I57" s="96"/>
      <c r="J57" s="97"/>
      <c r="K57" s="98"/>
      <c r="L57" s="96"/>
      <c r="M57" s="97"/>
      <c r="N57" s="98"/>
      <c r="O57" s="552"/>
      <c r="P57" s="552"/>
      <c r="R57" s="99"/>
      <c r="S57" s="81"/>
    </row>
    <row r="58" spans="2:19" x14ac:dyDescent="0.2">
      <c r="B58" s="93" t="str">
        <f>NeoGuiInfB!D58</f>
        <v>Samenstelling B</v>
      </c>
      <c r="C58" s="95"/>
      <c r="D58" s="95"/>
      <c r="E58" s="92"/>
      <c r="F58" s="96"/>
      <c r="G58" s="97"/>
      <c r="H58" s="98"/>
      <c r="I58" s="96" t="str">
        <f>IF(NeoBerInfB!AL49&gt;0,NeoBerInfB!AL49&amp;" ml","")</f>
        <v/>
      </c>
      <c r="J58" s="97"/>
      <c r="K58" s="98"/>
      <c r="L58" s="96"/>
      <c r="M58" s="97"/>
      <c r="N58" s="98"/>
      <c r="O58" s="552"/>
      <c r="P58" s="552"/>
      <c r="R58" s="100"/>
      <c r="S58" s="89"/>
    </row>
    <row r="59" spans="2:19" x14ac:dyDescent="0.2">
      <c r="B59" s="93" t="str">
        <f>NeoBerInfB!P50</f>
        <v>glucose 10%</v>
      </c>
      <c r="C59" s="95"/>
      <c r="D59" s="95"/>
      <c r="E59" s="92"/>
      <c r="F59" s="96" t="str">
        <f>IF(Var_Neo_InfB_TPN_DagKeuze=1,NeoBerInfB!$AL50&amp;" ml","")</f>
        <v>0 ml</v>
      </c>
      <c r="G59" s="97"/>
      <c r="H59" s="98"/>
      <c r="I59" s="96" t="str">
        <f>IF(Var_Neo_InfB_TPN_DagKeuze=2,NeoBerInfB!$AL50&amp;" ml","")</f>
        <v/>
      </c>
      <c r="J59" s="97"/>
      <c r="K59" s="98"/>
      <c r="L59" s="96" t="str">
        <f>IF(Var_Neo_InfB_TPN_DagKeuze=3,NeoBerInfB!$AL50&amp;" ml","")</f>
        <v/>
      </c>
      <c r="M59" s="97"/>
      <c r="N59" s="98"/>
      <c r="O59" s="552"/>
      <c r="P59" s="552"/>
      <c r="R59" s="101"/>
      <c r="S59" s="102"/>
    </row>
    <row r="60" spans="2:19" ht="18.75" customHeight="1" x14ac:dyDescent="0.2">
      <c r="B60" s="57" t="str">
        <f>NeoGuiInfB!I15</f>
        <v>Fototherapie</v>
      </c>
      <c r="E60" s="60" t="str">
        <f>IF(NeoGuiInfB!I12=1,"ja","nee")</f>
        <v>nee</v>
      </c>
      <c r="R60" s="62"/>
      <c r="S60" s="62"/>
    </row>
    <row r="61" spans="2:19" x14ac:dyDescent="0.2">
      <c r="B61" s="62"/>
      <c r="C61" s="62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</row>
    <row r="62" spans="2:19" x14ac:dyDescent="0.2">
      <c r="B62" s="64" t="str">
        <f>NeoGuiInfB!D2</f>
        <v>Intake</v>
      </c>
      <c r="C62" s="64"/>
      <c r="D62" s="64" t="s">
        <v>85</v>
      </c>
      <c r="E62" s="64"/>
      <c r="F62" s="64"/>
      <c r="G62" s="64" t="s">
        <v>274</v>
      </c>
      <c r="H62" s="64"/>
      <c r="I62" s="64" t="s">
        <v>85</v>
      </c>
      <c r="J62" s="64"/>
      <c r="K62" s="64"/>
      <c r="L62" s="64" t="s">
        <v>274</v>
      </c>
      <c r="M62" s="64"/>
      <c r="N62" s="64" t="s">
        <v>85</v>
      </c>
      <c r="O62" s="64"/>
      <c r="P62" s="64"/>
      <c r="Q62" s="64"/>
      <c r="R62" s="64"/>
      <c r="S62" s="64"/>
    </row>
    <row r="63" spans="2:19" x14ac:dyDescent="0.2">
      <c r="B63" s="553" t="str">
        <f>NeoGuiInfB!D3</f>
        <v>Volume</v>
      </c>
      <c r="C63" s="70"/>
      <c r="D63" s="554" t="str">
        <f>NeoGuiInfB!G3</f>
        <v/>
      </c>
      <c r="E63" s="70"/>
      <c r="F63" s="70"/>
      <c r="G63" s="70"/>
      <c r="H63" s="70"/>
      <c r="I63" s="70"/>
      <c r="J63" s="553"/>
      <c r="K63" s="70"/>
      <c r="L63" s="554"/>
      <c r="M63" s="70"/>
      <c r="N63" s="70"/>
      <c r="O63" s="70"/>
      <c r="P63" s="70"/>
      <c r="Q63" s="70"/>
      <c r="R63" s="70"/>
      <c r="S63" s="70"/>
    </row>
    <row r="64" spans="2:19" x14ac:dyDescent="0.2">
      <c r="B64" s="70" t="str">
        <f>NeoGuiInfB!D4</f>
        <v>Eiwit</v>
      </c>
      <c r="C64" s="70"/>
      <c r="D64" s="554" t="str">
        <f>NeoGuiInfB!G4</f>
        <v/>
      </c>
      <c r="E64" s="70"/>
      <c r="F64" s="70"/>
      <c r="G64" s="70" t="str">
        <f>NeoGuiInfB!I4</f>
        <v>Natrium</v>
      </c>
      <c r="H64" s="70"/>
      <c r="I64" s="70" t="str">
        <f>NeoGuiInfB!L4</f>
        <v/>
      </c>
      <c r="J64" s="70"/>
      <c r="K64" s="70"/>
      <c r="L64" s="70" t="str">
        <f>NeoGuiInfB!N4</f>
        <v>Chloor</v>
      </c>
      <c r="M64" s="70"/>
      <c r="N64" s="70" t="str">
        <f>NeoGuiInfB!Q4</f>
        <v/>
      </c>
      <c r="O64" s="70"/>
      <c r="P64" s="70"/>
      <c r="Q64" s="70"/>
      <c r="R64" s="70"/>
      <c r="S64" s="70"/>
    </row>
    <row r="65" spans="2:19" x14ac:dyDescent="0.2">
      <c r="B65" s="553" t="str">
        <f>NeoGuiInfB!D5</f>
        <v>Vet</v>
      </c>
      <c r="C65" s="70"/>
      <c r="D65" s="554" t="str">
        <f>NeoGuiInfB!G5</f>
        <v/>
      </c>
      <c r="E65" s="70"/>
      <c r="F65" s="70"/>
      <c r="G65" s="70" t="str">
        <f>NeoGuiInfB!I5</f>
        <v>Kalium</v>
      </c>
      <c r="H65" s="70"/>
      <c r="I65" s="70" t="str">
        <f>NeoGuiInfB!L5</f>
        <v/>
      </c>
      <c r="J65" s="553"/>
      <c r="K65" s="70"/>
      <c r="L65" s="70" t="str">
        <f>NeoGuiInfB!N5</f>
        <v>Fosfaat</v>
      </c>
      <c r="M65" s="70"/>
      <c r="N65" s="70" t="str">
        <f>NeoGuiInfB!Q5</f>
        <v/>
      </c>
      <c r="O65" s="70"/>
      <c r="P65" s="70"/>
      <c r="Q65" s="70"/>
      <c r="R65" s="70"/>
      <c r="S65" s="70"/>
    </row>
    <row r="66" spans="2:19" x14ac:dyDescent="0.2">
      <c r="B66" s="554" t="str">
        <f>NeoGuiInfB!D6</f>
        <v>Glucose</v>
      </c>
      <c r="C66" s="70"/>
      <c r="D66" s="554" t="str">
        <f>NeoGuiInfB!G6</f>
        <v/>
      </c>
      <c r="E66" s="70"/>
      <c r="F66" s="70"/>
      <c r="G66" s="70" t="str">
        <f>NeoGuiInfB!I6</f>
        <v>Calcium</v>
      </c>
      <c r="H66" s="70"/>
      <c r="I66" s="70" t="str">
        <f>NeoGuiInfB!L6</f>
        <v/>
      </c>
      <c r="J66" s="554"/>
      <c r="K66" s="70"/>
      <c r="L66" s="70" t="str">
        <f>NeoGuiInfB!N6</f>
        <v>Vit D</v>
      </c>
      <c r="M66" s="70"/>
      <c r="N66" s="70" t="str">
        <f>NeoGuiInfB!Q6</f>
        <v/>
      </c>
      <c r="O66" s="70"/>
      <c r="P66" s="70"/>
      <c r="Q66" s="70"/>
      <c r="R66" s="70"/>
      <c r="S66" s="70"/>
    </row>
    <row r="67" spans="2:19" x14ac:dyDescent="0.2">
      <c r="B67" s="70" t="str">
        <f>NeoGuiInfB!D7</f>
        <v>Energie</v>
      </c>
      <c r="C67" s="70"/>
      <c r="D67" s="554" t="str">
        <f>NeoGuiInfB!G7</f>
        <v/>
      </c>
      <c r="E67" s="70"/>
      <c r="F67" s="70"/>
      <c r="G67" s="70" t="str">
        <f>NeoGuiInfB!I7</f>
        <v>Magnesium</v>
      </c>
      <c r="H67" s="70"/>
      <c r="I67" s="70" t="str">
        <f>NeoGuiInfB!L7</f>
        <v/>
      </c>
      <c r="J67" s="70"/>
      <c r="K67" s="70"/>
      <c r="L67" s="70" t="str">
        <f>NeoGuiInfB!N7</f>
        <v>Fe</v>
      </c>
      <c r="M67" s="70"/>
      <c r="N67" s="70" t="str">
        <f>NeoGuiInfB!Q7</f>
        <v/>
      </c>
      <c r="O67" s="70"/>
      <c r="P67" s="70"/>
      <c r="Q67" s="70"/>
      <c r="R67" s="70"/>
      <c r="S67" s="70"/>
    </row>
    <row r="69" spans="2:19" x14ac:dyDescent="0.2">
      <c r="B69" s="904" t="s">
        <v>88</v>
      </c>
      <c r="C69" s="904"/>
      <c r="D69" s="904"/>
      <c r="E69" s="904"/>
      <c r="F69" s="904"/>
      <c r="G69" s="904"/>
      <c r="H69" s="904"/>
      <c r="I69" s="904"/>
      <c r="J69" s="904"/>
      <c r="K69" s="904"/>
      <c r="L69" s="904"/>
      <c r="M69" s="904"/>
      <c r="N69" s="904"/>
      <c r="O69" s="904"/>
      <c r="P69" s="904"/>
      <c r="Q69" s="904"/>
      <c r="R69" s="904"/>
      <c r="S69" s="904"/>
    </row>
    <row r="70" spans="2:19" x14ac:dyDescent="0.2">
      <c r="B70" s="54" t="s">
        <v>293</v>
      </c>
      <c r="D70" s="54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62"/>
      <c r="S70" s="62"/>
    </row>
    <row r="71" spans="2:19" x14ac:dyDescent="0.2">
      <c r="B71" s="54" t="s">
        <v>556</v>
      </c>
      <c r="D71" s="54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62"/>
      <c r="S71" s="62"/>
    </row>
    <row r="72" spans="2:19" x14ac:dyDescent="0.2">
      <c r="B72" s="54" t="s">
        <v>557</v>
      </c>
      <c r="D72" s="54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62"/>
      <c r="S72" s="62"/>
    </row>
    <row r="73" spans="2:19" x14ac:dyDescent="0.2">
      <c r="B73" s="54" t="s">
        <v>558</v>
      </c>
      <c r="D73" s="54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62"/>
      <c r="S73" s="62"/>
    </row>
    <row r="74" spans="2:19" x14ac:dyDescent="0.2">
      <c r="B74" s="54" t="s">
        <v>108</v>
      </c>
      <c r="D74" s="54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62"/>
      <c r="S74" s="62"/>
    </row>
    <row r="75" spans="2:19" x14ac:dyDescent="0.2">
      <c r="B75" s="54" t="s">
        <v>559</v>
      </c>
      <c r="D75" s="54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62"/>
      <c r="S75" s="62"/>
    </row>
    <row r="76" spans="2:19" x14ac:dyDescent="0.2">
      <c r="B76" s="54" t="s">
        <v>563</v>
      </c>
      <c r="D76" s="54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62"/>
      <c r="S76" s="62"/>
    </row>
    <row r="77" spans="2:19" x14ac:dyDescent="0.2">
      <c r="B77" s="54" t="s">
        <v>219</v>
      </c>
      <c r="D77" s="54" t="str">
        <f>IF(_Neo_Lab_Opm=0,"",_Neo_Lab_Opm)</f>
        <v/>
      </c>
      <c r="R77" s="62"/>
      <c r="S77" s="62"/>
    </row>
    <row r="78" spans="2:19" x14ac:dyDescent="0.2">
      <c r="R78" s="62"/>
      <c r="S78" s="62"/>
    </row>
    <row r="79" spans="2:19" x14ac:dyDescent="0.2">
      <c r="R79" s="62"/>
      <c r="S79" s="62"/>
    </row>
    <row r="80" spans="2:19" x14ac:dyDescent="0.2">
      <c r="B80" s="904" t="s">
        <v>56</v>
      </c>
      <c r="C80" s="904"/>
      <c r="D80" s="904"/>
      <c r="E80" s="904"/>
      <c r="F80" s="904"/>
      <c r="G80" s="904"/>
      <c r="H80" s="904"/>
      <c r="I80" s="904"/>
      <c r="J80" s="904"/>
      <c r="K80" s="904"/>
      <c r="L80" s="904"/>
      <c r="M80" s="904"/>
      <c r="N80" s="904"/>
      <c r="O80" s="904"/>
      <c r="P80" s="904"/>
      <c r="Q80" s="904"/>
      <c r="R80" s="904"/>
      <c r="S80" s="904"/>
    </row>
    <row r="81" spans="2:19" x14ac:dyDescent="0.2">
      <c r="B81" s="54" t="s">
        <v>565</v>
      </c>
      <c r="D81" s="54" t="str">
        <f>IFERROR(LEFT(Var_Neo_AfsprControles,LEN(Var_Neo_AfsprControles)-3),"")</f>
        <v/>
      </c>
      <c r="R81" s="62"/>
      <c r="S81" s="62"/>
    </row>
    <row r="82" spans="2:19" x14ac:dyDescent="0.2">
      <c r="B82" s="54" t="s">
        <v>571</v>
      </c>
      <c r="D82" s="54" t="str">
        <f>IFERROR(LEFT(Var_Neo_AfsprOnderzoek,LEN(Var_Neo_AfsprOnderzoek)-3),"")</f>
        <v/>
      </c>
      <c r="R82" s="62"/>
      <c r="S82" s="62"/>
    </row>
    <row r="83" spans="2:19" x14ac:dyDescent="0.2">
      <c r="B83" s="54" t="s">
        <v>505</v>
      </c>
      <c r="D83" s="54" t="str">
        <f>IFERROR(LEFT(Var_Neo_AfsprKweken,LEN(Var_Neo_AfsprKweken)-3),"")</f>
        <v/>
      </c>
      <c r="R83" s="62"/>
      <c r="S83" s="62"/>
    </row>
    <row r="84" spans="2:19" x14ac:dyDescent="0.2">
      <c r="B84" s="54" t="s">
        <v>764</v>
      </c>
      <c r="D84" s="54" t="str">
        <f>IFERROR(LEFT(Var_Neo_AfsprInstellingen,LEN(Var_Neo_AfsprInstellingen)-3),"")</f>
        <v/>
      </c>
      <c r="R84" s="62"/>
      <c r="S84" s="62"/>
    </row>
    <row r="85" spans="2:19" x14ac:dyDescent="0.2">
      <c r="B85" s="54" t="s">
        <v>551</v>
      </c>
      <c r="D85" s="54" t="str">
        <f>IFERROR(LEFT(Var_Neo_AfsprOverig,LEN(Var_Neo_AfsprOverig)-3),"")</f>
        <v/>
      </c>
      <c r="R85" s="62"/>
      <c r="S85" s="62"/>
    </row>
    <row r="86" spans="2:19" x14ac:dyDescent="0.2">
      <c r="R86" s="62"/>
      <c r="S86" s="62"/>
    </row>
    <row r="87" spans="2:19" x14ac:dyDescent="0.2">
      <c r="R87" s="62"/>
      <c r="S87" s="62"/>
    </row>
    <row r="88" spans="2:19" x14ac:dyDescent="0.2">
      <c r="R88" s="62"/>
      <c r="S88" s="62"/>
    </row>
    <row r="89" spans="2:19" x14ac:dyDescent="0.2">
      <c r="R89" s="62"/>
      <c r="S89" s="62"/>
    </row>
    <row r="90" spans="2:19" x14ac:dyDescent="0.2">
      <c r="R90" s="62"/>
      <c r="S90" s="62"/>
    </row>
    <row r="91" spans="2:19" x14ac:dyDescent="0.2">
      <c r="R91" s="62"/>
      <c r="S91" s="62"/>
    </row>
    <row r="92" spans="2:19" x14ac:dyDescent="0.2">
      <c r="R92" s="62"/>
      <c r="S92" s="62"/>
    </row>
    <row r="93" spans="2:19" x14ac:dyDescent="0.2">
      <c r="R93" s="62"/>
      <c r="S93" s="62"/>
    </row>
    <row r="94" spans="2:19" x14ac:dyDescent="0.2">
      <c r="R94" s="62"/>
      <c r="S94" s="62"/>
    </row>
    <row r="95" spans="2:19" x14ac:dyDescent="0.2">
      <c r="R95" s="62"/>
      <c r="S95" s="62"/>
    </row>
    <row r="96" spans="2:19" x14ac:dyDescent="0.2">
      <c r="R96" s="62"/>
      <c r="S96" s="62"/>
    </row>
    <row r="97" spans="18:19" x14ac:dyDescent="0.2">
      <c r="R97" s="62"/>
      <c r="S97" s="62"/>
    </row>
    <row r="98" spans="18:19" x14ac:dyDescent="0.2">
      <c r="R98" s="62"/>
      <c r="S98" s="62"/>
    </row>
    <row r="99" spans="18:19" x14ac:dyDescent="0.2">
      <c r="R99" s="62"/>
      <c r="S99" s="62"/>
    </row>
    <row r="100" spans="18:19" x14ac:dyDescent="0.2">
      <c r="R100" s="62"/>
      <c r="S100" s="62"/>
    </row>
    <row r="101" spans="18:19" x14ac:dyDescent="0.2">
      <c r="R101" s="62"/>
      <c r="S101" s="62"/>
    </row>
    <row r="102" spans="18:19" x14ac:dyDescent="0.2">
      <c r="R102" s="62"/>
      <c r="S102" s="62"/>
    </row>
    <row r="103" spans="18:19" x14ac:dyDescent="0.2">
      <c r="R103" s="62"/>
      <c r="S103" s="62"/>
    </row>
    <row r="104" spans="18:19" x14ac:dyDescent="0.2">
      <c r="R104" s="62"/>
      <c r="S104" s="62"/>
    </row>
    <row r="105" spans="18:19" x14ac:dyDescent="0.2">
      <c r="R105" s="62"/>
      <c r="S105" s="62"/>
    </row>
    <row r="106" spans="18:19" x14ac:dyDescent="0.2">
      <c r="R106" s="62"/>
      <c r="S106" s="62"/>
    </row>
    <row r="107" spans="18:19" x14ac:dyDescent="0.2">
      <c r="R107" s="62"/>
      <c r="S107" s="62"/>
    </row>
    <row r="108" spans="18:19" x14ac:dyDescent="0.2">
      <c r="R108" s="62"/>
      <c r="S108" s="62"/>
    </row>
    <row r="109" spans="18:19" x14ac:dyDescent="0.2">
      <c r="R109" s="62"/>
      <c r="S109" s="62"/>
    </row>
    <row r="110" spans="18:19" x14ac:dyDescent="0.2">
      <c r="R110" s="62"/>
      <c r="S110" s="62"/>
    </row>
    <row r="111" spans="18:19" x14ac:dyDescent="0.2">
      <c r="R111" s="62"/>
      <c r="S111" s="62"/>
    </row>
    <row r="112" spans="18:19" x14ac:dyDescent="0.2">
      <c r="R112" s="62"/>
      <c r="S112" s="62"/>
    </row>
    <row r="113" spans="18:19" x14ac:dyDescent="0.2">
      <c r="R113" s="62"/>
      <c r="S113" s="62"/>
    </row>
    <row r="114" spans="18:19" x14ac:dyDescent="0.2">
      <c r="R114" s="62"/>
      <c r="S114" s="62"/>
    </row>
    <row r="115" spans="18:19" x14ac:dyDescent="0.2">
      <c r="R115" s="62"/>
      <c r="S115" s="62"/>
    </row>
    <row r="116" spans="18:19" x14ac:dyDescent="0.2">
      <c r="R116" s="62"/>
      <c r="S116" s="62"/>
    </row>
    <row r="117" spans="18:19" x14ac:dyDescent="0.2">
      <c r="R117" s="62"/>
      <c r="S117" s="62"/>
    </row>
    <row r="118" spans="18:19" x14ac:dyDescent="0.2">
      <c r="R118" s="62"/>
      <c r="S118" s="62"/>
    </row>
    <row r="119" spans="18:19" x14ac:dyDescent="0.2">
      <c r="R119" s="62"/>
      <c r="S119" s="62"/>
    </row>
    <row r="120" spans="18:19" x14ac:dyDescent="0.2">
      <c r="R120" s="62"/>
      <c r="S120" s="62"/>
    </row>
    <row r="121" spans="18:19" x14ac:dyDescent="0.2">
      <c r="R121" s="62"/>
      <c r="S121" s="62"/>
    </row>
    <row r="122" spans="18:19" x14ac:dyDescent="0.2">
      <c r="R122" s="62"/>
      <c r="S122" s="62"/>
    </row>
    <row r="123" spans="18:19" x14ac:dyDescent="0.2">
      <c r="R123" s="62"/>
      <c r="S123" s="62"/>
    </row>
    <row r="124" spans="18:19" x14ac:dyDescent="0.2">
      <c r="R124" s="62"/>
      <c r="S124" s="62"/>
    </row>
    <row r="125" spans="18:19" x14ac:dyDescent="0.2">
      <c r="R125" s="62"/>
      <c r="S125" s="62"/>
    </row>
    <row r="126" spans="18:19" x14ac:dyDescent="0.2">
      <c r="R126" s="62"/>
      <c r="S126" s="62"/>
    </row>
    <row r="127" spans="18:19" x14ac:dyDescent="0.2">
      <c r="R127" s="62"/>
      <c r="S127" s="62"/>
    </row>
    <row r="128" spans="18:19" x14ac:dyDescent="0.2">
      <c r="R128" s="62"/>
      <c r="S128" s="62"/>
    </row>
    <row r="129" spans="18:19" x14ac:dyDescent="0.2">
      <c r="R129" s="62"/>
      <c r="S129" s="62"/>
    </row>
    <row r="130" spans="18:19" x14ac:dyDescent="0.2">
      <c r="R130" s="62"/>
      <c r="S130" s="62"/>
    </row>
    <row r="131" spans="18:19" x14ac:dyDescent="0.2">
      <c r="R131" s="62"/>
      <c r="S131" s="62"/>
    </row>
    <row r="132" spans="18:19" x14ac:dyDescent="0.2">
      <c r="R132" s="62"/>
      <c r="S132" s="62"/>
    </row>
    <row r="133" spans="18:19" x14ac:dyDescent="0.2">
      <c r="R133" s="62"/>
      <c r="S133" s="62"/>
    </row>
    <row r="134" spans="18:19" x14ac:dyDescent="0.2">
      <c r="R134" s="62"/>
      <c r="S134" s="62"/>
    </row>
    <row r="135" spans="18:19" x14ac:dyDescent="0.2">
      <c r="R135" s="62"/>
      <c r="S135" s="62"/>
    </row>
    <row r="136" spans="18:19" x14ac:dyDescent="0.2">
      <c r="R136" s="62"/>
      <c r="S136" s="62"/>
    </row>
    <row r="137" spans="18:19" x14ac:dyDescent="0.2">
      <c r="R137" s="62"/>
      <c r="S137" s="62"/>
    </row>
    <row r="138" spans="18:19" x14ac:dyDescent="0.2">
      <c r="R138" s="62"/>
      <c r="S138" s="62"/>
    </row>
    <row r="139" spans="18:19" x14ac:dyDescent="0.2">
      <c r="R139" s="62"/>
      <c r="S139" s="62"/>
    </row>
    <row r="140" spans="18:19" x14ac:dyDescent="0.2">
      <c r="R140" s="62"/>
      <c r="S140" s="62"/>
    </row>
    <row r="141" spans="18:19" x14ac:dyDescent="0.2">
      <c r="R141" s="62"/>
      <c r="S141" s="62"/>
    </row>
    <row r="142" spans="18:19" x14ac:dyDescent="0.2">
      <c r="R142" s="62"/>
      <c r="S142" s="62"/>
    </row>
    <row r="143" spans="18:19" x14ac:dyDescent="0.2">
      <c r="R143" s="62"/>
      <c r="S143" s="62"/>
    </row>
    <row r="144" spans="18:19" x14ac:dyDescent="0.2">
      <c r="R144" s="62"/>
      <c r="S144" s="62"/>
    </row>
    <row r="145" spans="18:19" x14ac:dyDescent="0.2">
      <c r="R145" s="62"/>
      <c r="S145" s="62"/>
    </row>
  </sheetData>
  <mergeCells count="7">
    <mergeCell ref="B69:S69"/>
    <mergeCell ref="B80:S80"/>
    <mergeCell ref="M1:N1"/>
    <mergeCell ref="M3:N3"/>
    <mergeCell ref="M5:R5"/>
    <mergeCell ref="D9:F9"/>
    <mergeCell ref="I10:Q10"/>
  </mergeCells>
  <pageMargins left="0.7" right="0.7" top="0.75" bottom="0.75" header="0.3" footer="0.3"/>
  <pageSetup paperSize="9" scale="83" orientation="portrait" r:id="rId1"/>
  <headerFooter alignWithMargins="0">
    <oddHeader>&amp;LAfsprakenProgramma 0.22.09-beta</oddHeader>
  </headerFooter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Q61"/>
  <sheetViews>
    <sheetView view="pageBreakPreview" zoomScaleNormal="100" zoomScaleSheetLayoutView="100" workbookViewId="0">
      <selection activeCell="B43" sqref="B43"/>
    </sheetView>
  </sheetViews>
  <sheetFormatPr defaultRowHeight="12.75" x14ac:dyDescent="0.2"/>
  <cols>
    <col min="1" max="1" width="5.7109375" style="261" customWidth="1"/>
    <col min="2" max="2" width="6.140625" style="261" customWidth="1"/>
    <col min="3" max="3" width="6.85546875" style="261" customWidth="1"/>
    <col min="4" max="4" width="5.7109375" style="261" customWidth="1"/>
    <col min="5" max="5" width="7.85546875" style="261" customWidth="1"/>
    <col min="6" max="6" width="12.7109375" style="261" customWidth="1"/>
    <col min="7" max="7" width="5.7109375" style="261" customWidth="1"/>
    <col min="8" max="8" width="6.140625" style="261" customWidth="1"/>
    <col min="9" max="9" width="6.85546875" style="261" customWidth="1"/>
    <col min="10" max="10" width="5.7109375" style="261" customWidth="1"/>
    <col min="11" max="11" width="7.85546875" style="261" customWidth="1"/>
    <col min="12" max="12" width="12.7109375" style="261" customWidth="1"/>
    <col min="13" max="13" width="5.7109375" style="261" customWidth="1"/>
    <col min="14" max="14" width="6.140625" style="261" customWidth="1"/>
    <col min="15" max="15" width="6.85546875" style="261" customWidth="1"/>
    <col min="16" max="16" width="5.7109375" style="261" customWidth="1"/>
    <col min="17" max="17" width="7.85546875" style="261" customWidth="1"/>
    <col min="18" max="16384" width="9.140625" style="261"/>
  </cols>
  <sheetData>
    <row r="1" spans="1:17" x14ac:dyDescent="0.2">
      <c r="A1" s="178" t="s">
        <v>5087</v>
      </c>
      <c r="B1" s="60" t="s">
        <v>7470</v>
      </c>
      <c r="H1" s="922" t="s">
        <v>395</v>
      </c>
      <c r="I1" s="922"/>
      <c r="J1" s="926" t="str">
        <f ca="1">DateToString(TODAY())</f>
        <v>14-nov-2018</v>
      </c>
      <c r="K1" s="926"/>
      <c r="L1" s="926"/>
      <c r="M1" s="922" t="s">
        <v>7035</v>
      </c>
      <c r="N1" s="922"/>
      <c r="O1" s="922">
        <f>__1_Bed</f>
        <v>0</v>
      </c>
      <c r="P1" s="922"/>
    </row>
    <row r="2" spans="1:17" x14ac:dyDescent="0.2">
      <c r="B2" s="921" t="s">
        <v>394</v>
      </c>
      <c r="C2" s="921"/>
      <c r="D2" s="927" t="str">
        <f>__3_VoorNaam&amp;" "&amp;__2_AchterNaam</f>
        <v xml:space="preserve"> </v>
      </c>
      <c r="E2" s="927"/>
      <c r="F2" s="927"/>
      <c r="G2" s="927"/>
      <c r="H2" s="922" t="s">
        <v>398</v>
      </c>
      <c r="I2" s="922"/>
      <c r="J2" s="907" t="str">
        <f>IF(OR(_User_Type="Artsen",_User_Type="Supervisor"), _User_LastName&amp;", "&amp;_User_FirstName,"")</f>
        <v/>
      </c>
      <c r="K2" s="907"/>
      <c r="L2" s="907"/>
      <c r="M2" s="922" t="s">
        <v>396</v>
      </c>
      <c r="N2" s="922"/>
      <c r="O2" s="928">
        <f ca="1">NOW()</f>
        <v>43418.601847106482</v>
      </c>
      <c r="P2" s="928"/>
    </row>
    <row r="3" spans="1:17" x14ac:dyDescent="0.2">
      <c r="B3" s="261" t="s">
        <v>7033</v>
      </c>
      <c r="D3" s="907" t="str">
        <f>Txt_Pat_PatNo</f>
        <v/>
      </c>
      <c r="E3" s="907"/>
      <c r="H3" s="921" t="s">
        <v>7034</v>
      </c>
      <c r="I3" s="921"/>
      <c r="J3" s="60">
        <f>(_Pat_Gewicht)</f>
        <v>0</v>
      </c>
      <c r="K3" s="261" t="s">
        <v>481</v>
      </c>
      <c r="L3" s="62"/>
      <c r="M3" s="922" t="s">
        <v>411</v>
      </c>
      <c r="N3" s="922"/>
      <c r="O3" s="921"/>
      <c r="P3" s="921"/>
    </row>
    <row r="4" spans="1:17" ht="9" customHeight="1" x14ac:dyDescent="0.2">
      <c r="B4" s="690" t="e">
        <f>IF(INDEX(Tbl_Neo_BerMedCont,A5,6)/10=0,"",INDEX(Tbl_Neo_BerMedCont,A5,6))</f>
        <v>#VALUE!</v>
      </c>
      <c r="C4" s="690" t="e">
        <f>INDEX(Tbl_Neo_BerMedCont,A5,4)</f>
        <v>#VALUE!</v>
      </c>
      <c r="D4" s="690" t="e">
        <f>IF(Var_Neo_InfB_Cont_DubbeleHoev,2*INDEX(Tbl_Neo_BerMedCont,A5,3)/10,INDEX(Tbl_Neo_BerMedCont,A5,3)/10)</f>
        <v>#VALUE!</v>
      </c>
      <c r="E4" s="690" t="e">
        <f>INDEX(Tbl_Neo_BerMedCont,A5,14)</f>
        <v>#VALUE!</v>
      </c>
      <c r="G4" s="690" t="e">
        <f>OR(INDEX(Tbl_Neo_BerMedCont,A5,24)=12,IsEpiduraal(INDEX(Tbl_Neo_BerMedCont,A5,10)))</f>
        <v>#VALUE!</v>
      </c>
      <c r="H4" s="62"/>
      <c r="I4" s="62"/>
      <c r="J4" s="62"/>
      <c r="K4" s="62"/>
    </row>
    <row r="5" spans="1:17" ht="15.75" x14ac:dyDescent="0.25">
      <c r="A5" s="689">
        <f>Var_Neo_PrintApothNo</f>
        <v>0</v>
      </c>
      <c r="B5" s="667"/>
      <c r="C5" s="667"/>
      <c r="D5" s="925" t="e">
        <f>StringReplaceEPI(INDEX(Tbl_Neo_BerMedCont,A5,10))&amp;" "&amp;D4&amp;" "&amp;E4</f>
        <v>#VALUE!</v>
      </c>
      <c r="E5" s="891"/>
      <c r="F5" s="891"/>
      <c r="G5" s="891"/>
      <c r="H5" s="891"/>
      <c r="I5" s="774" t="e">
        <f>INDEX(Tbl_Neo_BerMedCont,A5,11)</f>
        <v>#VALUE!</v>
      </c>
      <c r="J5" s="774" t="e">
        <f>INDEX(Tbl_Neo_BerMedCont,A5,14)&amp;" = "</f>
        <v>#VALUE!</v>
      </c>
      <c r="K5" s="774" t="e">
        <f>INDEX(Tbl_Neo_BerMedCont,A5,12)</f>
        <v>#VALUE!</v>
      </c>
      <c r="L5" s="668" t="s">
        <v>119</v>
      </c>
      <c r="M5" s="668"/>
      <c r="N5" s="669" t="e">
        <f>IF(B4&lt;&gt;"",IF(B4&gt;0,TRUNC((K5/I5)*D4),0),"")</f>
        <v>#VALUE!</v>
      </c>
      <c r="O5" s="670" t="e">
        <f>IF(B4&lt;&gt;"",(ROUND((K5/I5)*D4,2)-N5)*100,"")</f>
        <v>#VALUE!</v>
      </c>
      <c r="P5" s="694" t="s">
        <v>119</v>
      </c>
      <c r="Q5" s="62"/>
    </row>
    <row r="6" spans="1:17" ht="15.75" x14ac:dyDescent="0.25">
      <c r="A6" s="671"/>
      <c r="B6" s="667"/>
      <c r="C6" s="667"/>
      <c r="D6" s="672" t="e">
        <f>B4/10&amp;" ml/uur"</f>
        <v>#VALUE!</v>
      </c>
      <c r="E6" s="673"/>
      <c r="F6" s="673" t="e">
        <f>INDEX(Tbl_Neo_BerMedCont,A5,7)&amp;" "&amp;INDEX(Tbl_Neo_BerMedCont,A5,18)</f>
        <v>#VALUE!</v>
      </c>
      <c r="G6" s="673"/>
      <c r="H6" s="674"/>
      <c r="I6" s="673" t="s">
        <v>405</v>
      </c>
      <c r="J6" s="675" t="e">
        <f>INDEX(Tbl_Neo_BerMedCont,A5,16)</f>
        <v>#VALUE!</v>
      </c>
      <c r="K6" s="675"/>
      <c r="L6" s="673"/>
      <c r="M6" s="673"/>
      <c r="N6" s="676" t="e">
        <f>IF(B4&lt;&gt;"",TRUNC(N7+O7/100-N5-O5/100),"")</f>
        <v>#VALUE!</v>
      </c>
      <c r="O6" s="677" t="e">
        <f>IF(B4&lt;&gt;"",(N7+O7/100-N5-O5/100-N6)*100,"")</f>
        <v>#VALUE!</v>
      </c>
      <c r="P6" s="694" t="s">
        <v>119</v>
      </c>
      <c r="Q6" s="62"/>
    </row>
    <row r="7" spans="1:17" ht="15.75" x14ac:dyDescent="0.25">
      <c r="A7" s="144"/>
      <c r="B7" s="667"/>
      <c r="C7" s="667"/>
      <c r="D7" s="720" t="s">
        <v>412</v>
      </c>
      <c r="E7" s="678"/>
      <c r="F7" s="679" t="e">
        <f>INDEX(Tbl_Neo_BerMedCont,A5,19)</f>
        <v>#VALUE!</v>
      </c>
      <c r="G7" s="678"/>
      <c r="H7" s="678"/>
      <c r="I7" s="680"/>
      <c r="J7" s="680"/>
      <c r="K7" s="693" t="s">
        <v>85</v>
      </c>
      <c r="L7" s="680"/>
      <c r="M7" s="680"/>
      <c r="N7" s="681" t="e">
        <f>IF(B4&lt;&gt;"",IF(Var_Neo_InfB_Cont_DubbeleHoev,IF(C4&lt;25,2*TRUNC(C4),TRUNC(C4)),TRUNC(C4)),"")</f>
        <v>#VALUE!</v>
      </c>
      <c r="O7" s="682" t="e">
        <f>IF(B4&lt;&gt;"",IF(Var_Neo_InfB_Cont_DubbeleHoev,IF(C4&lt;25,(2*C4-N7)*100,(C4-N7)*100),C4-N7),"")</f>
        <v>#VALUE!</v>
      </c>
      <c r="P7" s="694" t="s">
        <v>119</v>
      </c>
      <c r="Q7" s="62"/>
    </row>
    <row r="8" spans="1:17" ht="9.9499999999999993" customHeight="1" x14ac:dyDescent="0.25">
      <c r="A8" s="144"/>
      <c r="B8" s="112"/>
      <c r="C8" s="112"/>
      <c r="D8" s="111"/>
      <c r="E8" s="111"/>
      <c r="F8" s="683"/>
      <c r="G8" s="111"/>
      <c r="H8" s="111"/>
      <c r="I8" s="111"/>
      <c r="J8" s="111"/>
      <c r="K8" s="112"/>
      <c r="L8" s="111"/>
      <c r="M8" s="111"/>
      <c r="N8" s="684"/>
      <c r="O8" s="685"/>
      <c r="P8" s="62"/>
      <c r="Q8" s="62"/>
    </row>
    <row r="9" spans="1:17" ht="15.75" customHeight="1" x14ac:dyDescent="0.2">
      <c r="A9" s="686"/>
      <c r="B9" s="923" t="s">
        <v>4897</v>
      </c>
      <c r="C9" s="923"/>
      <c r="D9" s="923"/>
      <c r="E9" s="923"/>
      <c r="F9" s="923"/>
      <c r="G9" s="923"/>
      <c r="H9" s="923"/>
      <c r="I9" s="923"/>
      <c r="J9" s="924" t="s">
        <v>5088</v>
      </c>
      <c r="K9" s="924"/>
      <c r="L9" s="924"/>
      <c r="M9" s="924" t="s">
        <v>4898</v>
      </c>
      <c r="N9" s="924"/>
      <c r="O9" s="924" t="s">
        <v>4899</v>
      </c>
      <c r="P9" s="924"/>
      <c r="Q9" s="62"/>
    </row>
    <row r="10" spans="1:17" ht="15.75" customHeight="1" x14ac:dyDescent="0.2">
      <c r="A10" s="686"/>
      <c r="B10" s="920" t="e">
        <f>"Product: "&amp;INDEX(Tbl_Neo_BerMedCont,A5,20)</f>
        <v>#VALUE!</v>
      </c>
      <c r="C10" s="920"/>
      <c r="D10" s="920"/>
      <c r="E10" s="920"/>
      <c r="F10" s="920"/>
      <c r="G10" s="920"/>
      <c r="H10" s="920"/>
      <c r="I10" s="920"/>
      <c r="J10" s="920"/>
      <c r="K10" s="920"/>
      <c r="L10" s="920"/>
      <c r="M10" s="920"/>
      <c r="N10" s="920"/>
      <c r="O10" s="920"/>
      <c r="P10" s="920"/>
      <c r="Q10" s="62"/>
    </row>
    <row r="11" spans="1:17" ht="15.75" customHeight="1" x14ac:dyDescent="0.2">
      <c r="A11" s="686"/>
      <c r="B11" s="920"/>
      <c r="C11" s="920"/>
      <c r="D11" s="920"/>
      <c r="E11" s="920"/>
      <c r="F11" s="920"/>
      <c r="G11" s="920"/>
      <c r="H11" s="920"/>
      <c r="I11" s="920"/>
      <c r="J11" s="920"/>
      <c r="K11" s="920"/>
      <c r="L11" s="920"/>
      <c r="M11" s="920"/>
      <c r="N11" s="920"/>
      <c r="O11" s="920"/>
      <c r="P11" s="920"/>
      <c r="Q11" s="62"/>
    </row>
    <row r="12" spans="1:17" ht="9.9499999999999993" customHeight="1" x14ac:dyDescent="0.2">
      <c r="A12" s="686"/>
      <c r="B12" s="920"/>
      <c r="C12" s="920"/>
      <c r="D12" s="920"/>
      <c r="E12" s="920"/>
      <c r="F12" s="920"/>
      <c r="G12" s="920"/>
      <c r="H12" s="920"/>
      <c r="I12" s="920"/>
      <c r="J12" s="920"/>
      <c r="K12" s="920"/>
      <c r="L12" s="920"/>
      <c r="M12" s="920"/>
      <c r="N12" s="920"/>
      <c r="O12" s="920"/>
      <c r="P12" s="920"/>
      <c r="Q12" s="62"/>
    </row>
    <row r="13" spans="1:17" ht="15.75" customHeight="1" x14ac:dyDescent="0.2">
      <c r="A13" s="686"/>
      <c r="B13" s="920" t="str">
        <f>"Oplosmiddel: "&amp;IFERROR( VLOOKUP(J6,Tbl_Glob_ParEnt,14,FALSE),"")</f>
        <v xml:space="preserve">Oplosmiddel: </v>
      </c>
      <c r="C13" s="920"/>
      <c r="D13" s="920"/>
      <c r="E13" s="920"/>
      <c r="F13" s="920"/>
      <c r="G13" s="920"/>
      <c r="H13" s="920"/>
      <c r="I13" s="920"/>
      <c r="J13" s="920"/>
      <c r="K13" s="920"/>
      <c r="L13" s="920"/>
      <c r="M13" s="920"/>
      <c r="N13" s="920"/>
      <c r="O13" s="920"/>
      <c r="P13" s="920"/>
      <c r="Q13" s="62"/>
    </row>
    <row r="14" spans="1:17" ht="15.75" customHeight="1" x14ac:dyDescent="0.2">
      <c r="A14" s="686"/>
      <c r="B14" s="920"/>
      <c r="C14" s="920"/>
      <c r="D14" s="920"/>
      <c r="E14" s="920"/>
      <c r="F14" s="920"/>
      <c r="G14" s="920"/>
      <c r="H14" s="920"/>
      <c r="I14" s="920"/>
      <c r="J14" s="920"/>
      <c r="K14" s="920"/>
      <c r="L14" s="920"/>
      <c r="M14" s="920"/>
      <c r="N14" s="920"/>
      <c r="O14" s="920"/>
      <c r="P14" s="920"/>
      <c r="Q14" s="62"/>
    </row>
    <row r="15" spans="1:17" ht="15.75" customHeight="1" x14ac:dyDescent="0.2">
      <c r="A15" s="686"/>
      <c r="B15" s="920"/>
      <c r="C15" s="920"/>
      <c r="D15" s="920"/>
      <c r="E15" s="920"/>
      <c r="F15" s="920"/>
      <c r="G15" s="920"/>
      <c r="H15" s="920"/>
      <c r="I15" s="920"/>
      <c r="J15" s="920"/>
      <c r="K15" s="920"/>
      <c r="L15" s="920"/>
      <c r="M15" s="920"/>
      <c r="N15" s="920"/>
      <c r="O15" s="920"/>
      <c r="P15" s="920"/>
      <c r="Q15" s="62"/>
    </row>
    <row r="16" spans="1:17" ht="9.9499999999999993" customHeight="1" x14ac:dyDescent="0.2">
      <c r="A16" s="686"/>
      <c r="B16" s="555"/>
      <c r="C16" s="555"/>
      <c r="D16" s="555"/>
      <c r="E16" s="555"/>
      <c r="F16" s="555"/>
      <c r="G16" s="555"/>
      <c r="H16" s="555"/>
      <c r="I16" s="555"/>
      <c r="J16" s="555"/>
      <c r="K16" s="555"/>
      <c r="L16" s="555"/>
      <c r="M16" s="555"/>
      <c r="N16" s="555"/>
      <c r="O16" s="555"/>
      <c r="P16" s="62"/>
      <c r="Q16" s="62"/>
    </row>
    <row r="17" spans="1:17" ht="15.75" x14ac:dyDescent="0.25">
      <c r="A17" s="692" t="e">
        <f>IF(INDEX(Tbl_Neo_BerMedCont,A5,37)&lt;1,1,INDEX(Tbl_Neo_BerMedCont,A5,37))</f>
        <v>#VALUE!</v>
      </c>
      <c r="B17" s="691" t="e">
        <f>"Aantal spuiten: "&amp;A17</f>
        <v>#VALUE!</v>
      </c>
      <c r="C17" s="687"/>
      <c r="D17" s="113"/>
      <c r="E17" s="113"/>
      <c r="F17" s="757" t="e">
        <f>IF(INDEX(Tbl_Neo_BerMedCont,Var_Neo_PrintApothNo,31),"N.B. Te hoge dosering!",IF(INDEX(Tbl_Neo_BerMedCont,Var_Neo_PrintApothNo,30),"N.B. Afwijkende dosering!",""))&amp;IF(INDEX(Tbl_Neo_BerMedCont,Var_Neo_PrintApothNo,32)," N.B. Onjuiste concentratie!","")</f>
        <v>#VALUE!</v>
      </c>
      <c r="G17" s="113"/>
      <c r="H17" s="135"/>
      <c r="I17" s="113"/>
      <c r="J17" s="113"/>
      <c r="K17" s="113"/>
      <c r="L17" s="113"/>
      <c r="M17" s="113"/>
      <c r="N17" s="557"/>
      <c r="O17" s="558"/>
      <c r="P17" s="62"/>
      <c r="Q17" s="62"/>
    </row>
    <row r="18" spans="1:17" ht="15.75" x14ac:dyDescent="0.25">
      <c r="A18" s="686"/>
      <c r="B18" s="556" t="s">
        <v>4877</v>
      </c>
      <c r="C18" s="556"/>
      <c r="D18" s="113"/>
      <c r="E18" s="113"/>
      <c r="F18" s="757"/>
      <c r="G18" s="113"/>
      <c r="H18" s="135"/>
      <c r="I18" s="113"/>
      <c r="J18" s="113"/>
      <c r="K18" s="556"/>
      <c r="L18" s="113"/>
      <c r="M18" s="113"/>
      <c r="N18" s="557"/>
      <c r="O18" s="558"/>
      <c r="P18" s="62"/>
      <c r="Q18" s="62"/>
    </row>
    <row r="19" spans="1:17" ht="14.25" customHeight="1" x14ac:dyDescent="0.2">
      <c r="A19" s="686"/>
      <c r="B19" s="919" t="e">
        <f xml:space="preserve"> IF(INDEX(Tbl_Neo_BerMedCont,A5,23)="","",IF(AND(N5=0,O5&lt;10,D5&lt;&gt;"insuline"),NeoTblMedIV!B30&amp;CHAR(10)&amp;CHAR(10)&amp; INDEX(Tbl_Neo_BerMedCont,A5,23),INDEX(Tbl_Neo_BerMedCont,A5,23)))</f>
        <v>#VALUE!</v>
      </c>
      <c r="C19" s="919"/>
      <c r="D19" s="919"/>
      <c r="E19" s="919"/>
      <c r="F19" s="919"/>
      <c r="G19" s="919"/>
      <c r="H19" s="919"/>
      <c r="I19" s="919"/>
      <c r="J19" s="919"/>
      <c r="K19" s="919"/>
      <c r="L19" s="919"/>
      <c r="M19" s="919"/>
      <c r="N19" s="919"/>
      <c r="O19" s="919"/>
      <c r="P19" s="919"/>
      <c r="Q19" s="62"/>
    </row>
    <row r="20" spans="1:17" ht="9.9499999999999993" customHeight="1" x14ac:dyDescent="0.2">
      <c r="A20" s="686"/>
      <c r="B20" s="919"/>
      <c r="C20" s="919"/>
      <c r="D20" s="919"/>
      <c r="E20" s="919"/>
      <c r="F20" s="919"/>
      <c r="G20" s="919"/>
      <c r="H20" s="919"/>
      <c r="I20" s="919"/>
      <c r="J20" s="919"/>
      <c r="K20" s="919"/>
      <c r="L20" s="919"/>
      <c r="M20" s="919"/>
      <c r="N20" s="919"/>
      <c r="O20" s="919"/>
      <c r="P20" s="919"/>
      <c r="Q20" s="62"/>
    </row>
    <row r="21" spans="1:17" ht="14.25" customHeight="1" x14ac:dyDescent="0.2">
      <c r="A21" s="686"/>
      <c r="B21" s="919"/>
      <c r="C21" s="919"/>
      <c r="D21" s="919"/>
      <c r="E21" s="919"/>
      <c r="F21" s="919"/>
      <c r="G21" s="919"/>
      <c r="H21" s="919"/>
      <c r="I21" s="919"/>
      <c r="J21" s="919"/>
      <c r="K21" s="919"/>
      <c r="L21" s="919"/>
      <c r="M21" s="919"/>
      <c r="N21" s="919"/>
      <c r="O21" s="919"/>
      <c r="P21" s="919"/>
      <c r="Q21" s="62"/>
    </row>
    <row r="22" spans="1:17" ht="14.25" customHeight="1" x14ac:dyDescent="0.2">
      <c r="A22" s="686"/>
      <c r="B22" s="919"/>
      <c r="C22" s="919"/>
      <c r="D22" s="919"/>
      <c r="E22" s="919"/>
      <c r="F22" s="919"/>
      <c r="G22" s="919"/>
      <c r="H22" s="919"/>
      <c r="I22" s="919"/>
      <c r="J22" s="919"/>
      <c r="K22" s="919"/>
      <c r="L22" s="919"/>
      <c r="M22" s="919"/>
      <c r="N22" s="919"/>
      <c r="O22" s="919"/>
      <c r="P22" s="919"/>
      <c r="Q22" s="62"/>
    </row>
    <row r="23" spans="1:17" ht="14.25" customHeight="1" x14ac:dyDescent="0.2">
      <c r="A23" s="686"/>
      <c r="B23" s="919"/>
      <c r="C23" s="919"/>
      <c r="D23" s="919"/>
      <c r="E23" s="919"/>
      <c r="F23" s="919"/>
      <c r="G23" s="919"/>
      <c r="H23" s="919"/>
      <c r="I23" s="919"/>
      <c r="J23" s="919"/>
      <c r="K23" s="919"/>
      <c r="L23" s="919"/>
      <c r="M23" s="919"/>
      <c r="N23" s="919"/>
      <c r="O23" s="919"/>
      <c r="P23" s="919"/>
      <c r="Q23" s="62"/>
    </row>
    <row r="24" spans="1:17" ht="9.9499999999999993" customHeight="1" x14ac:dyDescent="0.2">
      <c r="A24" s="686"/>
      <c r="B24" s="919"/>
      <c r="C24" s="919"/>
      <c r="D24" s="919"/>
      <c r="E24" s="919"/>
      <c r="F24" s="919"/>
      <c r="G24" s="919"/>
      <c r="H24" s="919"/>
      <c r="I24" s="919"/>
      <c r="J24" s="919"/>
      <c r="K24" s="919"/>
      <c r="L24" s="919"/>
      <c r="M24" s="919"/>
      <c r="N24" s="919"/>
      <c r="O24" s="919"/>
      <c r="P24" s="919"/>
      <c r="Q24" s="62"/>
    </row>
    <row r="25" spans="1:17" ht="14.25" customHeight="1" x14ac:dyDescent="0.2">
      <c r="A25" s="686"/>
      <c r="B25" s="919"/>
      <c r="C25" s="919"/>
      <c r="D25" s="919"/>
      <c r="E25" s="919"/>
      <c r="F25" s="919"/>
      <c r="G25" s="919"/>
      <c r="H25" s="919"/>
      <c r="I25" s="919"/>
      <c r="J25" s="919"/>
      <c r="K25" s="919"/>
      <c r="L25" s="919"/>
      <c r="M25" s="919"/>
      <c r="N25" s="919"/>
      <c r="O25" s="919"/>
      <c r="P25" s="919"/>
      <c r="Q25" s="62"/>
    </row>
    <row r="26" spans="1:17" ht="14.25" customHeight="1" x14ac:dyDescent="0.2">
      <c r="A26" s="686"/>
      <c r="B26" s="919"/>
      <c r="C26" s="919"/>
      <c r="D26" s="919"/>
      <c r="E26" s="919"/>
      <c r="F26" s="919"/>
      <c r="G26" s="919"/>
      <c r="H26" s="919"/>
      <c r="I26" s="919"/>
      <c r="J26" s="919"/>
      <c r="K26" s="919"/>
      <c r="L26" s="919"/>
      <c r="M26" s="919"/>
      <c r="N26" s="919"/>
      <c r="O26" s="919"/>
      <c r="P26" s="919"/>
      <c r="Q26" s="62"/>
    </row>
    <row r="27" spans="1:17" ht="14.25" customHeight="1" x14ac:dyDescent="0.2">
      <c r="A27" s="686"/>
      <c r="B27" s="919"/>
      <c r="C27" s="919"/>
      <c r="D27" s="919"/>
      <c r="E27" s="919"/>
      <c r="F27" s="919"/>
      <c r="G27" s="919"/>
      <c r="H27" s="919"/>
      <c r="I27" s="919"/>
      <c r="J27" s="919"/>
      <c r="K27" s="919"/>
      <c r="L27" s="919"/>
      <c r="M27" s="919"/>
      <c r="N27" s="919"/>
      <c r="O27" s="919"/>
      <c r="P27" s="919"/>
      <c r="Q27" s="62"/>
    </row>
    <row r="28" spans="1:17" ht="9.9499999999999993" customHeight="1" x14ac:dyDescent="0.2">
      <c r="A28" s="686"/>
      <c r="B28" s="919"/>
      <c r="C28" s="919"/>
      <c r="D28" s="919"/>
      <c r="E28" s="919"/>
      <c r="F28" s="919"/>
      <c r="G28" s="919"/>
      <c r="H28" s="919"/>
      <c r="I28" s="919"/>
      <c r="J28" s="919"/>
      <c r="K28" s="919"/>
      <c r="L28" s="919"/>
      <c r="M28" s="919"/>
      <c r="N28" s="919"/>
      <c r="O28" s="919"/>
      <c r="P28" s="919"/>
      <c r="Q28" s="62"/>
    </row>
    <row r="29" spans="1:17" ht="14.25" customHeight="1" x14ac:dyDescent="0.2">
      <c r="A29" s="686"/>
      <c r="B29" s="919"/>
      <c r="C29" s="919"/>
      <c r="D29" s="919"/>
      <c r="E29" s="919"/>
      <c r="F29" s="919"/>
      <c r="G29" s="919"/>
      <c r="H29" s="919"/>
      <c r="I29" s="919"/>
      <c r="J29" s="919"/>
      <c r="K29" s="919"/>
      <c r="L29" s="919"/>
      <c r="M29" s="919"/>
      <c r="N29" s="919"/>
      <c r="O29" s="919"/>
      <c r="P29" s="919"/>
      <c r="Q29" s="62"/>
    </row>
    <row r="30" spans="1:17" ht="14.25" customHeight="1" x14ac:dyDescent="0.2">
      <c r="A30" s="686"/>
      <c r="B30" s="919"/>
      <c r="C30" s="919"/>
      <c r="D30" s="919"/>
      <c r="E30" s="919"/>
      <c r="F30" s="919"/>
      <c r="G30" s="919"/>
      <c r="H30" s="919"/>
      <c r="I30" s="919"/>
      <c r="J30" s="919"/>
      <c r="K30" s="919"/>
      <c r="L30" s="919"/>
      <c r="M30" s="919"/>
      <c r="N30" s="919"/>
      <c r="O30" s="919"/>
      <c r="P30" s="919"/>
      <c r="Q30" s="62"/>
    </row>
    <row r="31" spans="1:17" ht="14.25" customHeight="1" x14ac:dyDescent="0.2">
      <c r="A31" s="686"/>
      <c r="B31" s="919"/>
      <c r="C31" s="919"/>
      <c r="D31" s="919"/>
      <c r="E31" s="919"/>
      <c r="F31" s="919"/>
      <c r="G31" s="919"/>
      <c r="H31" s="919"/>
      <c r="I31" s="919"/>
      <c r="J31" s="919"/>
      <c r="K31" s="919"/>
      <c r="L31" s="919"/>
      <c r="M31" s="919"/>
      <c r="N31" s="919"/>
      <c r="O31" s="919"/>
      <c r="P31" s="919"/>
      <c r="Q31" s="62"/>
    </row>
    <row r="32" spans="1:17" ht="9.9499999999999993" customHeight="1" x14ac:dyDescent="0.2">
      <c r="A32" s="686"/>
      <c r="B32" s="919"/>
      <c r="C32" s="919"/>
      <c r="D32" s="919"/>
      <c r="E32" s="919"/>
      <c r="F32" s="919"/>
      <c r="G32" s="919"/>
      <c r="H32" s="919"/>
      <c r="I32" s="919"/>
      <c r="J32" s="919"/>
      <c r="K32" s="919"/>
      <c r="L32" s="919"/>
      <c r="M32" s="919"/>
      <c r="N32" s="919"/>
      <c r="O32" s="919"/>
      <c r="P32" s="919"/>
      <c r="Q32" s="62"/>
    </row>
    <row r="33" spans="1:17" ht="14.25" customHeight="1" x14ac:dyDescent="0.2">
      <c r="A33" s="686"/>
      <c r="B33" s="919"/>
      <c r="C33" s="919"/>
      <c r="D33" s="919"/>
      <c r="E33" s="919"/>
      <c r="F33" s="919"/>
      <c r="G33" s="919"/>
      <c r="H33" s="919"/>
      <c r="I33" s="919"/>
      <c r="J33" s="919"/>
      <c r="K33" s="919"/>
      <c r="L33" s="919"/>
      <c r="M33" s="919"/>
      <c r="N33" s="919"/>
      <c r="O33" s="919"/>
      <c r="P33" s="919"/>
      <c r="Q33" s="62"/>
    </row>
    <row r="34" spans="1:17" ht="14.25" customHeight="1" x14ac:dyDescent="0.2">
      <c r="A34" s="686"/>
      <c r="B34" s="919"/>
      <c r="C34" s="919"/>
      <c r="D34" s="919"/>
      <c r="E34" s="919"/>
      <c r="F34" s="919"/>
      <c r="G34" s="919"/>
      <c r="H34" s="919"/>
      <c r="I34" s="919"/>
      <c r="J34" s="919"/>
      <c r="K34" s="919"/>
      <c r="L34" s="919"/>
      <c r="M34" s="919"/>
      <c r="N34" s="919"/>
      <c r="O34" s="919"/>
      <c r="P34" s="919"/>
      <c r="Q34" s="62"/>
    </row>
    <row r="35" spans="1:17" ht="14.25" customHeight="1" x14ac:dyDescent="0.2">
      <c r="A35" s="686"/>
      <c r="B35" s="919"/>
      <c r="C35" s="919"/>
      <c r="D35" s="919"/>
      <c r="E35" s="919"/>
      <c r="F35" s="919"/>
      <c r="G35" s="919"/>
      <c r="H35" s="919"/>
      <c r="I35" s="919"/>
      <c r="J35" s="919"/>
      <c r="K35" s="919"/>
      <c r="L35" s="919"/>
      <c r="M35" s="919"/>
      <c r="N35" s="919"/>
      <c r="O35" s="919"/>
      <c r="P35" s="919"/>
      <c r="Q35" s="62"/>
    </row>
    <row r="36" spans="1:17" ht="9.9499999999999993" customHeight="1" x14ac:dyDescent="0.2">
      <c r="A36" s="686"/>
      <c r="B36" s="919"/>
      <c r="C36" s="919"/>
      <c r="D36" s="919"/>
      <c r="E36" s="919"/>
      <c r="F36" s="919"/>
      <c r="G36" s="919"/>
      <c r="H36" s="919"/>
      <c r="I36" s="919"/>
      <c r="J36" s="919"/>
      <c r="K36" s="919"/>
      <c r="L36" s="919"/>
      <c r="M36" s="919"/>
      <c r="N36" s="919"/>
      <c r="O36" s="919"/>
      <c r="P36" s="919"/>
      <c r="Q36" s="62"/>
    </row>
    <row r="37" spans="1:17" ht="14.25" customHeight="1" x14ac:dyDescent="0.2">
      <c r="A37" s="686"/>
      <c r="B37" s="919"/>
      <c r="C37" s="919"/>
      <c r="D37" s="919"/>
      <c r="E37" s="919"/>
      <c r="F37" s="919"/>
      <c r="G37" s="919"/>
      <c r="H37" s="919"/>
      <c r="I37" s="919"/>
      <c r="J37" s="919"/>
      <c r="K37" s="919"/>
      <c r="L37" s="919"/>
      <c r="M37" s="919"/>
      <c r="N37" s="919"/>
      <c r="O37" s="919"/>
      <c r="P37" s="919"/>
      <c r="Q37" s="62"/>
    </row>
    <row r="38" spans="1:17" ht="14.25" customHeight="1" x14ac:dyDescent="0.2">
      <c r="A38" s="686"/>
      <c r="B38" s="919"/>
      <c r="C38" s="919"/>
      <c r="D38" s="919"/>
      <c r="E38" s="919"/>
      <c r="F38" s="919"/>
      <c r="G38" s="919"/>
      <c r="H38" s="919"/>
      <c r="I38" s="919"/>
      <c r="J38" s="919"/>
      <c r="K38" s="919"/>
      <c r="L38" s="919"/>
      <c r="M38" s="919"/>
      <c r="N38" s="919"/>
      <c r="O38" s="919"/>
      <c r="P38" s="919"/>
      <c r="Q38" s="62"/>
    </row>
    <row r="39" spans="1:17" ht="14.25" customHeight="1" x14ac:dyDescent="0.2">
      <c r="A39" s="686"/>
      <c r="B39" s="919"/>
      <c r="C39" s="919"/>
      <c r="D39" s="919"/>
      <c r="E39" s="919"/>
      <c r="F39" s="919"/>
      <c r="G39" s="919"/>
      <c r="H39" s="919"/>
      <c r="I39" s="919"/>
      <c r="J39" s="919"/>
      <c r="K39" s="919"/>
      <c r="L39" s="919"/>
      <c r="M39" s="919"/>
      <c r="N39" s="919"/>
      <c r="O39" s="919"/>
      <c r="P39" s="919"/>
      <c r="Q39" s="62"/>
    </row>
    <row r="40" spans="1:17" ht="9.75" customHeight="1" x14ac:dyDescent="0.2">
      <c r="A40" s="686"/>
      <c r="B40" s="919"/>
      <c r="C40" s="919"/>
      <c r="D40" s="919"/>
      <c r="E40" s="919"/>
      <c r="F40" s="919"/>
      <c r="G40" s="919"/>
      <c r="H40" s="919"/>
      <c r="I40" s="919"/>
      <c r="J40" s="919"/>
      <c r="K40" s="919"/>
      <c r="L40" s="919"/>
      <c r="M40" s="919"/>
      <c r="N40" s="919"/>
      <c r="O40" s="919"/>
      <c r="P40" s="919"/>
      <c r="Q40" s="62"/>
    </row>
    <row r="41" spans="1:17" ht="14.25" customHeight="1" x14ac:dyDescent="0.2">
      <c r="A41" s="686"/>
      <c r="B41" s="919"/>
      <c r="C41" s="919"/>
      <c r="D41" s="919"/>
      <c r="E41" s="919"/>
      <c r="F41" s="919"/>
      <c r="G41" s="919"/>
      <c r="H41" s="919"/>
      <c r="I41" s="919"/>
      <c r="J41" s="919"/>
      <c r="K41" s="919"/>
      <c r="L41" s="919"/>
      <c r="M41" s="919"/>
      <c r="N41" s="919"/>
      <c r="O41" s="919"/>
      <c r="P41" s="919"/>
      <c r="Q41" s="62"/>
    </row>
    <row r="42" spans="1:17" ht="14.25" customHeight="1" x14ac:dyDescent="0.2">
      <c r="A42" s="686"/>
      <c r="B42" s="919"/>
      <c r="C42" s="919"/>
      <c r="D42" s="919"/>
      <c r="E42" s="919"/>
      <c r="F42" s="919"/>
      <c r="G42" s="919"/>
      <c r="H42" s="919"/>
      <c r="I42" s="919"/>
      <c r="J42" s="919"/>
      <c r="K42" s="919"/>
      <c r="L42" s="919"/>
      <c r="M42" s="919"/>
      <c r="N42" s="919"/>
      <c r="O42" s="919"/>
      <c r="P42" s="919"/>
      <c r="Q42" s="62"/>
    </row>
    <row r="43" spans="1:17" ht="193.5" customHeight="1" x14ac:dyDescent="0.2">
      <c r="A43" s="778" t="e">
        <f>INDEX(Tbl_Neo_BerMedCont,A5,21)</f>
        <v>#VALUE!</v>
      </c>
      <c r="B43" s="779" t="e">
        <f>INDEX(Tbl_Neo_BerMedCont,A5,22)</f>
        <v>#VALUE!</v>
      </c>
      <c r="C43" s="62"/>
      <c r="D43" s="68"/>
      <c r="E43" s="62"/>
      <c r="F43" s="62"/>
      <c r="G43" s="62"/>
      <c r="H43" s="145"/>
      <c r="I43" s="62"/>
      <c r="J43" s="62"/>
      <c r="K43" s="62"/>
      <c r="L43" s="62"/>
      <c r="M43" s="62"/>
      <c r="N43" s="145"/>
      <c r="O43" s="145"/>
      <c r="P43" s="62"/>
      <c r="Q43" s="62"/>
    </row>
    <row r="44" spans="1:17" x14ac:dyDescent="0.2">
      <c r="E44" s="690">
        <v>0</v>
      </c>
      <c r="K44" s="690">
        <v>0</v>
      </c>
      <c r="Q44" s="690">
        <v>1</v>
      </c>
    </row>
    <row r="45" spans="1:17" s="103" customFormat="1" ht="12" customHeight="1" x14ac:dyDescent="0.2">
      <c r="A45" s="918" t="e">
        <f ca="1">IF(E44&lt;=$A$17,TODAY(),"")</f>
        <v>#VALUE!</v>
      </c>
      <c r="B45" s="918"/>
      <c r="C45" s="916" t="e">
        <f>IF(E44&lt;=$A$17,$O$1,"")</f>
        <v>#VALUE!</v>
      </c>
      <c r="D45" s="916"/>
      <c r="E45" s="70"/>
      <c r="F45" s="70"/>
      <c r="G45" s="918" t="e">
        <f ca="1">IF(K44&lt;=$A$17,TODAY(),"")</f>
        <v>#VALUE!</v>
      </c>
      <c r="H45" s="918"/>
      <c r="I45" s="916" t="e">
        <f>IF(K44&lt;=$A$17,$O$1,"")</f>
        <v>#VALUE!</v>
      </c>
      <c r="J45" s="916"/>
      <c r="K45" s="70"/>
      <c r="L45" s="70"/>
      <c r="M45" s="918" t="e">
        <f ca="1">IF(Q44&lt;=$A$17,TODAY(),"")</f>
        <v>#VALUE!</v>
      </c>
      <c r="N45" s="918"/>
      <c r="O45" s="916" t="e">
        <f>IF(Q44&lt;=$A$17,$O$1,"")</f>
        <v>#VALUE!</v>
      </c>
      <c r="P45" s="916"/>
      <c r="Q45" s="70"/>
    </row>
    <row r="46" spans="1:17" ht="12" customHeight="1" x14ac:dyDescent="0.2">
      <c r="A46" s="917" t="e">
        <f>IF(E44&lt;=$A$17,$D$2&amp;" "&amp;__0_PatNum,"")</f>
        <v>#VALUE!</v>
      </c>
      <c r="B46" s="917"/>
      <c r="C46" s="917"/>
      <c r="D46" s="917"/>
      <c r="E46" s="917"/>
      <c r="F46" s="70"/>
      <c r="G46" s="917" t="e">
        <f>IF(K44&lt;=$A$17,$D$2&amp;" "&amp;__0_PatNum,"")</f>
        <v>#VALUE!</v>
      </c>
      <c r="H46" s="917"/>
      <c r="I46" s="917"/>
      <c r="J46" s="917"/>
      <c r="K46" s="917"/>
      <c r="L46" s="70"/>
      <c r="M46" s="917" t="e">
        <f>IF(Q44&lt;=$A$17,$D$2&amp;" "&amp;__0_PatNum,"")</f>
        <v>#VALUE!</v>
      </c>
      <c r="N46" s="917"/>
      <c r="O46" s="917"/>
      <c r="P46" s="917"/>
      <c r="Q46" s="917"/>
    </row>
    <row r="47" spans="1:17" ht="12" customHeight="1" x14ac:dyDescent="0.2">
      <c r="A47" s="914" t="e">
        <f>IF(E44&lt;=$A$17,StringReplaceEPI( INDEX(Tbl_Neo_BerMedCont,$A$5,10))&amp;" "&amp;INDEX(Tbl_Neo_BerMedCont,$A$5,3)/10&amp;" "&amp;$E$4,"")</f>
        <v>#VALUE!</v>
      </c>
      <c r="B47" s="914"/>
      <c r="C47" s="914"/>
      <c r="D47" s="914"/>
      <c r="E47" s="914"/>
      <c r="F47" s="70"/>
      <c r="G47" s="914" t="e">
        <f>IF(K44&lt;=$A$17,StringReplaceEPI( INDEX(Tbl_Neo_BerMedCont,$A$5,10))&amp;" "&amp;INDEX(Tbl_Neo_BerMedCont,$A$5,3)/10&amp;" "&amp;$E$4,"")</f>
        <v>#VALUE!</v>
      </c>
      <c r="H47" s="914"/>
      <c r="I47" s="914"/>
      <c r="J47" s="914"/>
      <c r="K47" s="914"/>
      <c r="L47" s="70"/>
      <c r="M47" s="914" t="e">
        <f>IF(Q44&lt;=$A$17,StringReplaceEPI( INDEX(Tbl_Neo_BerMedCont,$A$5,10))&amp;" "&amp;INDEX(Tbl_Neo_BerMedCont,$A$5,3)/10&amp;" "&amp;$E$4,"")</f>
        <v>#VALUE!</v>
      </c>
      <c r="N47" s="914"/>
      <c r="O47" s="914"/>
      <c r="P47" s="914"/>
      <c r="Q47" s="914"/>
    </row>
    <row r="48" spans="1:17" ht="12" customHeight="1" x14ac:dyDescent="0.2">
      <c r="A48" s="916" t="e">
        <f>IF(E44&lt;=$A$17,$I$6&amp;" "&amp;IF(Var_Neo_InfB_Cont_DubbeleHoev,($N$7+$O$7/10)/2,$N$7+$O$7/10)&amp;" ml "&amp;$J$6&amp;" "&amp;$K$6,"")</f>
        <v>#VALUE!</v>
      </c>
      <c r="B48" s="916"/>
      <c r="C48" s="916"/>
      <c r="D48" s="915" t="e">
        <f>IF(E44&lt;=$A$17,IF(Var_Neo_InfB_Cont_DubbeleHoev,"("&amp;(($N$7+$O$7/10)/2)&amp;" ml extra)",""),"")</f>
        <v>#VALUE!</v>
      </c>
      <c r="E48" s="915"/>
      <c r="F48" s="70"/>
      <c r="G48" s="916" t="e">
        <f>IF(K44&lt;=$A$17,$I$6&amp;" "&amp;IF(Var_Neo_InfB_Cont_DubbeleHoev,($N$7+$O$7/10)/2,$N$7+$O$7/10)&amp;" ml "&amp;$J$6&amp;" "&amp;$K$6,"")</f>
        <v>#VALUE!</v>
      </c>
      <c r="H48" s="916"/>
      <c r="I48" s="916"/>
      <c r="J48" s="915" t="e">
        <f>IF(K44&lt;=$A$17,IF(Var_Neo_InfB_Cont_DubbeleHoev,"("&amp;(($N$7+$O$7/10)/2)&amp;" ml extra)",""),"")</f>
        <v>#VALUE!</v>
      </c>
      <c r="K48" s="915"/>
      <c r="L48" s="70"/>
      <c r="M48" s="916" t="e">
        <f>IF(Q44&lt;=$A$17,$I$6&amp;" "&amp;IF(Var_Neo_InfB_Cont_DubbeleHoev,($N$7+$O$7/10)/2,$N$7+$O$7/10)&amp;" ml "&amp;$J$6&amp;" "&amp;$K$6,"")</f>
        <v>#VALUE!</v>
      </c>
      <c r="N48" s="916"/>
      <c r="O48" s="916"/>
      <c r="P48" s="915" t="e">
        <f>IF(Q44&lt;=$A$17,IF(Var_Neo_InfB_Cont_DubbeleHoev,"("&amp;(($N$7+$O$7/10)/2)&amp;" ml extra)",""),"")</f>
        <v>#VALUE!</v>
      </c>
      <c r="Q48" s="915"/>
    </row>
    <row r="49" spans="1:17" ht="12" customHeight="1" x14ac:dyDescent="0.2">
      <c r="A49" s="914" t="e">
        <f>IF(E44&lt;=$A$17,$D$6&amp;IF(IsEpiduraal(INDEX(Tbl_Neo_BerMedCont,$A$5,10))," EPIDURAAL","")&amp;IF(E44&lt;=$A$17," = " &amp;$F$6,""),"")</f>
        <v>#VALUE!</v>
      </c>
      <c r="B49" s="914"/>
      <c r="C49" s="913"/>
      <c r="D49" s="913"/>
      <c r="E49" s="913"/>
      <c r="F49" s="70"/>
      <c r="G49" s="914" t="e">
        <f>IF(K44&lt;=$A$17,$D$6&amp;IF(IsEpiduraal(INDEX(Tbl_Neo_BerMedCont,$A$5,10))," EPIDURAAL","")&amp;IF(K44&lt;=$A$17," = " &amp;$F$6,""),"")</f>
        <v>#VALUE!</v>
      </c>
      <c r="H49" s="914"/>
      <c r="I49" s="913"/>
      <c r="J49" s="913"/>
      <c r="K49" s="913"/>
      <c r="L49" s="70"/>
      <c r="M49" s="914" t="e">
        <f>IF(Q44&lt;=$A$17,$D$6&amp;IF(IsEpiduraal(INDEX(Tbl_Neo_BerMedCont,$A$5,10))," EPIDURAAL","")&amp;IF(Q44&lt;=$A$17," = " &amp;$F$6,""),"")</f>
        <v>#VALUE!</v>
      </c>
      <c r="N49" s="914"/>
      <c r="O49" s="913"/>
      <c r="P49" s="913"/>
      <c r="Q49" s="913"/>
    </row>
    <row r="50" spans="1:17" ht="12" customHeight="1" x14ac:dyDescent="0.2">
      <c r="A50" s="912" t="e">
        <f>IF(IsEpiduraal($D$5),"EPIDURAAL","")</f>
        <v>#VALUE!</v>
      </c>
      <c r="B50" s="913"/>
      <c r="C50" s="912" t="e">
        <f>IF(E44&lt;=$A$17,"Exp: "&amp;TEXT($O$2+$A$43,"dd-mm-jj")&amp;" 22:00 "&amp;$B$43,"")</f>
        <v>#VALUE!</v>
      </c>
      <c r="D50" s="913"/>
      <c r="E50" s="913"/>
      <c r="F50" s="70"/>
      <c r="G50" s="912" t="e">
        <f>IF(IsEpiduraal($D$5),"EPIDURAAL","")</f>
        <v>#VALUE!</v>
      </c>
      <c r="H50" s="913"/>
      <c r="I50" s="912" t="e">
        <f>IF(K44&lt;=$A$17,"Exp: "&amp;TEXT($O$2+$A$43,"dd-mm-jj")&amp;" 22:00 "&amp;$B$43,"")</f>
        <v>#VALUE!</v>
      </c>
      <c r="J50" s="913"/>
      <c r="K50" s="913"/>
      <c r="L50" s="688"/>
      <c r="M50" s="912" t="e">
        <f>IF(IsEpiduraal($D$5),"EPIDURAAL","")</f>
        <v>#VALUE!</v>
      </c>
      <c r="N50" s="913"/>
      <c r="O50" s="912" t="e">
        <f>IF(Q44&lt;=$A$17,"Exp: "&amp;TEXT($O$2+$A$43,"dd-mm-jj")&amp;" 22:00 "&amp;$B$43,"")</f>
        <v>#VALUE!</v>
      </c>
      <c r="P50" s="913"/>
      <c r="Q50" s="913"/>
    </row>
    <row r="51" spans="1:17" ht="11.1" customHeight="1" x14ac:dyDescent="0.2">
      <c r="A51" s="70"/>
      <c r="B51" s="70"/>
      <c r="C51" s="70"/>
      <c r="D51" s="70"/>
      <c r="E51" s="70"/>
      <c r="F51" s="70"/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</row>
    <row r="52" spans="1:17" ht="11.1" customHeight="1" x14ac:dyDescent="0.2">
      <c r="A52" s="70"/>
      <c r="B52" s="70"/>
      <c r="C52" s="70"/>
      <c r="D52" s="70"/>
      <c r="E52" s="70"/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</row>
    <row r="53" spans="1:17" ht="11.1" customHeight="1" x14ac:dyDescent="0.2">
      <c r="A53" s="70"/>
      <c r="B53" s="70"/>
      <c r="C53" s="70"/>
      <c r="D53" s="70"/>
      <c r="E53" s="70"/>
      <c r="F53" s="70"/>
      <c r="G53" s="70"/>
      <c r="H53" s="70"/>
      <c r="I53" s="70"/>
      <c r="J53" s="70"/>
      <c r="K53" s="70"/>
      <c r="L53" s="70"/>
      <c r="M53" s="70"/>
      <c r="N53" s="70"/>
      <c r="O53" s="70"/>
      <c r="P53" s="70"/>
      <c r="Q53" s="70"/>
    </row>
    <row r="54" spans="1:17" ht="11.1" customHeight="1" x14ac:dyDescent="0.2">
      <c r="A54" s="70"/>
      <c r="B54" s="70"/>
      <c r="C54" s="70"/>
      <c r="D54" s="70"/>
      <c r="E54" s="70"/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</row>
    <row r="55" spans="1:17" ht="36.75" customHeight="1" x14ac:dyDescent="0.2">
      <c r="A55" s="70"/>
      <c r="B55" s="70"/>
      <c r="C55" s="70"/>
      <c r="D55" s="70"/>
      <c r="E55" s="690">
        <v>2</v>
      </c>
      <c r="F55" s="70"/>
      <c r="G55" s="70"/>
      <c r="H55" s="70"/>
      <c r="I55" s="70"/>
      <c r="J55" s="70"/>
      <c r="K55" s="690">
        <v>3</v>
      </c>
      <c r="L55" s="70"/>
      <c r="M55" s="70"/>
      <c r="N55" s="70"/>
      <c r="O55" s="70"/>
      <c r="P55" s="70"/>
      <c r="Q55" s="690">
        <v>4</v>
      </c>
    </row>
    <row r="56" spans="1:17" ht="12" customHeight="1" x14ac:dyDescent="0.2">
      <c r="A56" s="918" t="e">
        <f ca="1">IF(E55&lt;=$A$17,TODAY(),"")</f>
        <v>#VALUE!</v>
      </c>
      <c r="B56" s="918"/>
      <c r="C56" s="916" t="e">
        <f>IF(E55&lt;=$A$17,$O$1,"")</f>
        <v>#VALUE!</v>
      </c>
      <c r="D56" s="916"/>
      <c r="E56" s="70"/>
      <c r="F56" s="70"/>
      <c r="G56" s="918" t="e">
        <f ca="1">IF(K55&lt;=$A$17,TODAY(),"")</f>
        <v>#VALUE!</v>
      </c>
      <c r="H56" s="918"/>
      <c r="I56" s="916" t="e">
        <f>IF(K55&lt;=$A$17,$O$1,"")</f>
        <v>#VALUE!</v>
      </c>
      <c r="J56" s="916"/>
      <c r="K56" s="70"/>
      <c r="L56" s="70"/>
      <c r="M56" s="918" t="e">
        <f ca="1">IF(Q55&lt;=$A$17,TODAY(),"")</f>
        <v>#VALUE!</v>
      </c>
      <c r="N56" s="918"/>
      <c r="O56" s="916" t="e">
        <f>IF(Q55&lt;=$A$17,$O$1,"")</f>
        <v>#VALUE!</v>
      </c>
      <c r="P56" s="916"/>
      <c r="Q56" s="70"/>
    </row>
    <row r="57" spans="1:17" ht="12" customHeight="1" x14ac:dyDescent="0.2">
      <c r="A57" s="917" t="e">
        <f>IF(E55&lt;=$A$17,$D$2&amp;" "&amp;__0_PatNum,"")</f>
        <v>#VALUE!</v>
      </c>
      <c r="B57" s="917"/>
      <c r="C57" s="917"/>
      <c r="D57" s="917"/>
      <c r="E57" s="917"/>
      <c r="F57" s="70"/>
      <c r="G57" s="917" t="e">
        <f>IF(K55&lt;=$A$17,$D$2&amp;" "&amp;__0_PatNum,"")</f>
        <v>#VALUE!</v>
      </c>
      <c r="H57" s="917"/>
      <c r="I57" s="917"/>
      <c r="J57" s="917"/>
      <c r="K57" s="917"/>
      <c r="L57" s="70"/>
      <c r="M57" s="917" t="e">
        <f>IF(Q55&lt;=$A$17,$D$2&amp;" "&amp;__0_PatNum,"")</f>
        <v>#VALUE!</v>
      </c>
      <c r="N57" s="917"/>
      <c r="O57" s="917"/>
      <c r="P57" s="917"/>
      <c r="Q57" s="917"/>
    </row>
    <row r="58" spans="1:17" ht="12" customHeight="1" x14ac:dyDescent="0.2">
      <c r="A58" s="914" t="e">
        <f>IF(E55&lt;=$A$17,StringReplaceEPI(INDEX(Tbl_Neo_BerMedCont,$A$5,10))&amp;" "&amp;INDEX(Tbl_Neo_BerMedCont,$A$5,3)/10&amp;" "&amp;$E$4,"")</f>
        <v>#VALUE!</v>
      </c>
      <c r="B58" s="914"/>
      <c r="C58" s="914"/>
      <c r="D58" s="914"/>
      <c r="E58" s="914"/>
      <c r="F58" s="70"/>
      <c r="G58" s="914" t="e">
        <f>IF(K55&lt;=$A$17,StringReplaceEPI(INDEX(Tbl_Neo_BerMedCont,$A$5,10))&amp;" "&amp;INDEX(Tbl_Neo_BerMedCont,$A$5,3)/10&amp;" "&amp;$E$4,"")</f>
        <v>#VALUE!</v>
      </c>
      <c r="H58" s="914"/>
      <c r="I58" s="914"/>
      <c r="J58" s="914"/>
      <c r="K58" s="914"/>
      <c r="L58" s="70"/>
      <c r="M58" s="914" t="e">
        <f>IF(Q55&lt;=$A$17,StringReplaceEPI(INDEX(Tbl_Neo_BerMedCont,$A$5,10))&amp;" "&amp;INDEX(Tbl_Neo_BerMedCont,$A$5,3)/10&amp;" "&amp;$E$4,"")</f>
        <v>#VALUE!</v>
      </c>
      <c r="N58" s="914"/>
      <c r="O58" s="914"/>
      <c r="P58" s="914"/>
      <c r="Q58" s="914"/>
    </row>
    <row r="59" spans="1:17" ht="12" customHeight="1" x14ac:dyDescent="0.2">
      <c r="A59" s="916" t="e">
        <f>IF(E55&lt;=$A$17,$I$6&amp;" "&amp;IF(Var_Neo_InfB_Cont_DubbeleHoev,($N$7+$O$7/10)/2,$N$7+$O$7/10)&amp;" ml "&amp;$J$6&amp;" "&amp;$K$6,"")</f>
        <v>#VALUE!</v>
      </c>
      <c r="B59" s="916"/>
      <c r="C59" s="916"/>
      <c r="D59" s="915" t="e">
        <f>IF(E55&lt;=$A$17,IF(Var_Neo_InfB_Cont_DubbeleHoev,"("&amp;(($N$7+$O$7/10)/2)&amp;" ml extra)",""),"")</f>
        <v>#VALUE!</v>
      </c>
      <c r="E59" s="915"/>
      <c r="F59" s="70"/>
      <c r="G59" s="916" t="e">
        <f>IF(K55&lt;=$A$17,$I$6&amp;" "&amp;IF(Var_Neo_InfB_Cont_DubbeleHoev,($N$7+$O$7/10)/2,$N$7+$O$7/10)&amp;" ml "&amp;$J$6&amp;" "&amp;$K$6,"")</f>
        <v>#VALUE!</v>
      </c>
      <c r="H59" s="916"/>
      <c r="I59" s="916"/>
      <c r="J59" s="915" t="e">
        <f>IF(K55&lt;=$A$17,IF(Var_Neo_InfB_Cont_DubbeleHoev,"("&amp;(($N$7+$O$7/10)/2)&amp;" ml extra)",""),"")</f>
        <v>#VALUE!</v>
      </c>
      <c r="K59" s="915"/>
      <c r="L59" s="70"/>
      <c r="M59" s="916" t="e">
        <f>IF(Q55&lt;=$A$17,$I$6&amp;" "&amp;IF(Var_Neo_InfB_Cont_DubbeleHoev,($N$7+$O$7/10)/2,$N$7+$O$7/10)&amp;" ml "&amp;$J$6&amp;" "&amp;$K$6,"")</f>
        <v>#VALUE!</v>
      </c>
      <c r="N59" s="916"/>
      <c r="O59" s="916"/>
      <c r="P59" s="915" t="e">
        <f>IF(Q55&lt;=$A$17,IF(Var_Neo_InfB_Cont_DubbeleHoev,"("&amp;(($N$7+$O$7/10)/2)&amp;" ml extra)",""),"")</f>
        <v>#VALUE!</v>
      </c>
      <c r="Q59" s="915"/>
    </row>
    <row r="60" spans="1:17" ht="12" customHeight="1" x14ac:dyDescent="0.2">
      <c r="A60" s="914" t="e">
        <f>IF(E55&lt;=$A$17,$D$6&amp;IF(IsEpiduraal(INDEX(Tbl_Neo_BerMedCont,$A$5,10))," EPIDURAAL","")&amp;IF(E55&lt;=$A$17," = " &amp;$F$6,""),"")</f>
        <v>#VALUE!</v>
      </c>
      <c r="B60" s="914"/>
      <c r="C60" s="913"/>
      <c r="D60" s="913"/>
      <c r="E60" s="913"/>
      <c r="F60" s="70"/>
      <c r="G60" s="914" t="e">
        <f>IF(K55&lt;=$A$17,$D$6&amp;IF(IsEpiduraal(INDEX(Tbl_Neo_BerMedCont,$A$5,10))," EPIDURAAL","")&amp;IF(K55&lt;=$A$17," = " &amp;$F$6,""),"")</f>
        <v>#VALUE!</v>
      </c>
      <c r="H60" s="914"/>
      <c r="I60" s="913"/>
      <c r="J60" s="913"/>
      <c r="K60" s="913"/>
      <c r="L60" s="70"/>
      <c r="M60" s="914" t="e">
        <f>IF(Q55&lt;=$A$17,$D$6&amp;IF(IsEpiduraal(INDEX(Tbl_Neo_BerMedCont,$A$5,10))," EPIDURAAL","")&amp;IF(Q55&lt;=$A$17," = " &amp;$F$6,""),"")</f>
        <v>#VALUE!</v>
      </c>
      <c r="N60" s="914"/>
      <c r="O60" s="913"/>
      <c r="P60" s="913"/>
      <c r="Q60" s="913"/>
    </row>
    <row r="61" spans="1:17" ht="12" customHeight="1" x14ac:dyDescent="0.2">
      <c r="A61" s="912" t="e">
        <f>IF(IsEpiduraal($D$5),"EPIDURAAL","")</f>
        <v>#VALUE!</v>
      </c>
      <c r="B61" s="913"/>
      <c r="C61" s="912" t="e">
        <f>IF(E55&lt;=$A$17,"Exp: "&amp;TEXT($O$2+$A$43,"dd-mm-jj")&amp;" 22:00 "&amp;$B$43,"")</f>
        <v>#VALUE!</v>
      </c>
      <c r="D61" s="913"/>
      <c r="E61" s="913"/>
      <c r="F61" s="688"/>
      <c r="G61" s="912" t="e">
        <f>IF(IsEpiduraal($D$5),"EPIDURAAL","")</f>
        <v>#VALUE!</v>
      </c>
      <c r="H61" s="913"/>
      <c r="I61" s="912" t="e">
        <f>IF(K55&lt;=$A$17,"Exp: "&amp;TEXT($O$2+$A$43,"dd-mm-jj")&amp;" 22:00 "&amp;$B$43,"")</f>
        <v>#VALUE!</v>
      </c>
      <c r="J61" s="913"/>
      <c r="K61" s="913"/>
      <c r="L61" s="688"/>
      <c r="M61" s="912" t="e">
        <f>IF(IsEpiduraal($D$5),"EPIDURAAL","")</f>
        <v>#VALUE!</v>
      </c>
      <c r="N61" s="913"/>
      <c r="O61" s="912" t="e">
        <f>IF(Q55&lt;=$A$17,"Exp: "&amp;TEXT($O$2+$A$43,"dd-mm-jj")&amp;" 22:00 "&amp;$B$43,"")</f>
        <v>#VALUE!</v>
      </c>
      <c r="P61" s="913"/>
      <c r="Q61" s="913"/>
    </row>
  </sheetData>
  <mergeCells count="82"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  <mergeCell ref="D3:E3"/>
    <mergeCell ref="H3:I3"/>
    <mergeCell ref="M3:N3"/>
    <mergeCell ref="O3:P3"/>
    <mergeCell ref="B9:I9"/>
    <mergeCell ref="J9:L9"/>
    <mergeCell ref="M9:N9"/>
    <mergeCell ref="O9:P9"/>
    <mergeCell ref="D5:H5"/>
    <mergeCell ref="B10:I12"/>
    <mergeCell ref="J10:L12"/>
    <mergeCell ref="M10:N12"/>
    <mergeCell ref="O10:P12"/>
    <mergeCell ref="B13:I15"/>
    <mergeCell ref="J13:L15"/>
    <mergeCell ref="M13:N15"/>
    <mergeCell ref="O13:P15"/>
    <mergeCell ref="B19:P42"/>
    <mergeCell ref="A45:B45"/>
    <mergeCell ref="C45:D45"/>
    <mergeCell ref="G45:H45"/>
    <mergeCell ref="I45:J45"/>
    <mergeCell ref="M45:N45"/>
    <mergeCell ref="O45:P45"/>
    <mergeCell ref="P48:Q48"/>
    <mergeCell ref="A49:E49"/>
    <mergeCell ref="G49:K49"/>
    <mergeCell ref="M49:Q49"/>
    <mergeCell ref="A46:E46"/>
    <mergeCell ref="G46:K46"/>
    <mergeCell ref="M46:Q46"/>
    <mergeCell ref="A47:E47"/>
    <mergeCell ref="G47:K47"/>
    <mergeCell ref="M47:Q47"/>
    <mergeCell ref="A48:C48"/>
    <mergeCell ref="D48:E48"/>
    <mergeCell ref="G48:I48"/>
    <mergeCell ref="J48:K48"/>
    <mergeCell ref="M48:O48"/>
    <mergeCell ref="O56:P56"/>
    <mergeCell ref="A50:B50"/>
    <mergeCell ref="G50:H50"/>
    <mergeCell ref="M50:N50"/>
    <mergeCell ref="C50:E50"/>
    <mergeCell ref="I50:K50"/>
    <mergeCell ref="O50:Q50"/>
    <mergeCell ref="A56:B56"/>
    <mergeCell ref="C56:D56"/>
    <mergeCell ref="G56:H56"/>
    <mergeCell ref="I56:J56"/>
    <mergeCell ref="M56:N56"/>
    <mergeCell ref="A57:E57"/>
    <mergeCell ref="G57:K57"/>
    <mergeCell ref="M57:Q57"/>
    <mergeCell ref="A58:E58"/>
    <mergeCell ref="G58:K58"/>
    <mergeCell ref="M58:Q58"/>
    <mergeCell ref="O61:Q61"/>
    <mergeCell ref="A60:E60"/>
    <mergeCell ref="M60:Q60"/>
    <mergeCell ref="G60:K60"/>
    <mergeCell ref="P59:Q59"/>
    <mergeCell ref="A59:C59"/>
    <mergeCell ref="D59:E59"/>
    <mergeCell ref="G59:I59"/>
    <mergeCell ref="J59:K59"/>
    <mergeCell ref="M59:O59"/>
    <mergeCell ref="M61:N61"/>
    <mergeCell ref="G61:H61"/>
    <mergeCell ref="A61:B61"/>
    <mergeCell ref="C61:E61"/>
    <mergeCell ref="I61:K61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>
    <oddHeader>&amp;LAfsprakenProgramma 0.30.03-beta</oddHeader>
  </headerFooter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view="pageBreakPreview" zoomScale="60" zoomScaleNormal="100" workbookViewId="0">
      <selection activeCell="Q25" sqref="Q25"/>
    </sheetView>
  </sheetViews>
  <sheetFormatPr defaultColWidth="9.140625" defaultRowHeight="12.75" x14ac:dyDescent="0.2"/>
  <cols>
    <col min="1" max="1" width="7.140625" style="151" customWidth="1"/>
    <col min="2" max="2" width="24.5703125" style="151" customWidth="1"/>
    <col min="3" max="3" width="9.5703125" style="151" customWidth="1"/>
    <col min="4" max="4" width="9.140625" style="151"/>
    <col min="5" max="5" width="4.28515625" style="151" customWidth="1"/>
    <col min="6" max="6" width="11.7109375" style="151" customWidth="1"/>
    <col min="7" max="22" width="2.7109375" style="502" customWidth="1"/>
    <col min="23" max="32" width="2.7109375" style="497" customWidth="1"/>
    <col min="33" max="16384" width="9.140625" style="151"/>
  </cols>
  <sheetData>
    <row r="1" spans="1:32" x14ac:dyDescent="0.2">
      <c r="G1" s="502">
        <v>27</v>
      </c>
      <c r="H1" s="502">
        <v>28</v>
      </c>
      <c r="I1" s="502">
        <v>29</v>
      </c>
      <c r="J1" s="502">
        <v>30</v>
      </c>
      <c r="K1" s="502">
        <v>31</v>
      </c>
      <c r="L1" s="502">
        <v>32</v>
      </c>
      <c r="M1" s="502">
        <v>33</v>
      </c>
      <c r="N1" s="502">
        <v>34</v>
      </c>
      <c r="O1" s="502">
        <v>35</v>
      </c>
      <c r="P1" s="502">
        <v>36</v>
      </c>
      <c r="Q1" s="502">
        <v>37</v>
      </c>
      <c r="R1" s="502">
        <v>38</v>
      </c>
      <c r="S1" s="502">
        <v>39</v>
      </c>
      <c r="T1" s="502">
        <v>40</v>
      </c>
      <c r="U1" s="502">
        <v>41</v>
      </c>
      <c r="V1" s="502">
        <v>42</v>
      </c>
      <c r="W1" s="502">
        <v>43</v>
      </c>
      <c r="X1" s="502">
        <v>44</v>
      </c>
      <c r="Y1" s="502">
        <v>45</v>
      </c>
      <c r="Z1" s="502">
        <v>46</v>
      </c>
      <c r="AA1" s="502">
        <v>47</v>
      </c>
      <c r="AB1" s="502">
        <v>48</v>
      </c>
      <c r="AC1" s="502">
        <v>49</v>
      </c>
      <c r="AD1" s="502">
        <v>50</v>
      </c>
      <c r="AE1" s="502"/>
      <c r="AF1" s="502"/>
    </row>
    <row r="2" spans="1:32" ht="19.5" customHeight="1" thickBot="1" x14ac:dyDescent="0.25">
      <c r="A2" s="179"/>
      <c r="B2" s="151" t="str">
        <f>Txt_Pat_FullName</f>
        <v/>
      </c>
      <c r="E2" s="850" t="str">
        <f ca="1">Txt_Pat_GeboorteDat</f>
        <v/>
      </c>
      <c r="F2" s="850"/>
      <c r="G2" s="209" t="str">
        <f>Txt_Pat_Gewicht</f>
        <v>Gewicht:</v>
      </c>
      <c r="H2" s="503"/>
      <c r="O2" s="503" t="s">
        <v>135</v>
      </c>
      <c r="Q2" s="929" t="str">
        <f>IF(OR(_User_Type="Artsen",_User_Type="Supervisor"), _User_LastName&amp;", "&amp;_User_FirstName,"")</f>
        <v/>
      </c>
      <c r="R2" s="929"/>
      <c r="S2" s="929"/>
      <c r="T2" s="929"/>
      <c r="U2" s="929"/>
      <c r="V2" s="929"/>
      <c r="X2" s="497" t="s">
        <v>229</v>
      </c>
      <c r="AA2" s="849">
        <f ca="1">TODAY()</f>
        <v>43418</v>
      </c>
      <c r="AB2" s="849"/>
      <c r="AC2" s="849"/>
      <c r="AD2" s="849"/>
      <c r="AE2" s="849"/>
    </row>
    <row r="3" spans="1:32" ht="26.1" customHeight="1" x14ac:dyDescent="0.2">
      <c r="B3" s="16" t="s">
        <v>254</v>
      </c>
      <c r="C3" s="17" t="s">
        <v>255</v>
      </c>
      <c r="D3" s="17"/>
      <c r="E3" s="17"/>
      <c r="F3" s="18" t="s">
        <v>235</v>
      </c>
      <c r="G3" s="504">
        <v>9</v>
      </c>
      <c r="H3" s="504">
        <v>10</v>
      </c>
      <c r="I3" s="504">
        <v>11</v>
      </c>
      <c r="J3" s="504">
        <v>12</v>
      </c>
      <c r="K3" s="504">
        <v>13</v>
      </c>
      <c r="L3" s="504">
        <v>14</v>
      </c>
      <c r="M3" s="504">
        <v>15</v>
      </c>
      <c r="N3" s="504">
        <v>16</v>
      </c>
      <c r="O3" s="504">
        <v>17</v>
      </c>
      <c r="P3" s="504">
        <v>18</v>
      </c>
      <c r="Q3" s="505">
        <v>19</v>
      </c>
      <c r="R3" s="505">
        <v>20</v>
      </c>
      <c r="S3" s="505">
        <v>21</v>
      </c>
      <c r="T3" s="505">
        <v>22</v>
      </c>
      <c r="U3" s="505">
        <v>23</v>
      </c>
      <c r="V3" s="505">
        <v>24</v>
      </c>
      <c r="W3" s="504">
        <v>1</v>
      </c>
      <c r="X3" s="504">
        <v>2</v>
      </c>
      <c r="Y3" s="504">
        <v>3</v>
      </c>
      <c r="Z3" s="504">
        <v>4</v>
      </c>
      <c r="AA3" s="504">
        <v>5</v>
      </c>
      <c r="AB3" s="504">
        <v>6</v>
      </c>
      <c r="AC3" s="504">
        <v>7</v>
      </c>
      <c r="AD3" s="508">
        <v>8</v>
      </c>
      <c r="AE3" s="508"/>
      <c r="AF3" s="508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AD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si="1"/>
        <v/>
      </c>
      <c r="AB4" s="499" t="str">
        <f t="shared" si="1"/>
        <v/>
      </c>
      <c r="AC4" s="507" t="str">
        <f t="shared" si="1"/>
        <v/>
      </c>
      <c r="AD4" s="499" t="str">
        <f t="shared" si="1"/>
        <v/>
      </c>
      <c r="AE4" s="507"/>
      <c r="AF4" s="499"/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1"/>
        <v/>
      </c>
      <c r="AB5" s="499" t="str">
        <f t="shared" si="1"/>
        <v/>
      </c>
      <c r="AC5" s="507" t="str">
        <f t="shared" si="1"/>
        <v/>
      </c>
      <c r="AD5" s="499" t="str">
        <f t="shared" si="1"/>
        <v/>
      </c>
      <c r="AE5" s="507"/>
      <c r="AF5" s="499"/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1"/>
        <v/>
      </c>
      <c r="AB6" s="499" t="str">
        <f t="shared" si="1"/>
        <v/>
      </c>
      <c r="AC6" s="507" t="str">
        <f t="shared" si="1"/>
        <v/>
      </c>
      <c r="AD6" s="499" t="str">
        <f t="shared" si="1"/>
        <v/>
      </c>
      <c r="AE6" s="507"/>
      <c r="AF6" s="499"/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1"/>
        <v/>
      </c>
      <c r="AB7" s="499" t="str">
        <f t="shared" si="1"/>
        <v/>
      </c>
      <c r="AC7" s="507" t="str">
        <f t="shared" si="1"/>
        <v/>
      </c>
      <c r="AD7" s="499" t="str">
        <f t="shared" si="1"/>
        <v/>
      </c>
      <c r="AE7" s="507"/>
      <c r="AF7" s="499"/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1"/>
        <v/>
      </c>
      <c r="AB8" s="499" t="str">
        <f t="shared" si="1"/>
        <v/>
      </c>
      <c r="AC8" s="507" t="str">
        <f t="shared" si="1"/>
        <v/>
      </c>
      <c r="AD8" s="499" t="str">
        <f t="shared" si="1"/>
        <v/>
      </c>
      <c r="AE8" s="507"/>
      <c r="AF8" s="499"/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1"/>
        <v/>
      </c>
      <c r="AB9" s="499" t="str">
        <f t="shared" si="1"/>
        <v/>
      </c>
      <c r="AC9" s="507" t="str">
        <f t="shared" si="1"/>
        <v/>
      </c>
      <c r="AD9" s="499" t="str">
        <f t="shared" si="1"/>
        <v/>
      </c>
      <c r="AE9" s="507"/>
      <c r="AF9" s="499"/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1"/>
        <v/>
      </c>
      <c r="AB10" s="499" t="str">
        <f t="shared" si="1"/>
        <v/>
      </c>
      <c r="AC10" s="507" t="str">
        <f t="shared" si="1"/>
        <v/>
      </c>
      <c r="AD10" s="499" t="str">
        <f t="shared" si="1"/>
        <v/>
      </c>
      <c r="AE10" s="507"/>
      <c r="AF10" s="499"/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1"/>
        <v/>
      </c>
      <c r="AB11" s="499" t="str">
        <f t="shared" si="1"/>
        <v/>
      </c>
      <c r="AC11" s="507" t="str">
        <f t="shared" si="1"/>
        <v/>
      </c>
      <c r="AD11" s="499" t="str">
        <f t="shared" si="1"/>
        <v/>
      </c>
      <c r="AE11" s="507"/>
      <c r="AF11" s="499"/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1"/>
        <v/>
      </c>
      <c r="AB12" s="499" t="str">
        <f t="shared" si="1"/>
        <v/>
      </c>
      <c r="AC12" s="507" t="str">
        <f t="shared" si="1"/>
        <v/>
      </c>
      <c r="AD12" s="499" t="str">
        <f t="shared" si="1"/>
        <v/>
      </c>
      <c r="AE12" s="507"/>
      <c r="AF12" s="499"/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1"/>
        <v/>
      </c>
      <c r="AB13" s="499" t="str">
        <f t="shared" si="1"/>
        <v/>
      </c>
      <c r="AC13" s="507" t="str">
        <f t="shared" si="1"/>
        <v/>
      </c>
      <c r="AD13" s="499" t="str">
        <f t="shared" si="1"/>
        <v/>
      </c>
      <c r="AE13" s="507"/>
      <c r="AF13" s="499"/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2">IF($C14="","",IF(VLOOKUP($C14,Tbl_Glob_MedFreq,G$1,FALSE)=0,"",VLOOKUP($C14,Tbl_Glob_MedFreq,G$1,FALSE)))</f>
        <v/>
      </c>
      <c r="H14" s="499" t="str">
        <f t="shared" si="2"/>
        <v/>
      </c>
      <c r="I14" s="507" t="str">
        <f t="shared" si="2"/>
        <v/>
      </c>
      <c r="J14" s="499" t="str">
        <f t="shared" si="2"/>
        <v/>
      </c>
      <c r="K14" s="507" t="str">
        <f t="shared" si="2"/>
        <v/>
      </c>
      <c r="L14" s="499" t="str">
        <f t="shared" si="2"/>
        <v/>
      </c>
      <c r="M14" s="507" t="str">
        <f t="shared" si="2"/>
        <v/>
      </c>
      <c r="N14" s="499" t="str">
        <f t="shared" si="2"/>
        <v/>
      </c>
      <c r="O14" s="507" t="str">
        <f t="shared" si="2"/>
        <v/>
      </c>
      <c r="P14" s="499" t="str">
        <f t="shared" si="2"/>
        <v/>
      </c>
      <c r="Q14" s="507" t="str">
        <f t="shared" ref="Q14:AD24" si="3">IF($C14="","",IF(VLOOKUP($C14,Tbl_Glob_MedFreq,Q$1,FALSE)=0,"",VLOOKUP($C14,Tbl_Glob_MedFreq,Q$1,FALSE)))</f>
        <v/>
      </c>
      <c r="R14" s="499" t="str">
        <f t="shared" si="3"/>
        <v/>
      </c>
      <c r="S14" s="507" t="str">
        <f t="shared" si="3"/>
        <v/>
      </c>
      <c r="T14" s="499" t="str">
        <f t="shared" si="3"/>
        <v/>
      </c>
      <c r="U14" s="507" t="str">
        <f t="shared" si="3"/>
        <v/>
      </c>
      <c r="V14" s="499" t="str">
        <f t="shared" si="3"/>
        <v/>
      </c>
      <c r="W14" s="507" t="str">
        <f t="shared" si="3"/>
        <v/>
      </c>
      <c r="X14" s="499" t="str">
        <f t="shared" si="3"/>
        <v/>
      </c>
      <c r="Y14" s="507" t="str">
        <f t="shared" si="3"/>
        <v/>
      </c>
      <c r="Z14" s="499" t="str">
        <f t="shared" si="3"/>
        <v/>
      </c>
      <c r="AA14" s="507" t="str">
        <f t="shared" si="3"/>
        <v/>
      </c>
      <c r="AB14" s="499" t="str">
        <f t="shared" si="3"/>
        <v/>
      </c>
      <c r="AC14" s="507" t="str">
        <f t="shared" si="3"/>
        <v/>
      </c>
      <c r="AD14" s="499" t="str">
        <f t="shared" si="3"/>
        <v/>
      </c>
      <c r="AE14" s="507"/>
      <c r="AF14" s="499"/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2"/>
        <v/>
      </c>
      <c r="H15" s="499" t="str">
        <f t="shared" si="2"/>
        <v/>
      </c>
      <c r="I15" s="507" t="str">
        <f t="shared" si="2"/>
        <v/>
      </c>
      <c r="J15" s="499" t="str">
        <f t="shared" si="2"/>
        <v/>
      </c>
      <c r="K15" s="507" t="str">
        <f t="shared" si="2"/>
        <v/>
      </c>
      <c r="L15" s="499" t="str">
        <f t="shared" si="2"/>
        <v/>
      </c>
      <c r="M15" s="507" t="str">
        <f t="shared" si="2"/>
        <v/>
      </c>
      <c r="N15" s="499" t="str">
        <f t="shared" si="2"/>
        <v/>
      </c>
      <c r="O15" s="507" t="str">
        <f t="shared" si="2"/>
        <v/>
      </c>
      <c r="P15" s="499" t="str">
        <f t="shared" si="2"/>
        <v/>
      </c>
      <c r="Q15" s="507" t="str">
        <f t="shared" si="3"/>
        <v/>
      </c>
      <c r="R15" s="499" t="str">
        <f t="shared" si="3"/>
        <v/>
      </c>
      <c r="S15" s="507" t="str">
        <f t="shared" si="3"/>
        <v/>
      </c>
      <c r="T15" s="499" t="str">
        <f t="shared" si="3"/>
        <v/>
      </c>
      <c r="U15" s="507" t="str">
        <f t="shared" si="3"/>
        <v/>
      </c>
      <c r="V15" s="499" t="str">
        <f t="shared" si="3"/>
        <v/>
      </c>
      <c r="W15" s="507" t="str">
        <f t="shared" si="3"/>
        <v/>
      </c>
      <c r="X15" s="499" t="str">
        <f t="shared" si="3"/>
        <v/>
      </c>
      <c r="Y15" s="507" t="str">
        <f t="shared" si="3"/>
        <v/>
      </c>
      <c r="Z15" s="499" t="str">
        <f t="shared" si="3"/>
        <v/>
      </c>
      <c r="AA15" s="507" t="str">
        <f t="shared" si="3"/>
        <v/>
      </c>
      <c r="AB15" s="499" t="str">
        <f t="shared" si="3"/>
        <v/>
      </c>
      <c r="AC15" s="507" t="str">
        <f t="shared" si="3"/>
        <v/>
      </c>
      <c r="AD15" s="499" t="str">
        <f t="shared" si="3"/>
        <v/>
      </c>
      <c r="AE15" s="507"/>
      <c r="AF15" s="499"/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2"/>
        <v/>
      </c>
      <c r="H16" s="499" t="str">
        <f t="shared" si="2"/>
        <v/>
      </c>
      <c r="I16" s="507" t="str">
        <f t="shared" si="2"/>
        <v/>
      </c>
      <c r="J16" s="499" t="str">
        <f t="shared" si="2"/>
        <v/>
      </c>
      <c r="K16" s="507" t="str">
        <f t="shared" si="2"/>
        <v/>
      </c>
      <c r="L16" s="499" t="str">
        <f t="shared" si="2"/>
        <v/>
      </c>
      <c r="M16" s="507" t="str">
        <f t="shared" si="2"/>
        <v/>
      </c>
      <c r="N16" s="499" t="str">
        <f t="shared" si="2"/>
        <v/>
      </c>
      <c r="O16" s="507" t="str">
        <f t="shared" si="2"/>
        <v/>
      </c>
      <c r="P16" s="499" t="str">
        <f t="shared" si="2"/>
        <v/>
      </c>
      <c r="Q16" s="507" t="str">
        <f t="shared" si="3"/>
        <v/>
      </c>
      <c r="R16" s="499" t="str">
        <f t="shared" si="3"/>
        <v/>
      </c>
      <c r="S16" s="507" t="str">
        <f t="shared" si="3"/>
        <v/>
      </c>
      <c r="T16" s="499" t="str">
        <f t="shared" si="3"/>
        <v/>
      </c>
      <c r="U16" s="507" t="str">
        <f t="shared" si="3"/>
        <v/>
      </c>
      <c r="V16" s="499" t="str">
        <f t="shared" si="3"/>
        <v/>
      </c>
      <c r="W16" s="507" t="str">
        <f t="shared" si="3"/>
        <v/>
      </c>
      <c r="X16" s="499" t="str">
        <f t="shared" si="3"/>
        <v/>
      </c>
      <c r="Y16" s="507" t="str">
        <f t="shared" si="3"/>
        <v/>
      </c>
      <c r="Z16" s="499" t="str">
        <f t="shared" si="3"/>
        <v/>
      </c>
      <c r="AA16" s="507" t="str">
        <f t="shared" si="3"/>
        <v/>
      </c>
      <c r="AB16" s="499" t="str">
        <f t="shared" si="3"/>
        <v/>
      </c>
      <c r="AC16" s="507" t="str">
        <f t="shared" si="3"/>
        <v/>
      </c>
      <c r="AD16" s="499" t="str">
        <f t="shared" si="3"/>
        <v/>
      </c>
      <c r="AE16" s="507"/>
      <c r="AF16" s="499"/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2"/>
        <v/>
      </c>
      <c r="H17" s="499" t="str">
        <f t="shared" si="2"/>
        <v/>
      </c>
      <c r="I17" s="507" t="str">
        <f t="shared" si="2"/>
        <v/>
      </c>
      <c r="J17" s="499" t="str">
        <f t="shared" si="2"/>
        <v/>
      </c>
      <c r="K17" s="507" t="str">
        <f t="shared" si="2"/>
        <v/>
      </c>
      <c r="L17" s="499" t="str">
        <f t="shared" si="2"/>
        <v/>
      </c>
      <c r="M17" s="507" t="str">
        <f t="shared" si="2"/>
        <v/>
      </c>
      <c r="N17" s="499" t="str">
        <f t="shared" si="2"/>
        <v/>
      </c>
      <c r="O17" s="507" t="str">
        <f t="shared" si="2"/>
        <v/>
      </c>
      <c r="P17" s="499" t="str">
        <f t="shared" si="2"/>
        <v/>
      </c>
      <c r="Q17" s="507" t="str">
        <f t="shared" si="3"/>
        <v/>
      </c>
      <c r="R17" s="499" t="str">
        <f t="shared" si="3"/>
        <v/>
      </c>
      <c r="S17" s="507" t="str">
        <f t="shared" si="3"/>
        <v/>
      </c>
      <c r="T17" s="499" t="str">
        <f t="shared" si="3"/>
        <v/>
      </c>
      <c r="U17" s="507" t="str">
        <f t="shared" si="3"/>
        <v/>
      </c>
      <c r="V17" s="499" t="str">
        <f t="shared" si="3"/>
        <v/>
      </c>
      <c r="W17" s="507" t="str">
        <f t="shared" si="3"/>
        <v/>
      </c>
      <c r="X17" s="499" t="str">
        <f t="shared" si="3"/>
        <v/>
      </c>
      <c r="Y17" s="507" t="str">
        <f t="shared" si="3"/>
        <v/>
      </c>
      <c r="Z17" s="499" t="str">
        <f t="shared" si="3"/>
        <v/>
      </c>
      <c r="AA17" s="507" t="str">
        <f t="shared" si="3"/>
        <v/>
      </c>
      <c r="AB17" s="499" t="str">
        <f t="shared" si="3"/>
        <v/>
      </c>
      <c r="AC17" s="507" t="str">
        <f t="shared" si="3"/>
        <v/>
      </c>
      <c r="AD17" s="499" t="str">
        <f t="shared" si="3"/>
        <v/>
      </c>
      <c r="AE17" s="507"/>
      <c r="AF17" s="499"/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2"/>
        <v/>
      </c>
      <c r="H18" s="499" t="str">
        <f t="shared" si="2"/>
        <v/>
      </c>
      <c r="I18" s="507" t="str">
        <f t="shared" si="2"/>
        <v/>
      </c>
      <c r="J18" s="499" t="str">
        <f t="shared" si="2"/>
        <v/>
      </c>
      <c r="K18" s="507" t="str">
        <f t="shared" si="2"/>
        <v/>
      </c>
      <c r="L18" s="499" t="str">
        <f t="shared" si="2"/>
        <v/>
      </c>
      <c r="M18" s="507" t="str">
        <f t="shared" si="2"/>
        <v/>
      </c>
      <c r="N18" s="499" t="str">
        <f t="shared" si="2"/>
        <v/>
      </c>
      <c r="O18" s="507" t="str">
        <f t="shared" si="2"/>
        <v/>
      </c>
      <c r="P18" s="499" t="str">
        <f t="shared" si="2"/>
        <v/>
      </c>
      <c r="Q18" s="507" t="str">
        <f t="shared" si="3"/>
        <v/>
      </c>
      <c r="R18" s="499" t="str">
        <f t="shared" si="3"/>
        <v/>
      </c>
      <c r="S18" s="507" t="str">
        <f t="shared" si="3"/>
        <v/>
      </c>
      <c r="T18" s="499" t="str">
        <f t="shared" si="3"/>
        <v/>
      </c>
      <c r="U18" s="507" t="str">
        <f t="shared" si="3"/>
        <v/>
      </c>
      <c r="V18" s="499" t="str">
        <f t="shared" si="3"/>
        <v/>
      </c>
      <c r="W18" s="507" t="str">
        <f t="shared" si="3"/>
        <v/>
      </c>
      <c r="X18" s="499" t="str">
        <f t="shared" si="3"/>
        <v/>
      </c>
      <c r="Y18" s="507" t="str">
        <f t="shared" si="3"/>
        <v/>
      </c>
      <c r="Z18" s="499" t="str">
        <f t="shared" si="3"/>
        <v/>
      </c>
      <c r="AA18" s="507" t="str">
        <f t="shared" si="3"/>
        <v/>
      </c>
      <c r="AB18" s="499" t="str">
        <f t="shared" si="3"/>
        <v/>
      </c>
      <c r="AC18" s="507" t="str">
        <f t="shared" si="3"/>
        <v/>
      </c>
      <c r="AD18" s="499" t="str">
        <f t="shared" si="3"/>
        <v/>
      </c>
      <c r="AE18" s="507"/>
      <c r="AF18" s="499"/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2"/>
        <v/>
      </c>
      <c r="H19" s="499" t="str">
        <f t="shared" si="2"/>
        <v/>
      </c>
      <c r="I19" s="507" t="str">
        <f t="shared" si="2"/>
        <v/>
      </c>
      <c r="J19" s="499" t="str">
        <f t="shared" si="2"/>
        <v/>
      </c>
      <c r="K19" s="507" t="str">
        <f t="shared" si="2"/>
        <v/>
      </c>
      <c r="L19" s="499" t="str">
        <f t="shared" si="2"/>
        <v/>
      </c>
      <c r="M19" s="507" t="str">
        <f t="shared" si="2"/>
        <v/>
      </c>
      <c r="N19" s="499" t="str">
        <f t="shared" si="2"/>
        <v/>
      </c>
      <c r="O19" s="507" t="str">
        <f t="shared" si="2"/>
        <v/>
      </c>
      <c r="P19" s="499" t="str">
        <f t="shared" si="2"/>
        <v/>
      </c>
      <c r="Q19" s="507" t="str">
        <f t="shared" si="3"/>
        <v/>
      </c>
      <c r="R19" s="499" t="str">
        <f t="shared" si="3"/>
        <v/>
      </c>
      <c r="S19" s="507" t="str">
        <f t="shared" si="3"/>
        <v/>
      </c>
      <c r="T19" s="499" t="str">
        <f t="shared" si="3"/>
        <v/>
      </c>
      <c r="U19" s="507" t="str">
        <f t="shared" si="3"/>
        <v/>
      </c>
      <c r="V19" s="499" t="str">
        <f t="shared" si="3"/>
        <v/>
      </c>
      <c r="W19" s="507" t="str">
        <f t="shared" si="3"/>
        <v/>
      </c>
      <c r="X19" s="499" t="str">
        <f t="shared" si="3"/>
        <v/>
      </c>
      <c r="Y19" s="507" t="str">
        <f t="shared" si="3"/>
        <v/>
      </c>
      <c r="Z19" s="499" t="str">
        <f t="shared" si="3"/>
        <v/>
      </c>
      <c r="AA19" s="507" t="str">
        <f t="shared" si="3"/>
        <v/>
      </c>
      <c r="AB19" s="499" t="str">
        <f t="shared" si="3"/>
        <v/>
      </c>
      <c r="AC19" s="507" t="str">
        <f t="shared" si="3"/>
        <v/>
      </c>
      <c r="AD19" s="499" t="str">
        <f t="shared" si="3"/>
        <v/>
      </c>
      <c r="AE19" s="507"/>
      <c r="AF19" s="499"/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2"/>
        <v/>
      </c>
      <c r="H20" s="499" t="str">
        <f t="shared" si="2"/>
        <v/>
      </c>
      <c r="I20" s="507" t="str">
        <f t="shared" si="2"/>
        <v/>
      </c>
      <c r="J20" s="499" t="str">
        <f t="shared" si="2"/>
        <v/>
      </c>
      <c r="K20" s="507" t="str">
        <f t="shared" si="2"/>
        <v/>
      </c>
      <c r="L20" s="499" t="str">
        <f t="shared" si="2"/>
        <v/>
      </c>
      <c r="M20" s="507" t="str">
        <f t="shared" si="2"/>
        <v/>
      </c>
      <c r="N20" s="499" t="str">
        <f t="shared" si="2"/>
        <v/>
      </c>
      <c r="O20" s="507" t="str">
        <f t="shared" si="2"/>
        <v/>
      </c>
      <c r="P20" s="499" t="str">
        <f t="shared" si="2"/>
        <v/>
      </c>
      <c r="Q20" s="507" t="str">
        <f t="shared" si="3"/>
        <v/>
      </c>
      <c r="R20" s="499" t="str">
        <f t="shared" si="3"/>
        <v/>
      </c>
      <c r="S20" s="507" t="str">
        <f t="shared" si="3"/>
        <v/>
      </c>
      <c r="T20" s="499" t="str">
        <f t="shared" si="3"/>
        <v/>
      </c>
      <c r="U20" s="507" t="str">
        <f t="shared" si="3"/>
        <v/>
      </c>
      <c r="V20" s="499" t="str">
        <f t="shared" si="3"/>
        <v/>
      </c>
      <c r="W20" s="507" t="str">
        <f t="shared" si="3"/>
        <v/>
      </c>
      <c r="X20" s="499" t="str">
        <f t="shared" si="3"/>
        <v/>
      </c>
      <c r="Y20" s="507" t="str">
        <f t="shared" si="3"/>
        <v/>
      </c>
      <c r="Z20" s="499" t="str">
        <f t="shared" si="3"/>
        <v/>
      </c>
      <c r="AA20" s="507" t="str">
        <f t="shared" si="3"/>
        <v/>
      </c>
      <c r="AB20" s="499" t="str">
        <f t="shared" si="3"/>
        <v/>
      </c>
      <c r="AC20" s="507" t="str">
        <f t="shared" si="3"/>
        <v/>
      </c>
      <c r="AD20" s="499" t="str">
        <f t="shared" si="3"/>
        <v/>
      </c>
      <c r="AE20" s="507"/>
      <c r="AF20" s="499"/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2"/>
        <v/>
      </c>
      <c r="H21" s="499" t="str">
        <f t="shared" si="2"/>
        <v/>
      </c>
      <c r="I21" s="507" t="str">
        <f t="shared" si="2"/>
        <v/>
      </c>
      <c r="J21" s="499" t="str">
        <f t="shared" si="2"/>
        <v/>
      </c>
      <c r="K21" s="507" t="str">
        <f t="shared" si="2"/>
        <v/>
      </c>
      <c r="L21" s="499" t="str">
        <f t="shared" si="2"/>
        <v/>
      </c>
      <c r="M21" s="507" t="str">
        <f t="shared" si="2"/>
        <v/>
      </c>
      <c r="N21" s="499" t="str">
        <f t="shared" si="2"/>
        <v/>
      </c>
      <c r="O21" s="507" t="str">
        <f t="shared" si="2"/>
        <v/>
      </c>
      <c r="P21" s="499" t="str">
        <f t="shared" si="2"/>
        <v/>
      </c>
      <c r="Q21" s="507" t="str">
        <f t="shared" si="3"/>
        <v/>
      </c>
      <c r="R21" s="499" t="str">
        <f t="shared" si="3"/>
        <v/>
      </c>
      <c r="S21" s="507" t="str">
        <f t="shared" si="3"/>
        <v/>
      </c>
      <c r="T21" s="499" t="str">
        <f t="shared" si="3"/>
        <v/>
      </c>
      <c r="U21" s="507" t="str">
        <f t="shared" si="3"/>
        <v/>
      </c>
      <c r="V21" s="499" t="str">
        <f t="shared" si="3"/>
        <v/>
      </c>
      <c r="W21" s="507" t="str">
        <f t="shared" si="3"/>
        <v/>
      </c>
      <c r="X21" s="499" t="str">
        <f t="shared" si="3"/>
        <v/>
      </c>
      <c r="Y21" s="507" t="str">
        <f t="shared" si="3"/>
        <v/>
      </c>
      <c r="Z21" s="499" t="str">
        <f t="shared" si="3"/>
        <v/>
      </c>
      <c r="AA21" s="507" t="str">
        <f t="shared" si="3"/>
        <v/>
      </c>
      <c r="AB21" s="499" t="str">
        <f t="shared" si="3"/>
        <v/>
      </c>
      <c r="AC21" s="507" t="str">
        <f t="shared" si="3"/>
        <v/>
      </c>
      <c r="AD21" s="499" t="str">
        <f t="shared" si="3"/>
        <v/>
      </c>
      <c r="AE21" s="507"/>
      <c r="AF21" s="499"/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2"/>
        <v/>
      </c>
      <c r="H22" s="499" t="str">
        <f t="shared" si="2"/>
        <v/>
      </c>
      <c r="I22" s="507" t="str">
        <f t="shared" si="2"/>
        <v/>
      </c>
      <c r="J22" s="499" t="str">
        <f t="shared" si="2"/>
        <v/>
      </c>
      <c r="K22" s="507" t="str">
        <f t="shared" si="2"/>
        <v/>
      </c>
      <c r="L22" s="499" t="str">
        <f t="shared" si="2"/>
        <v/>
      </c>
      <c r="M22" s="507" t="str">
        <f t="shared" si="2"/>
        <v/>
      </c>
      <c r="N22" s="499" t="str">
        <f t="shared" si="2"/>
        <v/>
      </c>
      <c r="O22" s="507" t="str">
        <f t="shared" si="2"/>
        <v/>
      </c>
      <c r="P22" s="499" t="str">
        <f t="shared" si="2"/>
        <v/>
      </c>
      <c r="Q22" s="507" t="str">
        <f t="shared" si="3"/>
        <v/>
      </c>
      <c r="R22" s="499" t="str">
        <f t="shared" si="3"/>
        <v/>
      </c>
      <c r="S22" s="507" t="str">
        <f t="shared" si="3"/>
        <v/>
      </c>
      <c r="T22" s="499" t="str">
        <f t="shared" si="3"/>
        <v/>
      </c>
      <c r="U22" s="507" t="str">
        <f t="shared" si="3"/>
        <v/>
      </c>
      <c r="V22" s="499" t="str">
        <f t="shared" si="3"/>
        <v/>
      </c>
      <c r="W22" s="507" t="str">
        <f t="shared" si="3"/>
        <v/>
      </c>
      <c r="X22" s="499" t="str">
        <f t="shared" si="3"/>
        <v/>
      </c>
      <c r="Y22" s="507" t="str">
        <f t="shared" si="3"/>
        <v/>
      </c>
      <c r="Z22" s="499" t="str">
        <f t="shared" si="3"/>
        <v/>
      </c>
      <c r="AA22" s="507" t="str">
        <f t="shared" si="3"/>
        <v/>
      </c>
      <c r="AB22" s="499" t="str">
        <f t="shared" si="3"/>
        <v/>
      </c>
      <c r="AC22" s="507" t="str">
        <f t="shared" si="3"/>
        <v/>
      </c>
      <c r="AD22" s="499" t="str">
        <f t="shared" si="3"/>
        <v/>
      </c>
      <c r="AE22" s="507"/>
      <c r="AF22" s="499"/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2"/>
        <v/>
      </c>
      <c r="H23" s="499" t="str">
        <f t="shared" si="2"/>
        <v/>
      </c>
      <c r="I23" s="507" t="str">
        <f t="shared" si="2"/>
        <v/>
      </c>
      <c r="J23" s="499" t="str">
        <f t="shared" si="2"/>
        <v/>
      </c>
      <c r="K23" s="507" t="str">
        <f t="shared" si="2"/>
        <v/>
      </c>
      <c r="L23" s="499" t="str">
        <f t="shared" si="2"/>
        <v/>
      </c>
      <c r="M23" s="507" t="str">
        <f t="shared" si="2"/>
        <v/>
      </c>
      <c r="N23" s="499" t="str">
        <f t="shared" si="2"/>
        <v/>
      </c>
      <c r="O23" s="507" t="str">
        <f t="shared" si="2"/>
        <v/>
      </c>
      <c r="P23" s="499" t="str">
        <f t="shared" si="2"/>
        <v/>
      </c>
      <c r="Q23" s="507" t="str">
        <f t="shared" si="3"/>
        <v/>
      </c>
      <c r="R23" s="499" t="str">
        <f t="shared" si="3"/>
        <v/>
      </c>
      <c r="S23" s="507" t="str">
        <f t="shared" si="3"/>
        <v/>
      </c>
      <c r="T23" s="499" t="str">
        <f t="shared" si="3"/>
        <v/>
      </c>
      <c r="U23" s="507" t="str">
        <f t="shared" si="3"/>
        <v/>
      </c>
      <c r="V23" s="499" t="str">
        <f t="shared" si="3"/>
        <v/>
      </c>
      <c r="W23" s="507" t="str">
        <f t="shared" si="3"/>
        <v/>
      </c>
      <c r="X23" s="499" t="str">
        <f t="shared" si="3"/>
        <v/>
      </c>
      <c r="Y23" s="507" t="str">
        <f t="shared" si="3"/>
        <v/>
      </c>
      <c r="Z23" s="499" t="str">
        <f t="shared" si="3"/>
        <v/>
      </c>
      <c r="AA23" s="507" t="str">
        <f t="shared" si="3"/>
        <v/>
      </c>
      <c r="AB23" s="499" t="str">
        <f t="shared" si="3"/>
        <v/>
      </c>
      <c r="AC23" s="507" t="str">
        <f t="shared" si="3"/>
        <v/>
      </c>
      <c r="AD23" s="499" t="str">
        <f t="shared" si="3"/>
        <v/>
      </c>
      <c r="AE23" s="507"/>
      <c r="AF23" s="499"/>
    </row>
    <row r="24" spans="2:32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2"/>
        <v/>
      </c>
      <c r="H24" s="499" t="str">
        <f t="shared" si="2"/>
        <v/>
      </c>
      <c r="I24" s="507" t="str">
        <f t="shared" si="2"/>
        <v/>
      </c>
      <c r="J24" s="499" t="str">
        <f t="shared" si="2"/>
        <v/>
      </c>
      <c r="K24" s="507" t="str">
        <f t="shared" si="2"/>
        <v/>
      </c>
      <c r="L24" s="499" t="str">
        <f t="shared" si="2"/>
        <v/>
      </c>
      <c r="M24" s="507" t="str">
        <f t="shared" si="2"/>
        <v/>
      </c>
      <c r="N24" s="499" t="str">
        <f t="shared" si="2"/>
        <v/>
      </c>
      <c r="O24" s="507" t="str">
        <f t="shared" si="2"/>
        <v/>
      </c>
      <c r="P24" s="499" t="str">
        <f t="shared" si="2"/>
        <v/>
      </c>
      <c r="Q24" s="507" t="str">
        <f t="shared" si="3"/>
        <v/>
      </c>
      <c r="R24" s="499" t="str">
        <f t="shared" si="3"/>
        <v/>
      </c>
      <c r="S24" s="507" t="str">
        <f t="shared" si="3"/>
        <v/>
      </c>
      <c r="T24" s="499" t="str">
        <f t="shared" si="3"/>
        <v/>
      </c>
      <c r="U24" s="507" t="str">
        <f t="shared" si="3"/>
        <v/>
      </c>
      <c r="V24" s="499" t="str">
        <f t="shared" si="3"/>
        <v/>
      </c>
      <c r="W24" s="507" t="str">
        <f t="shared" si="3"/>
        <v/>
      </c>
      <c r="X24" s="499" t="str">
        <f t="shared" si="3"/>
        <v/>
      </c>
      <c r="Y24" s="507" t="str">
        <f t="shared" si="3"/>
        <v/>
      </c>
      <c r="Z24" s="499" t="str">
        <f t="shared" si="3"/>
        <v/>
      </c>
      <c r="AA24" s="507" t="str">
        <f t="shared" si="3"/>
        <v/>
      </c>
      <c r="AB24" s="499" t="str">
        <f t="shared" si="3"/>
        <v/>
      </c>
      <c r="AC24" s="507" t="str">
        <f t="shared" si="3"/>
        <v/>
      </c>
      <c r="AD24" s="499" t="str">
        <f t="shared" si="3"/>
        <v/>
      </c>
      <c r="AE24" s="507"/>
      <c r="AF24" s="499"/>
    </row>
    <row r="25" spans="2:32" ht="26.1" customHeight="1" x14ac:dyDescent="0.2">
      <c r="B25" s="151" t="str">
        <f>Txt_Pat_FullName</f>
        <v/>
      </c>
      <c r="E25" s="151" t="str">
        <f ca="1">Txt_Pat_GeboorteDat</f>
        <v/>
      </c>
      <c r="G25" s="151" t="str">
        <f>Txt_Pat_Gewicht</f>
        <v>Gewicht:</v>
      </c>
      <c r="H25" s="151"/>
      <c r="I25" s="151"/>
      <c r="J25" s="151"/>
      <c r="K25" s="151"/>
      <c r="L25" s="151"/>
      <c r="M25" s="151"/>
      <c r="N25" s="151"/>
      <c r="O25" s="151" t="s">
        <v>135</v>
      </c>
      <c r="P25" s="151"/>
      <c r="Q25" s="151" t="str">
        <f>IF(OR(_User_Type="Artsen",_User_Type="Supervisor"), _User_LastName&amp;", "&amp;_User_FirstName,"")</f>
        <v/>
      </c>
      <c r="R25" s="151"/>
      <c r="S25" s="151"/>
      <c r="T25" s="151"/>
      <c r="U25" s="151"/>
      <c r="V25" s="151"/>
      <c r="W25" s="151"/>
      <c r="X25" s="151" t="s">
        <v>229</v>
      </c>
      <c r="Y25" s="151"/>
      <c r="Z25" s="151"/>
      <c r="AA25" s="851">
        <f ca="1">TODAY()</f>
        <v>43418</v>
      </c>
      <c r="AB25" s="851"/>
      <c r="AC25" s="851"/>
      <c r="AD25" s="851"/>
      <c r="AE25" s="151"/>
      <c r="AF25" s="151"/>
    </row>
    <row r="26" spans="2:32" ht="26.1" customHeight="1" x14ac:dyDescent="0.2">
      <c r="B26" s="16" t="s">
        <v>254</v>
      </c>
      <c r="C26" s="17" t="s">
        <v>255</v>
      </c>
      <c r="D26" s="17"/>
      <c r="E26" s="17"/>
      <c r="F26" s="18" t="s">
        <v>235</v>
      </c>
      <c r="G26" s="504">
        <v>9</v>
      </c>
      <c r="H26" s="504">
        <v>10</v>
      </c>
      <c r="I26" s="504">
        <v>11</v>
      </c>
      <c r="J26" s="504">
        <v>12</v>
      </c>
      <c r="K26" s="504">
        <v>13</v>
      </c>
      <c r="L26" s="504">
        <v>14</v>
      </c>
      <c r="M26" s="504">
        <v>15</v>
      </c>
      <c r="N26" s="504">
        <v>16</v>
      </c>
      <c r="O26" s="504">
        <v>17</v>
      </c>
      <c r="P26" s="504">
        <v>18</v>
      </c>
      <c r="Q26" s="505">
        <v>19</v>
      </c>
      <c r="R26" s="505">
        <v>20</v>
      </c>
      <c r="S26" s="505">
        <v>21</v>
      </c>
      <c r="T26" s="505">
        <v>22</v>
      </c>
      <c r="U26" s="505">
        <v>23</v>
      </c>
      <c r="V26" s="505">
        <v>24</v>
      </c>
      <c r="W26" s="504">
        <v>1</v>
      </c>
      <c r="X26" s="504">
        <v>2</v>
      </c>
      <c r="Y26" s="504">
        <v>3</v>
      </c>
      <c r="Z26" s="504">
        <v>4</v>
      </c>
      <c r="AA26" s="504">
        <v>5</v>
      </c>
      <c r="AB26" s="504">
        <v>6</v>
      </c>
      <c r="AC26" s="504">
        <v>7</v>
      </c>
      <c r="AD26" s="508">
        <v>8</v>
      </c>
      <c r="AE26" s="508"/>
      <c r="AF26" s="508"/>
    </row>
    <row r="27" spans="2:32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4">IF($C27="","",IF(VLOOKUP($C27,Tbl_Glob_MedFreq,G$1,FALSE)=0,"",VLOOKUP($C27,Tbl_Glob_MedFreq,G$1,FALSE)))</f>
        <v/>
      </c>
      <c r="H27" s="499" t="str">
        <f t="shared" si="4"/>
        <v/>
      </c>
      <c r="I27" s="507" t="str">
        <f t="shared" si="4"/>
        <v/>
      </c>
      <c r="J27" s="499" t="str">
        <f t="shared" si="4"/>
        <v/>
      </c>
      <c r="K27" s="507" t="str">
        <f t="shared" si="4"/>
        <v/>
      </c>
      <c r="L27" s="499" t="str">
        <f t="shared" si="4"/>
        <v/>
      </c>
      <c r="M27" s="507" t="str">
        <f t="shared" si="4"/>
        <v/>
      </c>
      <c r="N27" s="499" t="str">
        <f t="shared" si="4"/>
        <v/>
      </c>
      <c r="O27" s="507" t="str">
        <f t="shared" si="4"/>
        <v/>
      </c>
      <c r="P27" s="499" t="str">
        <f t="shared" si="4"/>
        <v/>
      </c>
      <c r="Q27" s="507" t="str">
        <f t="shared" ref="Q27:AD35" si="5">IF($C27="","",IF(VLOOKUP($C27,Tbl_Glob_MedFreq,Q$1,FALSE)=0,"",VLOOKUP($C27,Tbl_Glob_MedFreq,Q$1,FALSE)))</f>
        <v/>
      </c>
      <c r="R27" s="499" t="str">
        <f t="shared" si="5"/>
        <v/>
      </c>
      <c r="S27" s="507" t="str">
        <f t="shared" si="5"/>
        <v/>
      </c>
      <c r="T27" s="499" t="str">
        <f t="shared" si="5"/>
        <v/>
      </c>
      <c r="U27" s="507" t="str">
        <f t="shared" si="5"/>
        <v/>
      </c>
      <c r="V27" s="499" t="str">
        <f t="shared" si="5"/>
        <v/>
      </c>
      <c r="W27" s="507" t="str">
        <f t="shared" si="5"/>
        <v/>
      </c>
      <c r="X27" s="499" t="str">
        <f t="shared" si="5"/>
        <v/>
      </c>
      <c r="Y27" s="507" t="str">
        <f t="shared" si="5"/>
        <v/>
      </c>
      <c r="Z27" s="499" t="str">
        <f t="shared" si="5"/>
        <v/>
      </c>
      <c r="AA27" s="507" t="str">
        <f t="shared" si="5"/>
        <v/>
      </c>
      <c r="AB27" s="499" t="str">
        <f t="shared" si="5"/>
        <v/>
      </c>
      <c r="AC27" s="507" t="str">
        <f t="shared" si="5"/>
        <v/>
      </c>
      <c r="AD27" s="499" t="str">
        <f t="shared" si="5"/>
        <v/>
      </c>
      <c r="AE27" s="507"/>
      <c r="AF27" s="499"/>
    </row>
    <row r="28" spans="2:32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4"/>
        <v/>
      </c>
      <c r="H28" s="499" t="str">
        <f t="shared" si="4"/>
        <v/>
      </c>
      <c r="I28" s="507" t="str">
        <f t="shared" si="4"/>
        <v/>
      </c>
      <c r="J28" s="499" t="str">
        <f t="shared" si="4"/>
        <v/>
      </c>
      <c r="K28" s="507" t="str">
        <f t="shared" si="4"/>
        <v/>
      </c>
      <c r="L28" s="499" t="str">
        <f t="shared" si="4"/>
        <v/>
      </c>
      <c r="M28" s="507" t="str">
        <f t="shared" si="4"/>
        <v/>
      </c>
      <c r="N28" s="499" t="str">
        <f t="shared" si="4"/>
        <v/>
      </c>
      <c r="O28" s="507" t="str">
        <f t="shared" si="4"/>
        <v/>
      </c>
      <c r="P28" s="499" t="str">
        <f t="shared" si="4"/>
        <v/>
      </c>
      <c r="Q28" s="507" t="str">
        <f t="shared" si="5"/>
        <v/>
      </c>
      <c r="R28" s="499" t="str">
        <f t="shared" si="5"/>
        <v/>
      </c>
      <c r="S28" s="507" t="str">
        <f t="shared" si="5"/>
        <v/>
      </c>
      <c r="T28" s="499" t="str">
        <f t="shared" si="5"/>
        <v/>
      </c>
      <c r="U28" s="507" t="str">
        <f t="shared" si="5"/>
        <v/>
      </c>
      <c r="V28" s="499" t="str">
        <f t="shared" si="5"/>
        <v/>
      </c>
      <c r="W28" s="507" t="str">
        <f t="shared" si="5"/>
        <v/>
      </c>
      <c r="X28" s="499" t="str">
        <f t="shared" si="5"/>
        <v/>
      </c>
      <c r="Y28" s="507" t="str">
        <f t="shared" si="5"/>
        <v/>
      </c>
      <c r="Z28" s="499" t="str">
        <f t="shared" si="5"/>
        <v/>
      </c>
      <c r="AA28" s="507" t="str">
        <f t="shared" si="5"/>
        <v/>
      </c>
      <c r="AB28" s="499" t="str">
        <f t="shared" si="5"/>
        <v/>
      </c>
      <c r="AC28" s="507" t="str">
        <f t="shared" si="5"/>
        <v/>
      </c>
      <c r="AD28" s="499" t="str">
        <f t="shared" si="5"/>
        <v/>
      </c>
      <c r="AE28" s="507"/>
      <c r="AF28" s="499"/>
    </row>
    <row r="29" spans="2:32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4"/>
        <v/>
      </c>
      <c r="H29" s="499" t="str">
        <f t="shared" si="4"/>
        <v/>
      </c>
      <c r="I29" s="507" t="str">
        <f t="shared" si="4"/>
        <v/>
      </c>
      <c r="J29" s="499" t="str">
        <f t="shared" si="4"/>
        <v/>
      </c>
      <c r="K29" s="507" t="str">
        <f t="shared" si="4"/>
        <v/>
      </c>
      <c r="L29" s="499" t="str">
        <f t="shared" si="4"/>
        <v/>
      </c>
      <c r="M29" s="507" t="str">
        <f t="shared" si="4"/>
        <v/>
      </c>
      <c r="N29" s="499" t="str">
        <f t="shared" si="4"/>
        <v/>
      </c>
      <c r="O29" s="507" t="str">
        <f t="shared" si="4"/>
        <v/>
      </c>
      <c r="P29" s="499" t="str">
        <f t="shared" si="4"/>
        <v/>
      </c>
      <c r="Q29" s="507" t="str">
        <f t="shared" si="5"/>
        <v/>
      </c>
      <c r="R29" s="499" t="str">
        <f t="shared" si="5"/>
        <v/>
      </c>
      <c r="S29" s="507" t="str">
        <f t="shared" si="5"/>
        <v/>
      </c>
      <c r="T29" s="499" t="str">
        <f t="shared" si="5"/>
        <v/>
      </c>
      <c r="U29" s="507" t="str">
        <f t="shared" si="5"/>
        <v/>
      </c>
      <c r="V29" s="499" t="str">
        <f t="shared" si="5"/>
        <v/>
      </c>
      <c r="W29" s="507" t="str">
        <f t="shared" si="5"/>
        <v/>
      </c>
      <c r="X29" s="499" t="str">
        <f t="shared" si="5"/>
        <v/>
      </c>
      <c r="Y29" s="507" t="str">
        <f t="shared" si="5"/>
        <v/>
      </c>
      <c r="Z29" s="499" t="str">
        <f t="shared" si="5"/>
        <v/>
      </c>
      <c r="AA29" s="507" t="str">
        <f t="shared" si="5"/>
        <v/>
      </c>
      <c r="AB29" s="499" t="str">
        <f t="shared" si="5"/>
        <v/>
      </c>
      <c r="AC29" s="507" t="str">
        <f t="shared" si="5"/>
        <v/>
      </c>
      <c r="AD29" s="499" t="str">
        <f t="shared" si="5"/>
        <v/>
      </c>
      <c r="AE29" s="507"/>
      <c r="AF29" s="499"/>
    </row>
    <row r="30" spans="2:32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4"/>
        <v/>
      </c>
      <c r="H30" s="499" t="str">
        <f t="shared" si="4"/>
        <v/>
      </c>
      <c r="I30" s="507" t="str">
        <f t="shared" si="4"/>
        <v/>
      </c>
      <c r="J30" s="499" t="str">
        <f t="shared" si="4"/>
        <v/>
      </c>
      <c r="K30" s="507" t="str">
        <f t="shared" si="4"/>
        <v/>
      </c>
      <c r="L30" s="499" t="str">
        <f t="shared" si="4"/>
        <v/>
      </c>
      <c r="M30" s="507" t="str">
        <f t="shared" si="4"/>
        <v/>
      </c>
      <c r="N30" s="499" t="str">
        <f t="shared" si="4"/>
        <v/>
      </c>
      <c r="O30" s="507" t="str">
        <f t="shared" si="4"/>
        <v/>
      </c>
      <c r="P30" s="499" t="str">
        <f t="shared" si="4"/>
        <v/>
      </c>
      <c r="Q30" s="507" t="str">
        <f t="shared" si="5"/>
        <v/>
      </c>
      <c r="R30" s="499" t="str">
        <f t="shared" si="5"/>
        <v/>
      </c>
      <c r="S30" s="507" t="str">
        <f t="shared" si="5"/>
        <v/>
      </c>
      <c r="T30" s="499" t="str">
        <f t="shared" si="5"/>
        <v/>
      </c>
      <c r="U30" s="507" t="str">
        <f t="shared" si="5"/>
        <v/>
      </c>
      <c r="V30" s="499" t="str">
        <f t="shared" si="5"/>
        <v/>
      </c>
      <c r="W30" s="507" t="str">
        <f t="shared" si="5"/>
        <v/>
      </c>
      <c r="X30" s="499" t="str">
        <f t="shared" si="5"/>
        <v/>
      </c>
      <c r="Y30" s="507" t="str">
        <f t="shared" si="5"/>
        <v/>
      </c>
      <c r="Z30" s="499" t="str">
        <f t="shared" si="5"/>
        <v/>
      </c>
      <c r="AA30" s="507" t="str">
        <f t="shared" si="5"/>
        <v/>
      </c>
      <c r="AB30" s="499" t="str">
        <f t="shared" si="5"/>
        <v/>
      </c>
      <c r="AC30" s="507" t="str">
        <f t="shared" si="5"/>
        <v/>
      </c>
      <c r="AD30" s="499" t="str">
        <f t="shared" si="5"/>
        <v/>
      </c>
      <c r="AE30" s="507"/>
      <c r="AF30" s="499"/>
    </row>
    <row r="31" spans="2:32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4"/>
        <v/>
      </c>
      <c r="H31" s="499" t="str">
        <f t="shared" si="4"/>
        <v/>
      </c>
      <c r="I31" s="507" t="str">
        <f t="shared" si="4"/>
        <v/>
      </c>
      <c r="J31" s="499" t="str">
        <f t="shared" si="4"/>
        <v/>
      </c>
      <c r="K31" s="507" t="str">
        <f t="shared" si="4"/>
        <v/>
      </c>
      <c r="L31" s="499" t="str">
        <f t="shared" si="4"/>
        <v/>
      </c>
      <c r="M31" s="507" t="str">
        <f t="shared" si="4"/>
        <v/>
      </c>
      <c r="N31" s="499" t="str">
        <f t="shared" si="4"/>
        <v/>
      </c>
      <c r="O31" s="507" t="str">
        <f t="shared" si="4"/>
        <v/>
      </c>
      <c r="P31" s="499" t="str">
        <f t="shared" si="4"/>
        <v/>
      </c>
      <c r="Q31" s="507" t="str">
        <f t="shared" si="5"/>
        <v/>
      </c>
      <c r="R31" s="499" t="str">
        <f t="shared" si="5"/>
        <v/>
      </c>
      <c r="S31" s="507" t="str">
        <f t="shared" si="5"/>
        <v/>
      </c>
      <c r="T31" s="499" t="str">
        <f t="shared" si="5"/>
        <v/>
      </c>
      <c r="U31" s="507" t="str">
        <f t="shared" si="5"/>
        <v/>
      </c>
      <c r="V31" s="499" t="str">
        <f t="shared" si="5"/>
        <v/>
      </c>
      <c r="W31" s="507" t="str">
        <f t="shared" si="5"/>
        <v/>
      </c>
      <c r="X31" s="499" t="str">
        <f t="shared" si="5"/>
        <v/>
      </c>
      <c r="Y31" s="507" t="str">
        <f t="shared" si="5"/>
        <v/>
      </c>
      <c r="Z31" s="499" t="str">
        <f t="shared" si="5"/>
        <v/>
      </c>
      <c r="AA31" s="507" t="str">
        <f t="shared" si="5"/>
        <v/>
      </c>
      <c r="AB31" s="499" t="str">
        <f t="shared" si="5"/>
        <v/>
      </c>
      <c r="AC31" s="507" t="str">
        <f t="shared" si="5"/>
        <v/>
      </c>
      <c r="AD31" s="499" t="str">
        <f t="shared" si="5"/>
        <v/>
      </c>
      <c r="AE31" s="507"/>
      <c r="AF31" s="499"/>
    </row>
    <row r="32" spans="2:32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4"/>
        <v/>
      </c>
      <c r="H32" s="499" t="str">
        <f t="shared" si="4"/>
        <v/>
      </c>
      <c r="I32" s="507" t="str">
        <f t="shared" si="4"/>
        <v/>
      </c>
      <c r="J32" s="499" t="str">
        <f t="shared" si="4"/>
        <v/>
      </c>
      <c r="K32" s="507" t="str">
        <f t="shared" si="4"/>
        <v/>
      </c>
      <c r="L32" s="499" t="str">
        <f t="shared" si="4"/>
        <v/>
      </c>
      <c r="M32" s="507" t="str">
        <f t="shared" si="4"/>
        <v/>
      </c>
      <c r="N32" s="499" t="str">
        <f t="shared" si="4"/>
        <v/>
      </c>
      <c r="O32" s="507" t="str">
        <f t="shared" si="4"/>
        <v/>
      </c>
      <c r="P32" s="499" t="str">
        <f t="shared" si="4"/>
        <v/>
      </c>
      <c r="Q32" s="507" t="str">
        <f t="shared" si="5"/>
        <v/>
      </c>
      <c r="R32" s="499" t="str">
        <f t="shared" si="5"/>
        <v/>
      </c>
      <c r="S32" s="507" t="str">
        <f t="shared" si="5"/>
        <v/>
      </c>
      <c r="T32" s="499" t="str">
        <f t="shared" si="5"/>
        <v/>
      </c>
      <c r="U32" s="507" t="str">
        <f t="shared" si="5"/>
        <v/>
      </c>
      <c r="V32" s="499" t="str">
        <f t="shared" si="5"/>
        <v/>
      </c>
      <c r="W32" s="507" t="str">
        <f t="shared" si="5"/>
        <v/>
      </c>
      <c r="X32" s="499" t="str">
        <f t="shared" si="5"/>
        <v/>
      </c>
      <c r="Y32" s="507" t="str">
        <f t="shared" si="5"/>
        <v/>
      </c>
      <c r="Z32" s="499" t="str">
        <f t="shared" si="5"/>
        <v/>
      </c>
      <c r="AA32" s="507" t="str">
        <f t="shared" si="5"/>
        <v/>
      </c>
      <c r="AB32" s="499" t="str">
        <f t="shared" si="5"/>
        <v/>
      </c>
      <c r="AC32" s="507" t="str">
        <f t="shared" si="5"/>
        <v/>
      </c>
      <c r="AD32" s="499" t="str">
        <f t="shared" si="5"/>
        <v/>
      </c>
      <c r="AE32" s="507"/>
      <c r="AF32" s="499"/>
    </row>
    <row r="33" spans="2:32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4"/>
        <v/>
      </c>
      <c r="H33" s="499" t="str">
        <f t="shared" si="4"/>
        <v/>
      </c>
      <c r="I33" s="507" t="str">
        <f t="shared" si="4"/>
        <v/>
      </c>
      <c r="J33" s="499" t="str">
        <f t="shared" si="4"/>
        <v/>
      </c>
      <c r="K33" s="507" t="str">
        <f t="shared" si="4"/>
        <v/>
      </c>
      <c r="L33" s="499" t="str">
        <f t="shared" si="4"/>
        <v/>
      </c>
      <c r="M33" s="507" t="str">
        <f t="shared" si="4"/>
        <v/>
      </c>
      <c r="N33" s="499" t="str">
        <f t="shared" si="4"/>
        <v/>
      </c>
      <c r="O33" s="507" t="str">
        <f t="shared" si="4"/>
        <v/>
      </c>
      <c r="P33" s="499" t="str">
        <f t="shared" si="4"/>
        <v/>
      </c>
      <c r="Q33" s="507" t="str">
        <f t="shared" si="5"/>
        <v/>
      </c>
      <c r="R33" s="499" t="str">
        <f t="shared" si="5"/>
        <v/>
      </c>
      <c r="S33" s="507" t="str">
        <f t="shared" si="5"/>
        <v/>
      </c>
      <c r="T33" s="499" t="str">
        <f t="shared" si="5"/>
        <v/>
      </c>
      <c r="U33" s="507" t="str">
        <f t="shared" si="5"/>
        <v/>
      </c>
      <c r="V33" s="499" t="str">
        <f t="shared" si="5"/>
        <v/>
      </c>
      <c r="W33" s="507" t="str">
        <f t="shared" si="5"/>
        <v/>
      </c>
      <c r="X33" s="499" t="str">
        <f t="shared" si="5"/>
        <v/>
      </c>
      <c r="Y33" s="507" t="str">
        <f t="shared" si="5"/>
        <v/>
      </c>
      <c r="Z33" s="499" t="str">
        <f t="shared" si="5"/>
        <v/>
      </c>
      <c r="AA33" s="507" t="str">
        <f t="shared" si="5"/>
        <v/>
      </c>
      <c r="AB33" s="499" t="str">
        <f t="shared" si="5"/>
        <v/>
      </c>
      <c r="AC33" s="507" t="str">
        <f t="shared" si="5"/>
        <v/>
      </c>
      <c r="AD33" s="499" t="str">
        <f t="shared" si="5"/>
        <v/>
      </c>
      <c r="AE33" s="507"/>
      <c r="AF33" s="499"/>
    </row>
    <row r="34" spans="2:32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4"/>
        <v/>
      </c>
      <c r="H34" s="499" t="str">
        <f t="shared" si="4"/>
        <v/>
      </c>
      <c r="I34" s="507" t="str">
        <f t="shared" si="4"/>
        <v/>
      </c>
      <c r="J34" s="499" t="str">
        <f t="shared" si="4"/>
        <v/>
      </c>
      <c r="K34" s="507" t="str">
        <f t="shared" si="4"/>
        <v/>
      </c>
      <c r="L34" s="499" t="str">
        <f t="shared" si="4"/>
        <v/>
      </c>
      <c r="M34" s="507" t="str">
        <f t="shared" si="4"/>
        <v/>
      </c>
      <c r="N34" s="499" t="str">
        <f t="shared" si="4"/>
        <v/>
      </c>
      <c r="O34" s="507" t="str">
        <f t="shared" si="4"/>
        <v/>
      </c>
      <c r="P34" s="499" t="str">
        <f t="shared" si="4"/>
        <v/>
      </c>
      <c r="Q34" s="507" t="str">
        <f t="shared" si="5"/>
        <v/>
      </c>
      <c r="R34" s="499" t="str">
        <f t="shared" si="5"/>
        <v/>
      </c>
      <c r="S34" s="507" t="str">
        <f t="shared" si="5"/>
        <v/>
      </c>
      <c r="T34" s="499" t="str">
        <f t="shared" si="5"/>
        <v/>
      </c>
      <c r="U34" s="507" t="str">
        <f t="shared" si="5"/>
        <v/>
      </c>
      <c r="V34" s="499" t="str">
        <f t="shared" si="5"/>
        <v/>
      </c>
      <c r="W34" s="507" t="str">
        <f t="shared" si="5"/>
        <v/>
      </c>
      <c r="X34" s="499" t="str">
        <f t="shared" si="5"/>
        <v/>
      </c>
      <c r="Y34" s="507" t="str">
        <f t="shared" si="5"/>
        <v/>
      </c>
      <c r="Z34" s="499" t="str">
        <f t="shared" si="5"/>
        <v/>
      </c>
      <c r="AA34" s="507" t="str">
        <f t="shared" si="5"/>
        <v/>
      </c>
      <c r="AB34" s="499" t="str">
        <f t="shared" si="5"/>
        <v/>
      </c>
      <c r="AC34" s="507" t="str">
        <f t="shared" si="5"/>
        <v/>
      </c>
      <c r="AD34" s="499" t="str">
        <f t="shared" si="5"/>
        <v/>
      </c>
      <c r="AE34" s="507"/>
      <c r="AF34" s="499"/>
    </row>
    <row r="35" spans="2:32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4"/>
        <v/>
      </c>
      <c r="H35" s="499" t="str">
        <f t="shared" si="4"/>
        <v/>
      </c>
      <c r="I35" s="507" t="str">
        <f t="shared" si="4"/>
        <v/>
      </c>
      <c r="J35" s="499" t="str">
        <f t="shared" si="4"/>
        <v/>
      </c>
      <c r="K35" s="507" t="str">
        <f t="shared" si="4"/>
        <v/>
      </c>
      <c r="L35" s="499" t="str">
        <f t="shared" si="4"/>
        <v/>
      </c>
      <c r="M35" s="507" t="str">
        <f t="shared" si="4"/>
        <v/>
      </c>
      <c r="N35" s="499" t="str">
        <f t="shared" si="4"/>
        <v/>
      </c>
      <c r="O35" s="507" t="str">
        <f t="shared" si="4"/>
        <v/>
      </c>
      <c r="P35" s="499" t="str">
        <f t="shared" si="4"/>
        <v/>
      </c>
      <c r="Q35" s="507" t="str">
        <f t="shared" si="5"/>
        <v/>
      </c>
      <c r="R35" s="499" t="str">
        <f t="shared" si="5"/>
        <v/>
      </c>
      <c r="S35" s="507" t="str">
        <f t="shared" si="5"/>
        <v/>
      </c>
      <c r="T35" s="499" t="str">
        <f t="shared" si="5"/>
        <v/>
      </c>
      <c r="U35" s="507" t="str">
        <f t="shared" si="5"/>
        <v/>
      </c>
      <c r="V35" s="499" t="str">
        <f t="shared" si="5"/>
        <v/>
      </c>
      <c r="W35" s="507" t="str">
        <f t="shared" si="5"/>
        <v/>
      </c>
      <c r="X35" s="499" t="str">
        <f t="shared" si="5"/>
        <v/>
      </c>
      <c r="Y35" s="507" t="str">
        <f t="shared" si="5"/>
        <v/>
      </c>
      <c r="Z35" s="499" t="str">
        <f t="shared" si="5"/>
        <v/>
      </c>
      <c r="AA35" s="507" t="str">
        <f t="shared" si="5"/>
        <v/>
      </c>
      <c r="AB35" s="499" t="str">
        <f t="shared" si="5"/>
        <v/>
      </c>
      <c r="AC35" s="507" t="str">
        <f t="shared" si="5"/>
        <v/>
      </c>
      <c r="AD35" s="499" t="str">
        <f t="shared" si="5"/>
        <v/>
      </c>
      <c r="AE35" s="507"/>
      <c r="AF35" s="499"/>
    </row>
  </sheetData>
  <mergeCells count="4">
    <mergeCell ref="E2:F2"/>
    <mergeCell ref="Q2:V2"/>
    <mergeCell ref="AA2:AE2"/>
    <mergeCell ref="AA25:AD25"/>
  </mergeCells>
  <printOptions horizontalCentered="1"/>
  <pageMargins left="0.31496062992125984" right="0.70866141732283472" top="0.19685039370078741" bottom="0.19685039370078741" header="0.19685039370078741" footer="0.19685039370078741"/>
  <pageSetup paperSize="9" scale="98" fitToHeight="0" orientation="landscape" r:id="rId1"/>
  <headerFooter alignWithMargins="0">
    <oddHeader>&amp;LAfsprakenProgramma 0.22.09-beta</oddHeader>
  </headerFooter>
  <rowBreaks count="1" manualBreakCount="1">
    <brk id="24" min="1" max="31" man="1"/>
  </rowBreaks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true">
    <tabs>
      <tab id="tabMetavision" label="Metavision">
        <group id="grpAfspraken" label="Afspraken">
          <button id="btnAbout" label="AfsprakenProgramma" image="PillGreen" onAction="ButtonOnAction"/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 Actueel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Mso="FileCheckIn" onAction="ButtonOnAction"/>
          <button id="btnCopyCurrent" label="Actueel Overzetten" imageMso="FileCheckOut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  <button id="btnPedSendTPN" label="TPN Apotheek" imageMso="FileSendAsAttachment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  <button id="btnNeoSendApoth" label="Apotheek" imageMso="FileSendAsAttachment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FB" label="Functioneel Beheer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  <button id="btnOpenLogFiles" label="Open Logfiles" image="Preferences" onAction="ButtonOnAction"/>
          <button id="btnRefreshMedOpdr" label="Metavision Opdrachten" image="Preferences" onAction="ButtonOnAction"/>
        </group>
        <group id="grpApoth" label="Apotheek">
          <button id="btnNeoMedCont" label="Neo Continue Medicatie" image="Preferences" onAction="ButtonOnAction"/>
          <button id="btnPedMedCont" label="Pediatrie Continue Medicatie" image="Preferences" onAction="ButtonOnAction"/>
          <button id="btnParent" label="Parenterale Vloeistoffen" image="Preferences" onAction="ButtonOnAction"/>
          <button id="btnMedDisc" label="Discontinue Medicatie" image="Preferences" onAction="ButtonOnAction"/>
        </group>
        <group id="grpTests" label="Acceptatie Tests">
          <button id="btnNeoMedContTests" label="Neo Continue Medicatie" image="Preferences" onAction="ButtonOnAction"/>
          <button id="btnNeoMedPrintTests" label="Neo Print Medicatie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64</vt:i4>
      </vt:variant>
      <vt:variant>
        <vt:lpstr>Benoemde bereiken</vt:lpstr>
      </vt:variant>
      <vt:variant>
        <vt:i4>2361</vt:i4>
      </vt:variant>
    </vt:vector>
  </HeadingPairs>
  <TitlesOfParts>
    <vt:vector size="2425" baseType="lpstr">
      <vt:lpstr>Global--&gt;</vt:lpstr>
      <vt:lpstr>GlobGuiFront</vt:lpstr>
      <vt:lpstr>GlobGuiMedDisc</vt:lpstr>
      <vt:lpstr>GlobBerMedDisc</vt:lpstr>
      <vt:lpstr>GlobTblMedDisc</vt:lpstr>
      <vt:lpstr>GlobTblMedOpdr</vt:lpstr>
      <vt:lpstr>GlobBerLab</vt:lpstr>
      <vt:lpstr>GlobSettings</vt:lpstr>
      <vt:lpstr>GlobNames</vt:lpstr>
      <vt:lpstr>GlobBerConv</vt:lpstr>
      <vt:lpstr>GlobTblParEnt</vt:lpstr>
      <vt:lpstr>GlobTblEnt</vt:lpstr>
      <vt:lpstr>GlobBerNorm</vt:lpstr>
      <vt:lpstr>GlobBerSql</vt:lpstr>
      <vt:lpstr>GlobTemp</vt:lpstr>
      <vt:lpstr>Patient--&gt;</vt:lpstr>
      <vt:lpstr>PatText</vt:lpstr>
      <vt:lpstr>PatData</vt:lpstr>
      <vt:lpstr>PatDetails</vt:lpstr>
      <vt:lpstr>Pediatrie--&gt;</vt:lpstr>
      <vt:lpstr>PedGuiMedIV</vt:lpstr>
      <vt:lpstr>PedBerMedIV</vt:lpstr>
      <vt:lpstr>PedTblMedIV</vt:lpstr>
      <vt:lpstr>PedGuiLijnPM</vt:lpstr>
      <vt:lpstr>PedBerIVenPM</vt:lpstr>
      <vt:lpstr>PedTblIV</vt:lpstr>
      <vt:lpstr>PedGuiEntTPN</vt:lpstr>
      <vt:lpstr>PedBerEnt</vt:lpstr>
      <vt:lpstr>PedBerTPN</vt:lpstr>
      <vt:lpstr>PedBerTot</vt:lpstr>
      <vt:lpstr>PedTblParEnt</vt:lpstr>
      <vt:lpstr>PedTblEnt</vt:lpstr>
      <vt:lpstr>PedGuiLab</vt:lpstr>
      <vt:lpstr>PedBerLab</vt:lpstr>
      <vt:lpstr>PedGuiAfspr</vt:lpstr>
      <vt:lpstr>PedBerAfspr</vt:lpstr>
      <vt:lpstr>PedTblAfspr</vt:lpstr>
      <vt:lpstr>PedGuiAcuut</vt:lpstr>
      <vt:lpstr>PedTblLengte</vt:lpstr>
      <vt:lpstr>PedTblGew</vt:lpstr>
      <vt:lpstr>PedPrtAfspr</vt:lpstr>
      <vt:lpstr>PedPrtMedDisc</vt:lpstr>
      <vt:lpstr>PedPrtTPN2tot6</vt:lpstr>
      <vt:lpstr>PedPrtTPN7tot15</vt:lpstr>
      <vt:lpstr>PedPrtTPN16tot30</vt:lpstr>
      <vt:lpstr>PedPrtTPN31tot50</vt:lpstr>
      <vt:lpstr>PedPrtTPN50</vt:lpstr>
      <vt:lpstr>Neo--&gt;</vt:lpstr>
      <vt:lpstr>NeoGuiInfB</vt:lpstr>
      <vt:lpstr>NeoBerInfB</vt:lpstr>
      <vt:lpstr>NeoDataInfB</vt:lpstr>
      <vt:lpstr>NeoPrtWerkbr</vt:lpstr>
      <vt:lpstr>NeoTblMedIV</vt:lpstr>
      <vt:lpstr>NeoBerAdvies</vt:lpstr>
      <vt:lpstr>NeoTblEnt</vt:lpstr>
      <vt:lpstr>NeoTblLijst</vt:lpstr>
      <vt:lpstr>NeoGuiAfspr</vt:lpstr>
      <vt:lpstr>NeoBerAfspr</vt:lpstr>
      <vt:lpstr>NeoGuiLab</vt:lpstr>
      <vt:lpstr>NeoBerLab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_Glob_MedDisc_Boven_01</vt:lpstr>
      <vt:lpstr>_Glob_MedDisc_Boven_02</vt:lpstr>
      <vt:lpstr>_Glob_MedDisc_Boven_03</vt:lpstr>
      <vt:lpstr>_Glob_MedDisc_Boven_04</vt:lpstr>
      <vt:lpstr>_Glob_MedDisc_Boven_05</vt:lpstr>
      <vt:lpstr>_Glob_MedDisc_Boven_06</vt:lpstr>
      <vt:lpstr>_Glob_MedDisc_Boven_07</vt:lpstr>
      <vt:lpstr>_Glob_MedDisc_Boven_08</vt:lpstr>
      <vt:lpstr>_Glob_MedDisc_Boven_09</vt:lpstr>
      <vt:lpstr>_Glob_MedDisc_Boven_10</vt:lpstr>
      <vt:lpstr>_Glob_MedDisc_Boven_11</vt:lpstr>
      <vt:lpstr>_Glob_MedDisc_Boven_12</vt:lpstr>
      <vt:lpstr>_Glob_MedDisc_Boven_13</vt:lpstr>
      <vt:lpstr>_Glob_MedDisc_Boven_14</vt:lpstr>
      <vt:lpstr>_Glob_MedDisc_Boven_15</vt:lpstr>
      <vt:lpstr>_Glob_MedDisc_Boven_16</vt:lpstr>
      <vt:lpstr>_Glob_MedDisc_Boven_17</vt:lpstr>
      <vt:lpstr>_Glob_MedDisc_Boven_18</vt:lpstr>
      <vt:lpstr>_Glob_MedDisc_Boven_19</vt:lpstr>
      <vt:lpstr>_Glob_MedDisc_Boven_20</vt:lpstr>
      <vt:lpstr>_Glob_MedDisc_Boven_21</vt:lpstr>
      <vt:lpstr>_Glob_MedDisc_Boven_22</vt:lpstr>
      <vt:lpstr>_Glob_MedDisc_Boven_23</vt:lpstr>
      <vt:lpstr>_Glob_MedDisc_Boven_24</vt:lpstr>
      <vt:lpstr>_Glob_MedDisc_Boven_25</vt:lpstr>
      <vt:lpstr>_Glob_MedDisc_Boven_26</vt:lpstr>
      <vt:lpstr>_Glob_MedDisc_Boven_27</vt:lpstr>
      <vt:lpstr>_Glob_MedDisc_Boven_28</vt:lpstr>
      <vt:lpstr>_Glob_MedDisc_Boven_29</vt:lpstr>
      <vt:lpstr>_Glob_MedDisc_Boven_30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_Glob_MedDisc_Freq_01</vt:lpstr>
      <vt:lpstr>_Glob_MedDisc_Freq_02</vt:lpstr>
      <vt:lpstr>_Glob_MedDisc_Freq_03</vt:lpstr>
      <vt:lpstr>_Glob_MedDisc_Freq_04</vt:lpstr>
      <vt:lpstr>_Glob_MedDisc_Freq_05</vt:lpstr>
      <vt:lpstr>_Glob_MedDisc_Freq_06</vt:lpstr>
      <vt:lpstr>_Glob_MedDisc_Freq_07</vt:lpstr>
      <vt:lpstr>_Glob_MedDisc_Freq_08</vt:lpstr>
      <vt:lpstr>_Glob_MedDisc_Freq_09</vt:lpstr>
      <vt:lpstr>_Glob_MedDisc_Freq_10</vt:lpstr>
      <vt:lpstr>_Glob_MedDisc_Freq_11</vt:lpstr>
      <vt:lpstr>_Glob_MedDisc_Freq_12</vt:lpstr>
      <vt:lpstr>_Glob_MedDisc_Freq_13</vt:lpstr>
      <vt:lpstr>_Glob_MedDisc_Freq_14</vt:lpstr>
      <vt:lpstr>_Glob_MedDisc_Freq_15</vt:lpstr>
      <vt:lpstr>_Glob_MedDisc_Freq_16</vt:lpstr>
      <vt:lpstr>_Glob_MedDisc_Freq_17</vt:lpstr>
      <vt:lpstr>_Glob_MedDisc_Freq_18</vt:lpstr>
      <vt:lpstr>_Glob_MedDisc_Freq_19</vt:lpstr>
      <vt:lpstr>_Glob_MedDisc_Freq_20</vt:lpstr>
      <vt:lpstr>_Glob_MedDisc_Freq_21</vt:lpstr>
      <vt:lpstr>_Glob_MedDisc_Freq_22</vt:lpstr>
      <vt:lpstr>_Glob_MedDisc_Freq_23</vt:lpstr>
      <vt:lpstr>_Glob_MedDisc_Freq_24</vt:lpstr>
      <vt:lpstr>_Glob_MedDisc_Freq_25</vt:lpstr>
      <vt:lpstr>_Glob_MedDisc_Freq_26</vt:lpstr>
      <vt:lpstr>_Glob_MedDisc_Freq_27</vt:lpstr>
      <vt:lpstr>_Glob_MedDisc_Freq_28</vt:lpstr>
      <vt:lpstr>_Glob_MedDisc_Freq_29</vt:lpstr>
      <vt:lpstr>_Glob_MedDisc_Freq_30</vt:lpstr>
      <vt:lpstr>_Glob_MedDisc_FreqList_01</vt:lpstr>
      <vt:lpstr>_Glob_MedDisc_FreqList_02</vt:lpstr>
      <vt:lpstr>_Glob_MedDisc_FreqList_03</vt:lpstr>
      <vt:lpstr>_Glob_MedDisc_FreqList_04</vt:lpstr>
      <vt:lpstr>_Glob_MedDisc_FreqList_05</vt:lpstr>
      <vt:lpstr>_Glob_MedDisc_FreqList_06</vt:lpstr>
      <vt:lpstr>_Glob_MedDisc_FreqList_07</vt:lpstr>
      <vt:lpstr>_Glob_MedDisc_FreqList_08</vt:lpstr>
      <vt:lpstr>_Glob_MedDisc_FreqList_09</vt:lpstr>
      <vt:lpstr>_Glob_MedDisc_FreqList_10</vt:lpstr>
      <vt:lpstr>_Glob_MedDisc_FreqList_11</vt:lpstr>
      <vt:lpstr>_Glob_MedDisc_FreqList_12</vt:lpstr>
      <vt:lpstr>_Glob_MedDisc_FreqList_13</vt:lpstr>
      <vt:lpstr>_Glob_MedDisc_FreqList_14</vt:lpstr>
      <vt:lpstr>_Glob_MedDisc_FreqList_15</vt:lpstr>
      <vt:lpstr>_Glob_MedDisc_FreqList_16</vt:lpstr>
      <vt:lpstr>_Glob_MedDisc_FreqList_17</vt:lpstr>
      <vt:lpstr>_Glob_MedDisc_FreqList_18</vt:lpstr>
      <vt:lpstr>_Glob_MedDisc_FreqList_19</vt:lpstr>
      <vt:lpstr>_Glob_MedDisc_FreqList_20</vt:lpstr>
      <vt:lpstr>_Glob_MedDisc_FreqList_21</vt:lpstr>
      <vt:lpstr>_Glob_MedDisc_FreqList_22</vt:lpstr>
      <vt:lpstr>_Glob_MedDisc_FreqList_23</vt:lpstr>
      <vt:lpstr>_Glob_MedDisc_FreqList_24</vt:lpstr>
      <vt:lpstr>_Glob_MedDisc_FreqList_25</vt:lpstr>
      <vt:lpstr>_Glob_MedDisc_FreqList_26</vt:lpstr>
      <vt:lpstr>_Glob_MedDisc_FreqList_27</vt:lpstr>
      <vt:lpstr>_Glob_MedDisc_FreqList_28</vt:lpstr>
      <vt:lpstr>_Glob_MedDisc_FreqList_29</vt:lpstr>
      <vt:lpstr>_Glob_MedDisc_FreqList_30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_Glob_MedDisc_HasDose_01</vt:lpstr>
      <vt:lpstr>_Glob_MedDisc_HasDose_02</vt:lpstr>
      <vt:lpstr>_Glob_MedDisc_HasDose_03</vt:lpstr>
      <vt:lpstr>_Glob_MedDisc_HasDose_04</vt:lpstr>
      <vt:lpstr>_Glob_MedDisc_HasDose_05</vt:lpstr>
      <vt:lpstr>_Glob_MedDisc_HasDose_06</vt:lpstr>
      <vt:lpstr>_Glob_MedDisc_HasDose_07</vt:lpstr>
      <vt:lpstr>_Glob_MedDisc_HasDose_08</vt:lpstr>
      <vt:lpstr>_Glob_MedDisc_HasDose_09</vt:lpstr>
      <vt:lpstr>_Glob_MedDisc_HasDose_10</vt:lpstr>
      <vt:lpstr>_Glob_MedDisc_HasDose_11</vt:lpstr>
      <vt:lpstr>_Glob_MedDisc_HasDose_12</vt:lpstr>
      <vt:lpstr>_Glob_MedDisc_HasDose_13</vt:lpstr>
      <vt:lpstr>_Glob_MedDisc_HasDose_14</vt:lpstr>
      <vt:lpstr>_Glob_MedDisc_HasDose_15</vt:lpstr>
      <vt:lpstr>_Glob_MedDisc_HasDose_16</vt:lpstr>
      <vt:lpstr>_Glob_MedDisc_HasDose_17</vt:lpstr>
      <vt:lpstr>_Glob_MedDisc_HasDose_18</vt:lpstr>
      <vt:lpstr>_Glob_MedDisc_HasDose_19</vt:lpstr>
      <vt:lpstr>_Glob_MedDisc_HasDose_20</vt:lpstr>
      <vt:lpstr>_Glob_MedDisc_HasDose_21</vt:lpstr>
      <vt:lpstr>_Glob_MedDisc_HasDose_22</vt:lpstr>
      <vt:lpstr>_Glob_MedDisc_HasDose_23</vt:lpstr>
      <vt:lpstr>_Glob_MedDisc_HasDose_24</vt:lpstr>
      <vt:lpstr>_Glob_MedDisc_HasDose_25</vt:lpstr>
      <vt:lpstr>_Glob_MedDisc_HasDose_26</vt:lpstr>
      <vt:lpstr>_Glob_MedDisc_HasDose_27</vt:lpstr>
      <vt:lpstr>_Glob_MedDisc_HasDose_28</vt:lpstr>
      <vt:lpstr>_Glob_MedDisc_HasDose_29</vt:lpstr>
      <vt:lpstr>_Glob_MedDisc_HasDose_30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_Glob_MedDisc_MaxConc_01</vt:lpstr>
      <vt:lpstr>_Glob_MedDisc_MaxConc_02</vt:lpstr>
      <vt:lpstr>_Glob_MedDisc_MaxConc_03</vt:lpstr>
      <vt:lpstr>_Glob_MedDisc_MaxConc_04</vt:lpstr>
      <vt:lpstr>_Glob_MedDisc_MaxConc_05</vt:lpstr>
      <vt:lpstr>_Glob_MedDisc_MaxConc_06</vt:lpstr>
      <vt:lpstr>_Glob_MedDisc_MaxConc_07</vt:lpstr>
      <vt:lpstr>_Glob_MedDisc_MaxConc_08</vt:lpstr>
      <vt:lpstr>_Glob_MedDisc_MaxConc_09</vt:lpstr>
      <vt:lpstr>_Glob_MedDisc_MaxConc_10</vt:lpstr>
      <vt:lpstr>_Glob_MedDisc_MaxConc_11</vt:lpstr>
      <vt:lpstr>_Glob_MedDisc_MaxConc_12</vt:lpstr>
      <vt:lpstr>_Glob_MedDisc_MaxConc_13</vt:lpstr>
      <vt:lpstr>_Glob_MedDisc_MaxConc_14</vt:lpstr>
      <vt:lpstr>_Glob_MedDisc_MaxConc_15</vt:lpstr>
      <vt:lpstr>_Glob_MedDisc_MaxConc_16</vt:lpstr>
      <vt:lpstr>_Glob_MedDisc_MaxConc_17</vt:lpstr>
      <vt:lpstr>_Glob_MedDisc_MaxConc_18</vt:lpstr>
      <vt:lpstr>_Glob_MedDisc_MaxConc_19</vt:lpstr>
      <vt:lpstr>_Glob_MedDisc_MaxConc_20</vt:lpstr>
      <vt:lpstr>_Glob_MedDisc_MaxConc_21</vt:lpstr>
      <vt:lpstr>_Glob_MedDisc_MaxConc_22</vt:lpstr>
      <vt:lpstr>_Glob_MedDisc_MaxConc_23</vt:lpstr>
      <vt:lpstr>_Glob_MedDisc_MaxConc_24</vt:lpstr>
      <vt:lpstr>_Glob_MedDisc_MaxConc_25</vt:lpstr>
      <vt:lpstr>_Glob_MedDisc_MaxConc_26</vt:lpstr>
      <vt:lpstr>_Glob_MedDisc_MaxConc_27</vt:lpstr>
      <vt:lpstr>_Glob_MedDisc_MaxConc_28</vt:lpstr>
      <vt:lpstr>_Glob_MedDisc_MaxConc_29</vt:lpstr>
      <vt:lpstr>_Glob_MedDisc_MaxConc_30</vt:lpstr>
      <vt:lpstr>_Glob_MedDisc_MaxDose_01</vt:lpstr>
      <vt:lpstr>_Glob_MedDisc_MaxDose_02</vt:lpstr>
      <vt:lpstr>_Glob_MedDisc_MaxDose_03</vt:lpstr>
      <vt:lpstr>_Glob_MedDisc_MaxDose_04</vt:lpstr>
      <vt:lpstr>_Glob_MedDisc_MaxDose_05</vt:lpstr>
      <vt:lpstr>_Glob_MedDisc_MaxDose_06</vt:lpstr>
      <vt:lpstr>_Glob_MedDisc_MaxDose_07</vt:lpstr>
      <vt:lpstr>_Glob_MedDisc_MaxDose_08</vt:lpstr>
      <vt:lpstr>_Glob_MedDisc_MaxDose_09</vt:lpstr>
      <vt:lpstr>_Glob_MedDisc_MaxDose_10</vt:lpstr>
      <vt:lpstr>_Glob_MedDisc_MaxDose_11</vt:lpstr>
      <vt:lpstr>_Glob_MedDisc_MaxDose_12</vt:lpstr>
      <vt:lpstr>_Glob_MedDisc_MaxDose_13</vt:lpstr>
      <vt:lpstr>_Glob_MedDisc_MaxDose_14</vt:lpstr>
      <vt:lpstr>_Glob_MedDisc_MaxDose_15</vt:lpstr>
      <vt:lpstr>_Glob_MedDisc_MaxDose_16</vt:lpstr>
      <vt:lpstr>_Glob_MedDisc_MaxDose_17</vt:lpstr>
      <vt:lpstr>_Glob_MedDisc_MaxDose_18</vt:lpstr>
      <vt:lpstr>_Glob_MedDisc_MaxDose_19</vt:lpstr>
      <vt:lpstr>_Glob_MedDisc_MaxDose_20</vt:lpstr>
      <vt:lpstr>_Glob_MedDisc_MaxDose_21</vt:lpstr>
      <vt:lpstr>_Glob_MedDisc_MaxDose_22</vt:lpstr>
      <vt:lpstr>_Glob_MedDisc_MaxDose_23</vt:lpstr>
      <vt:lpstr>_Glob_MedDisc_MaxDose_24</vt:lpstr>
      <vt:lpstr>_Glob_MedDisc_MaxDose_25</vt:lpstr>
      <vt:lpstr>_Glob_MedDisc_MaxDose_26</vt:lpstr>
      <vt:lpstr>_Glob_MedDisc_MaxDose_27</vt:lpstr>
      <vt:lpstr>_Glob_MedDisc_MaxDose_28</vt:lpstr>
      <vt:lpstr>_Glob_MedDisc_MaxDose_29</vt:lpstr>
      <vt:lpstr>_Glob_MedDisc_MaxDose_30</vt:lpstr>
      <vt:lpstr>_Glob_MedDisc_MaxKeer_01</vt:lpstr>
      <vt:lpstr>_Glob_MedDisc_MaxKeer_02</vt:lpstr>
      <vt:lpstr>_Glob_MedDisc_MaxKeer_03</vt:lpstr>
      <vt:lpstr>_Glob_MedDisc_MaxKeer_04</vt:lpstr>
      <vt:lpstr>_Glob_MedDisc_MaxKeer_05</vt:lpstr>
      <vt:lpstr>_Glob_MedDisc_MaxKeer_06</vt:lpstr>
      <vt:lpstr>_Glob_MedDisc_MaxKeer_07</vt:lpstr>
      <vt:lpstr>_Glob_MedDisc_MaxKeer_08</vt:lpstr>
      <vt:lpstr>_Glob_MedDisc_MaxKeer_09</vt:lpstr>
      <vt:lpstr>_Glob_MedDisc_MaxKeer_10</vt:lpstr>
      <vt:lpstr>_Glob_MedDisc_MaxKeer_11</vt:lpstr>
      <vt:lpstr>_Glob_MedDisc_MaxKeer_12</vt:lpstr>
      <vt:lpstr>_Glob_MedDisc_MaxKeer_13</vt:lpstr>
      <vt:lpstr>_Glob_MedDisc_MaxKeer_14</vt:lpstr>
      <vt:lpstr>_Glob_MedDisc_MaxKeer_15</vt:lpstr>
      <vt:lpstr>_Glob_MedDisc_MaxKeer_16</vt:lpstr>
      <vt:lpstr>_Glob_MedDisc_MaxKeer_17</vt:lpstr>
      <vt:lpstr>_Glob_MedDisc_MaxKeer_18</vt:lpstr>
      <vt:lpstr>_Glob_MedDisc_MaxKeer_19</vt:lpstr>
      <vt:lpstr>_Glob_MedDisc_MaxKeer_20</vt:lpstr>
      <vt:lpstr>_Glob_MedDisc_MaxKeer_21</vt:lpstr>
      <vt:lpstr>_Glob_MedDisc_MaxKeer_22</vt:lpstr>
      <vt:lpstr>_Glob_MedDisc_MaxKeer_23</vt:lpstr>
      <vt:lpstr>_Glob_MedDisc_MaxKeer_24</vt:lpstr>
      <vt:lpstr>_Glob_MedDisc_MaxKeer_25</vt:lpstr>
      <vt:lpstr>_Glob_MedDisc_MaxKeer_26</vt:lpstr>
      <vt:lpstr>_Glob_MedDisc_MaxKeer_27</vt:lpstr>
      <vt:lpstr>_Glob_MedDisc_MaxKeer_28</vt:lpstr>
      <vt:lpstr>_Glob_MedDisc_MaxKeer_29</vt:lpstr>
      <vt:lpstr>_Glob_MedDisc_MaxKeer_30</vt:lpstr>
      <vt:lpstr>_Glob_MedDisc_MinTijd_01</vt:lpstr>
      <vt:lpstr>_Glob_MedDisc_MinTijd_02</vt:lpstr>
      <vt:lpstr>_Glob_MedDisc_MinTijd_03</vt:lpstr>
      <vt:lpstr>_Glob_MedDisc_MinTijd_04</vt:lpstr>
      <vt:lpstr>_Glob_MedDisc_MinTijd_05</vt:lpstr>
      <vt:lpstr>_Glob_MedDisc_MinTijd_06</vt:lpstr>
      <vt:lpstr>_Glob_MedDisc_MinTijd_07</vt:lpstr>
      <vt:lpstr>_Glob_MedDisc_MinTijd_08</vt:lpstr>
      <vt:lpstr>_Glob_MedDisc_MinTijd_09</vt:lpstr>
      <vt:lpstr>_Glob_MedDisc_MinTijd_10</vt:lpstr>
      <vt:lpstr>_Glob_MedDisc_MinTijd_11</vt:lpstr>
      <vt:lpstr>_Glob_MedDisc_MinTijd_12</vt:lpstr>
      <vt:lpstr>_Glob_MedDisc_MinTijd_13</vt:lpstr>
      <vt:lpstr>_Glob_MedDisc_MinTijd_14</vt:lpstr>
      <vt:lpstr>_Glob_MedDisc_MinTijd_15</vt:lpstr>
      <vt:lpstr>_Glob_MedDisc_MinTijd_16</vt:lpstr>
      <vt:lpstr>_Glob_MedDisc_MinTijd_17</vt:lpstr>
      <vt:lpstr>_Glob_MedDisc_MinTijd_18</vt:lpstr>
      <vt:lpstr>_Glob_MedDisc_MinTijd_19</vt:lpstr>
      <vt:lpstr>_Glob_MedDisc_MinTijd_20</vt:lpstr>
      <vt:lpstr>_Glob_MedDisc_MinTijd_21</vt:lpstr>
      <vt:lpstr>_Glob_MedDisc_MinTijd_22</vt:lpstr>
      <vt:lpstr>_Glob_MedDisc_MinTijd_23</vt:lpstr>
      <vt:lpstr>_Glob_MedDisc_MinTijd_24</vt:lpstr>
      <vt:lpstr>_Glob_MedDisc_MinTijd_25</vt:lpstr>
      <vt:lpstr>_Glob_MedDisc_MinTijd_26</vt:lpstr>
      <vt:lpstr>_Glob_MedDisc_MinTijd_27</vt:lpstr>
      <vt:lpstr>_Glob_MedDisc_MinTijd_28</vt:lpstr>
      <vt:lpstr>_Glob_MedDisc_MinTijd_29</vt:lpstr>
      <vt:lpstr>_Glob_MedDisc_MinTijd_30</vt:lpstr>
      <vt:lpstr>_Glob_MedDisc_NormDose_01</vt:lpstr>
      <vt:lpstr>_Glob_MedDisc_NormDose_02</vt:lpstr>
      <vt:lpstr>_Glob_MedDisc_NormDose_03</vt:lpstr>
      <vt:lpstr>_Glob_MedDisc_NormDose_04</vt:lpstr>
      <vt:lpstr>_Glob_MedDisc_NormDose_05</vt:lpstr>
      <vt:lpstr>_Glob_MedDisc_NormDose_06</vt:lpstr>
      <vt:lpstr>_Glob_MedDisc_NormDose_07</vt:lpstr>
      <vt:lpstr>_Glob_MedDisc_NormDose_08</vt:lpstr>
      <vt:lpstr>_Glob_MedDisc_NormDose_09</vt:lpstr>
      <vt:lpstr>_Glob_MedDisc_NormDose_10</vt:lpstr>
      <vt:lpstr>_Glob_MedDisc_NormDose_11</vt:lpstr>
      <vt:lpstr>_Glob_MedDisc_NormDose_12</vt:lpstr>
      <vt:lpstr>_Glob_MedDisc_NormDose_13</vt:lpstr>
      <vt:lpstr>_Glob_MedDisc_NormDose_14</vt:lpstr>
      <vt:lpstr>_Glob_MedDisc_NormDose_15</vt:lpstr>
      <vt:lpstr>_Glob_MedDisc_NormDose_16</vt:lpstr>
      <vt:lpstr>_Glob_MedDisc_NormDose_17</vt:lpstr>
      <vt:lpstr>_Glob_MedDisc_NormDose_18</vt:lpstr>
      <vt:lpstr>_Glob_MedDisc_NormDose_19</vt:lpstr>
      <vt:lpstr>_Glob_MedDisc_NormDose_20</vt:lpstr>
      <vt:lpstr>_Glob_MedDisc_NormDose_21</vt:lpstr>
      <vt:lpstr>_Glob_MedDisc_NormDose_22</vt:lpstr>
      <vt:lpstr>_Glob_MedDisc_NormDose_23</vt:lpstr>
      <vt:lpstr>_Glob_MedDisc_NormDose_24</vt:lpstr>
      <vt:lpstr>_Glob_MedDisc_NormDose_25</vt:lpstr>
      <vt:lpstr>_Glob_MedDisc_NormDose_26</vt:lpstr>
      <vt:lpstr>_Glob_MedDisc_NormDose_27</vt:lpstr>
      <vt:lpstr>_Glob_MedDisc_NormDose_28</vt:lpstr>
      <vt:lpstr>_Glob_MedDisc_NormDose_29</vt:lpstr>
      <vt:lpstr>_Glob_MedDisc_NormDose_30</vt:lpstr>
      <vt:lpstr>_Glob_MedDisc_Onder_01</vt:lpstr>
      <vt:lpstr>_Glob_MedDisc_Onder_02</vt:lpstr>
      <vt:lpstr>_Glob_MedDisc_Onder_03</vt:lpstr>
      <vt:lpstr>_Glob_MedDisc_Onder_04</vt:lpstr>
      <vt:lpstr>_Glob_MedDisc_Onder_05</vt:lpstr>
      <vt:lpstr>_Glob_MedDisc_Onder_06</vt:lpstr>
      <vt:lpstr>_Glob_MedDisc_Onder_07</vt:lpstr>
      <vt:lpstr>_Glob_MedDisc_Onder_08</vt:lpstr>
      <vt:lpstr>_Glob_MedDisc_Onder_09</vt:lpstr>
      <vt:lpstr>_Glob_MedDisc_Onder_10</vt:lpstr>
      <vt:lpstr>_Glob_MedDisc_Onder_11</vt:lpstr>
      <vt:lpstr>_Glob_MedDisc_Onder_12</vt:lpstr>
      <vt:lpstr>_Glob_MedDisc_Onder_13</vt:lpstr>
      <vt:lpstr>_Glob_MedDisc_Onder_14</vt:lpstr>
      <vt:lpstr>_Glob_MedDisc_Onder_15</vt:lpstr>
      <vt:lpstr>_Glob_MedDisc_Onder_16</vt:lpstr>
      <vt:lpstr>_Glob_MedDisc_Onder_17</vt:lpstr>
      <vt:lpstr>_Glob_MedDisc_Onder_18</vt:lpstr>
      <vt:lpstr>_Glob_MedDisc_Onder_19</vt:lpstr>
      <vt:lpstr>_Glob_MedDisc_Onder_20</vt:lpstr>
      <vt:lpstr>_Glob_MedDisc_Onder_21</vt:lpstr>
      <vt:lpstr>_Glob_MedDisc_Onder_22</vt:lpstr>
      <vt:lpstr>_Glob_MedDisc_Onder_23</vt:lpstr>
      <vt:lpstr>_Glob_MedDisc_Onder_24</vt:lpstr>
      <vt:lpstr>_Glob_MedDisc_Onder_25</vt:lpstr>
      <vt:lpstr>_Glob_MedDisc_Onder_26</vt:lpstr>
      <vt:lpstr>_Glob_MedDisc_Onder_27</vt:lpstr>
      <vt:lpstr>_Glob_MedDisc_Onder_28</vt:lpstr>
      <vt:lpstr>_Glob_MedDisc_Onder_29</vt:lpstr>
      <vt:lpstr>_Glob_MedDisc_Onder_30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_Glob_MedDisc_OplVlst_01</vt:lpstr>
      <vt:lpstr>_Glob_MedDisc_OplVlst_02</vt:lpstr>
      <vt:lpstr>_Glob_MedDisc_OplVlst_03</vt:lpstr>
      <vt:lpstr>_Glob_MedDisc_OplVlst_04</vt:lpstr>
      <vt:lpstr>_Glob_MedDisc_OplVlst_05</vt:lpstr>
      <vt:lpstr>_Glob_MedDisc_OplVlst_06</vt:lpstr>
      <vt:lpstr>_Glob_MedDisc_OplVlst_07</vt:lpstr>
      <vt:lpstr>_Glob_MedDisc_OplVlst_08</vt:lpstr>
      <vt:lpstr>_Glob_MedDisc_OplVlst_09</vt:lpstr>
      <vt:lpstr>_Glob_MedDisc_OplVlst_10</vt:lpstr>
      <vt:lpstr>_Glob_MedDisc_OplVlst_11</vt:lpstr>
      <vt:lpstr>_Glob_MedDisc_OplVlst_12</vt:lpstr>
      <vt:lpstr>_Glob_MedDisc_OplVlst_13</vt:lpstr>
      <vt:lpstr>_Glob_MedDisc_OplVlst_14</vt:lpstr>
      <vt:lpstr>_Glob_MedDisc_OplVlst_15</vt:lpstr>
      <vt:lpstr>_Glob_MedDisc_OplVlst_16</vt:lpstr>
      <vt:lpstr>_Glob_MedDisc_OplVlst_17</vt:lpstr>
      <vt:lpstr>_Glob_MedDisc_OplVlst_18</vt:lpstr>
      <vt:lpstr>_Glob_MedDisc_OplVlst_19</vt:lpstr>
      <vt:lpstr>_Glob_MedDisc_OplVlst_20</vt:lpstr>
      <vt:lpstr>_Glob_MedDisc_OplVlst_21</vt:lpstr>
      <vt:lpstr>_Glob_MedDisc_OplVlst_22</vt:lpstr>
      <vt:lpstr>_Glob_MedDisc_OplVlst_23</vt:lpstr>
      <vt:lpstr>_Glob_MedDisc_OplVlst_24</vt:lpstr>
      <vt:lpstr>_Glob_MedDisc_OplVlst_25</vt:lpstr>
      <vt:lpstr>_Glob_MedDisc_OplVlst_26</vt:lpstr>
      <vt:lpstr>_Glob_MedDisc_OplVlst_27</vt:lpstr>
      <vt:lpstr>_Glob_MedDisc_OplVlst_28</vt:lpstr>
      <vt:lpstr>_Glob_MedDisc_OplVlst_29</vt:lpstr>
      <vt:lpstr>_Glob_MedDisc_OplVlst_30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_Glob_MedDisc_PerDose_01</vt:lpstr>
      <vt:lpstr>_Glob_MedDisc_PerDose_02</vt:lpstr>
      <vt:lpstr>_Glob_MedDisc_PerDose_03</vt:lpstr>
      <vt:lpstr>_Glob_MedDisc_PerDose_04</vt:lpstr>
      <vt:lpstr>_Glob_MedDisc_PerDose_05</vt:lpstr>
      <vt:lpstr>_Glob_MedDisc_PerDose_06</vt:lpstr>
      <vt:lpstr>_Glob_MedDisc_PerDose_07</vt:lpstr>
      <vt:lpstr>_Glob_MedDisc_PerDose_08</vt:lpstr>
      <vt:lpstr>_Glob_MedDisc_PerDose_09</vt:lpstr>
      <vt:lpstr>_Glob_MedDisc_PerDose_10</vt:lpstr>
      <vt:lpstr>_Glob_MedDisc_PerDose_11</vt:lpstr>
      <vt:lpstr>_Glob_MedDisc_PerDose_12</vt:lpstr>
      <vt:lpstr>_Glob_MedDisc_PerDose_13</vt:lpstr>
      <vt:lpstr>_Glob_MedDisc_PerDose_14</vt:lpstr>
      <vt:lpstr>_Glob_MedDisc_PerDose_15</vt:lpstr>
      <vt:lpstr>_Glob_MedDisc_PerDose_16</vt:lpstr>
      <vt:lpstr>_Glob_MedDisc_PerDose_17</vt:lpstr>
      <vt:lpstr>_Glob_MedDisc_PerDose_18</vt:lpstr>
      <vt:lpstr>_Glob_MedDisc_PerDose_19</vt:lpstr>
      <vt:lpstr>_Glob_MedDisc_PerDose_20</vt:lpstr>
      <vt:lpstr>_Glob_MedDisc_PerDose_21</vt:lpstr>
      <vt:lpstr>_Glob_MedDisc_PerDose_22</vt:lpstr>
      <vt:lpstr>_Glob_MedDisc_PerDose_23</vt:lpstr>
      <vt:lpstr>_Glob_MedDisc_PerDose_24</vt:lpstr>
      <vt:lpstr>_Glob_MedDisc_PerDose_25</vt:lpstr>
      <vt:lpstr>_Glob_MedDisc_PerDose_26</vt:lpstr>
      <vt:lpstr>_Glob_MedDisc_PerDose_27</vt:lpstr>
      <vt:lpstr>_Glob_MedDisc_PerDose_28</vt:lpstr>
      <vt:lpstr>_Glob_MedDisc_PerDose_29</vt:lpstr>
      <vt:lpstr>_Glob_MedDisc_PerDose_30</vt:lpstr>
      <vt:lpstr>_Glob_MedDisc_PerKg_01</vt:lpstr>
      <vt:lpstr>_Glob_MedDisc_PerKg_02</vt:lpstr>
      <vt:lpstr>_Glob_MedDisc_PerKg_03</vt:lpstr>
      <vt:lpstr>_Glob_MedDisc_PerKg_04</vt:lpstr>
      <vt:lpstr>_Glob_MedDisc_PerKg_05</vt:lpstr>
      <vt:lpstr>_Glob_MedDisc_PerKg_06</vt:lpstr>
      <vt:lpstr>_Glob_MedDisc_PerKg_07</vt:lpstr>
      <vt:lpstr>_Glob_MedDisc_PerKg_08</vt:lpstr>
      <vt:lpstr>_Glob_MedDisc_PerKg_09</vt:lpstr>
      <vt:lpstr>_Glob_MedDisc_PerKg_10</vt:lpstr>
      <vt:lpstr>_Glob_MedDisc_PerKg_11</vt:lpstr>
      <vt:lpstr>_Glob_MedDisc_PerKg_12</vt:lpstr>
      <vt:lpstr>_Glob_MedDisc_PerKg_13</vt:lpstr>
      <vt:lpstr>_Glob_MedDisc_PerKg_14</vt:lpstr>
      <vt:lpstr>_Glob_MedDisc_PerKg_15</vt:lpstr>
      <vt:lpstr>_Glob_MedDisc_PerKg_16</vt:lpstr>
      <vt:lpstr>_Glob_MedDisc_PerKg_17</vt:lpstr>
      <vt:lpstr>_Glob_MedDisc_PerKg_18</vt:lpstr>
      <vt:lpstr>_Glob_MedDisc_PerKg_19</vt:lpstr>
      <vt:lpstr>_Glob_MedDisc_PerKg_20</vt:lpstr>
      <vt:lpstr>_Glob_MedDisc_PerKg_21</vt:lpstr>
      <vt:lpstr>_Glob_MedDisc_PerKg_22</vt:lpstr>
      <vt:lpstr>_Glob_MedDisc_PerKg_23</vt:lpstr>
      <vt:lpstr>_Glob_MedDisc_PerKg_24</vt:lpstr>
      <vt:lpstr>_Glob_MedDisc_PerKg_25</vt:lpstr>
      <vt:lpstr>_Glob_MedDisc_PerKg_26</vt:lpstr>
      <vt:lpstr>_Glob_MedDisc_PerKg_27</vt:lpstr>
      <vt:lpstr>_Glob_MedDisc_PerKg_28</vt:lpstr>
      <vt:lpstr>_Glob_MedDisc_PerKg_29</vt:lpstr>
      <vt:lpstr>_Glob_MedDisc_PerKg_30</vt:lpstr>
      <vt:lpstr>_Glob_MedDisc_PerM2_01</vt:lpstr>
      <vt:lpstr>_Glob_MedDisc_PerM2_02</vt:lpstr>
      <vt:lpstr>_Glob_MedDisc_PerM2_03</vt:lpstr>
      <vt:lpstr>_Glob_MedDisc_PerM2_04</vt:lpstr>
      <vt:lpstr>_Glob_MedDisc_PerM2_05</vt:lpstr>
      <vt:lpstr>_Glob_MedDisc_PerM2_06</vt:lpstr>
      <vt:lpstr>_Glob_MedDisc_PerM2_07</vt:lpstr>
      <vt:lpstr>_Glob_MedDisc_PerM2_08</vt:lpstr>
      <vt:lpstr>_Glob_MedDisc_PerM2_09</vt:lpstr>
      <vt:lpstr>_Glob_MedDisc_PerM2_10</vt:lpstr>
      <vt:lpstr>_Glob_MedDisc_PerM2_11</vt:lpstr>
      <vt:lpstr>_Glob_MedDisc_PerM2_12</vt:lpstr>
      <vt:lpstr>_Glob_MedDisc_PerM2_13</vt:lpstr>
      <vt:lpstr>_Glob_MedDisc_PerM2_14</vt:lpstr>
      <vt:lpstr>_Glob_MedDisc_PerM2_15</vt:lpstr>
      <vt:lpstr>_Glob_MedDisc_PerM2_16</vt:lpstr>
      <vt:lpstr>_Glob_MedDisc_PerM2_17</vt:lpstr>
      <vt:lpstr>_Glob_MedDisc_PerM2_18</vt:lpstr>
      <vt:lpstr>_Glob_MedDisc_PerM2_19</vt:lpstr>
      <vt:lpstr>_Glob_MedDisc_PerM2_20</vt:lpstr>
      <vt:lpstr>_Glob_MedDisc_PerM2_21</vt:lpstr>
      <vt:lpstr>_Glob_MedDisc_PerM2_22</vt:lpstr>
      <vt:lpstr>_Glob_MedDisc_PerM2_23</vt:lpstr>
      <vt:lpstr>_Glob_MedDisc_PerM2_24</vt:lpstr>
      <vt:lpstr>_Glob_MedDisc_PerM2_25</vt:lpstr>
      <vt:lpstr>_Glob_MedDisc_PerM2_26</vt:lpstr>
      <vt:lpstr>_Glob_MedDisc_PerM2_27</vt:lpstr>
      <vt:lpstr>_Glob_MedDisc_PerM2_28</vt:lpstr>
      <vt:lpstr>_Glob_MedDisc_PerM2_29</vt:lpstr>
      <vt:lpstr>_Glob_MedDisc_PerM2_30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_Neo_AfsprB_MaagsondeAfhanged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_Neo_AfsprD_OverigTekst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_Pat_Geslacht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_Ped_TPN_LipidKeuze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_User_FirstName</vt:lpstr>
      <vt:lpstr>_User_LastName</vt:lpstr>
      <vt:lpstr>_User_Login</vt:lpstr>
      <vt:lpstr>_User_Type</vt:lpstr>
      <vt:lpstr>NeoGuiAcuut!Afdrukbereik</vt:lpstr>
      <vt:lpstr>NeoPrtAfspr!Afdrukbereik</vt:lpstr>
      <vt:lpstr>NeoPrtApoth!Afdrukbereik</vt:lpstr>
      <vt:lpstr>NeoPrtMedDisc!Afdrukbereik</vt:lpstr>
      <vt:lpstr>NeoPrtWerkbr!Afdrukbereik</vt:lpstr>
      <vt:lpstr>NeoTblMedIV!Afdrukbereik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PedPrtTPN31tot50!Afdrukbereik</vt:lpstr>
      <vt:lpstr>PedPrtTPN50!Afdrukbereik</vt:lpstr>
      <vt:lpstr>PedPrtTPN7tot15!Afdrukbereik</vt:lpstr>
      <vt:lpstr>DB_DatabaseBusy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SettingUseDatabase</vt:lpstr>
      <vt:lpstr>Tbl_Admin_NeoMedCont</vt:lpstr>
      <vt:lpstr>Tbl_Admin_ParEnt</vt:lpstr>
      <vt:lpstr>Tbl_Admin_PedMedCont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Tbl_Glob_MedOpdr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Tbl_Neo_ValidContMed</vt:lpstr>
      <vt:lpstr>Tbl_Neo_Voed</vt:lpstr>
      <vt:lpstr>Tbl_NeoInfB_ValidTPN</vt:lpstr>
      <vt:lpstr>Tbl_Ped_aEEG</vt:lpstr>
      <vt:lpstr>Tbl_Ped_Beds</vt:lpstr>
      <vt:lpstr>Tbl_Ped_BerMedCont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Tbl_Ped_Lipid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Txt_Pat_Geslacht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Var_Glob_Versie</vt:lpstr>
      <vt:lpstr>Var_MedDisc_FreqText_01</vt:lpstr>
      <vt:lpstr>Var_MedDisc_FreqText_02</vt:lpstr>
      <vt:lpstr>Var_MedDisc_FreqText_03</vt:lpstr>
      <vt:lpstr>Var_MedDisc_FreqText_04</vt:lpstr>
      <vt:lpstr>Var_MedDisc_FreqText_05</vt:lpstr>
      <vt:lpstr>Var_MedDisc_FreqText_06</vt:lpstr>
      <vt:lpstr>Var_MedDisc_FreqText_07</vt:lpstr>
      <vt:lpstr>Var_MedDisc_FreqText_08</vt:lpstr>
      <vt:lpstr>Var_MedDisc_FreqText_09</vt:lpstr>
      <vt:lpstr>Var_MedDisc_FreqText_10</vt:lpstr>
      <vt:lpstr>Var_MedDisc_FreqText_11</vt:lpstr>
      <vt:lpstr>Var_MedDisc_FreqText_12</vt:lpstr>
      <vt:lpstr>Var_MedDisc_FreqText_13</vt:lpstr>
      <vt:lpstr>Var_MedDisc_FreqText_14</vt:lpstr>
      <vt:lpstr>Var_MedDisc_FreqText_15</vt:lpstr>
      <vt:lpstr>Var_MedDisc_FreqText_16</vt:lpstr>
      <vt:lpstr>Var_MedDisc_FreqText_17</vt:lpstr>
      <vt:lpstr>Var_MedDisc_FreqText_18</vt:lpstr>
      <vt:lpstr>Var_MedDisc_FreqText_19</vt:lpstr>
      <vt:lpstr>Var_MedDisc_FreqText_20</vt:lpstr>
      <vt:lpstr>Var_MedDisc_FreqText_21</vt:lpstr>
      <vt:lpstr>Var_MedDisc_FreqText_22</vt:lpstr>
      <vt:lpstr>Var_MedDisc_FreqText_23</vt:lpstr>
      <vt:lpstr>Var_MedDisc_FreqText_24</vt:lpstr>
      <vt:lpstr>Var_MedDisc_FreqText_25</vt:lpstr>
      <vt:lpstr>Var_MedDisc_FreqText_26</vt:lpstr>
      <vt:lpstr>Var_MedDisc_FreqText_27</vt:lpstr>
      <vt:lpstr>Var_MedDisc_FreqText_28</vt:lpstr>
      <vt:lpstr>Var_MedDisc_FreqText_29</vt:lpstr>
      <vt:lpstr>Var_MedDisc_FreqText_30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Var_Neo_MedCont_VerdunningTekst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2018-05-18T09:38:04Z</cp:lastPrinted>
  <dcterms:created xsi:type="dcterms:W3CDTF">2000-03-04T00:29:05Z</dcterms:created>
  <dcterms:modified xsi:type="dcterms:W3CDTF">2018-11-14T13:27:19Z</dcterms:modified>
</cp:coreProperties>
</file>