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drawings/drawing12.xml" ContentType="application/vnd.openxmlformats-officedocument.drawing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xWindow="-15" yWindow="6120" windowWidth="19230" windowHeight="2730" tabRatio="912" firstSheet="1" activeTab="1"/>
  </bookViews>
  <sheets>
    <sheet name="Global--&gt;" sheetId="76" r:id="rId1"/>
    <sheet name="GlobGuiFront" sheetId="82" r:id="rId2"/>
    <sheet name="GlobGuiMedDisc" sheetId="13" r:id="rId3"/>
    <sheet name="GlobBerMedDisc" sheetId="14" r:id="rId4"/>
    <sheet name="GlobTblMedDisc" sheetId="83" r:id="rId5"/>
    <sheet name="GlobTblMedOpdr" sheetId="89" r:id="rId6"/>
    <sheet name="GlobBerLab" sheetId="86" r:id="rId7"/>
    <sheet name="GlobSettings" sheetId="75" r:id="rId8"/>
    <sheet name="GlobNames" sheetId="77" r:id="rId9"/>
    <sheet name="GlobBerConv" sheetId="25" r:id="rId10"/>
    <sheet name="GlobTblParEnt" sheetId="80" r:id="rId11"/>
    <sheet name="GlobTblEnt" sheetId="68" r:id="rId12"/>
    <sheet name="GlobBerNorm" sheetId="19" r:id="rId13"/>
    <sheet name="GlobBerSql" sheetId="88" r:id="rId14"/>
    <sheet name="GlobTemp" sheetId="7" r:id="rId15"/>
    <sheet name="Patient--&gt;" sheetId="65" r:id="rId16"/>
    <sheet name="PatText" sheetId="9" r:id="rId17"/>
    <sheet name="PatData" sheetId="8" r:id="rId18"/>
    <sheet name="PatDetails" sheetId="6" r:id="rId19"/>
    <sheet name="Pediatrie--&gt;" sheetId="63" r:id="rId20"/>
    <sheet name="PedGuiMedIV" sheetId="10" r:id="rId21"/>
    <sheet name="PedBerMedIV" sheetId="12" r:id="rId22"/>
    <sheet name="PedTblMedIV" sheetId="11" r:id="rId23"/>
    <sheet name="PedGuiLijnPM" sheetId="17" r:id="rId24"/>
    <sheet name="PedBerIVenPM" sheetId="18" r:id="rId25"/>
    <sheet name="PedTblIV" sheetId="70" r:id="rId26"/>
    <sheet name="PedGuiEntTPN" sheetId="20" r:id="rId27"/>
    <sheet name="PedBerEnt" sheetId="27" r:id="rId28"/>
    <sheet name="PedBerTPN" sheetId="21" r:id="rId29"/>
    <sheet name="PedBerTot" sheetId="24" r:id="rId30"/>
    <sheet name="PedTblParEnt" sheetId="81" r:id="rId31"/>
    <sheet name="PedTblEnt" sheetId="26" r:id="rId32"/>
    <sheet name="PedGuiLab" sheetId="58" r:id="rId33"/>
    <sheet name="PedBerLab" sheetId="57" r:id="rId34"/>
    <sheet name="PedGuiAfspr" sheetId="60" r:id="rId35"/>
    <sheet name="PedBerAfspr" sheetId="59" r:id="rId36"/>
    <sheet name="PedTblAfspr" sheetId="51" r:id="rId37"/>
    <sheet name="PedGuiAcuut" sheetId="3" r:id="rId38"/>
    <sheet name="PedTblLengte" sheetId="1" r:id="rId39"/>
    <sheet name="PedTblGew" sheetId="2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TPN31tot50" sheetId="31" r:id="rId46"/>
    <sheet name="PedPrtTPN50" sheetId="32" r:id="rId47"/>
    <sheet name="Neo--&gt;" sheetId="64" r:id="rId48"/>
    <sheet name="NeoGuiInfB" sheetId="39" r:id="rId49"/>
    <sheet name="NeoBerInfB" sheetId="45" r:id="rId50"/>
    <sheet name="NeoDataInfB" sheetId="78" r:id="rId51"/>
    <sheet name="NeoPrtWerkbr" sheetId="74" r:id="rId52"/>
    <sheet name="NeoTblMedIV" sheetId="71" r:id="rId53"/>
    <sheet name="NeoBerAdvies" sheetId="40" r:id="rId54"/>
    <sheet name="NeoTblEnt" sheetId="79" r:id="rId55"/>
    <sheet name="NeoTblLijst" sheetId="42" r:id="rId56"/>
    <sheet name="NeoGuiAfspr" sheetId="50" r:id="rId57"/>
    <sheet name="NeoBerAfspr" sheetId="52" r:id="rId58"/>
    <sheet name="NeoGuiLab" sheetId="56" r:id="rId59"/>
    <sheet name="NeoBerLab" sheetId="55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GlobNames!$A$1:$I$2209</definedName>
    <definedName name="_xlnm._FilterDatabase" localSheetId="14" hidden="1">GlobTemp!$A$2:$B$437</definedName>
    <definedName name="_xlnm._FilterDatabase" localSheetId="17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PedPrtTPN16tot30!$A$1:$H$42</definedName>
    <definedName name="_xlnm.Print_Area" localSheetId="42">PedPrtTPN2tot6!$A$1:$H$43</definedName>
    <definedName name="_xlnm.Print_Area" localSheetId="46">PedPrtTPN50!$A$1:$H$40</definedName>
    <definedName name="_xlnm.Print_Area" localSheetId="43">PedPrtTPN7tot15!$A$1:$H$43</definedName>
    <definedName name="_xlnm.Print_Area" localSheetId="45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NeoTblMedIV!$B$4:$S$26</definedName>
    <definedName name="Tbl_Admin_ParEnt">GlobTblParEnt!$B$5:$N$46</definedName>
    <definedName name="Tbl_Admin_PedMedCont">PedTblMedIV!$B$5:$Q$35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GlobTblMedOpdr!$A$1:$A$942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PatData!$A$1:$P$643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PedPrtTPN16tot30!$A$1:$H$42</definedName>
    <definedName name="Z_33CCADFA_0D48_46A6_8927_2B2144029216_.wvu.PrintArea" localSheetId="42" hidden="1">PedPrtTPN2tot6!$A$1:$H$43</definedName>
    <definedName name="Z_33CCADFA_0D48_46A6_8927_2B2144029216_.wvu.PrintArea" localSheetId="46" hidden="1">PedPrtTPN50!$A$1:$H$46</definedName>
    <definedName name="Z_33CCADFA_0D48_46A6_8927_2B2144029216_.wvu.PrintArea" localSheetId="43" hidden="1">PedPrtTPN7tot15!$A$1:$H$43</definedName>
    <definedName name="Z_33CCADFA_0D48_46A6_8927_2B2144029216_.wvu.PrintArea" localSheetId="45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B6" i="80" l="1"/>
  <c r="B7" i="80"/>
  <c r="B8" i="80"/>
  <c r="B9" i="80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0" i="88" l="1"/>
  <c r="B71" i="88"/>
  <c r="B72" i="88"/>
  <c r="B73" i="88"/>
  <c r="B74" i="88"/>
  <c r="I13" i="11" l="1"/>
  <c r="I12" i="11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D2209" i="77" l="1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852" i="8" l="1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J8" i="12" l="1"/>
  <c r="J9" i="12"/>
  <c r="J10" i="12"/>
  <c r="J11" i="12"/>
  <c r="J12" i="12"/>
  <c r="J13" i="12"/>
  <c r="J14" i="12"/>
  <c r="J15" i="12"/>
  <c r="J16" i="12"/>
  <c r="J17" i="12"/>
  <c r="J18" i="12"/>
  <c r="J19" i="12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D2" i="14"/>
  <c r="BA2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31" i="14"/>
  <c r="BB30" i="14"/>
  <c r="BB29" i="14"/>
  <c r="BB28" i="14"/>
  <c r="BB27" i="14"/>
  <c r="BB26" i="14"/>
  <c r="BB25" i="14"/>
  <c r="BB24" i="14"/>
  <c r="BB23" i="14"/>
  <c r="BB22" i="14"/>
  <c r="BB21" i="14"/>
  <c r="BB20" i="14"/>
  <c r="BB19" i="14"/>
  <c r="BB18" i="14"/>
  <c r="BB17" i="14"/>
  <c r="BB16" i="14"/>
  <c r="BB15" i="14"/>
  <c r="BB14" i="14"/>
  <c r="BB13" i="14"/>
  <c r="BB12" i="14"/>
  <c r="BB11" i="14"/>
  <c r="BB10" i="14"/>
  <c r="BB9" i="14"/>
  <c r="BB8" i="14"/>
  <c r="BB7" i="14"/>
  <c r="BB6" i="14"/>
  <c r="BB5" i="14"/>
  <c r="BB4" i="14"/>
  <c r="B26" i="6" l="1"/>
  <c r="D23" i="49"/>
  <c r="D9" i="49"/>
  <c r="D25" i="49"/>
  <c r="D8" i="49"/>
  <c r="D24" i="49"/>
  <c r="I56" i="39" l="1"/>
  <c r="N10" i="39"/>
  <c r="B67" i="88" l="1"/>
  <c r="B33" i="6" l="1"/>
  <c r="N4" i="13" s="1"/>
  <c r="B44" i="88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N12" i="39" l="1"/>
  <c r="B2" i="88"/>
  <c r="B3" i="88"/>
  <c r="B4" i="88"/>
  <c r="B5" i="88"/>
  <c r="B6" i="88"/>
  <c r="B7" i="88"/>
  <c r="B8" i="88"/>
  <c r="B9" i="88"/>
  <c r="B10" i="88"/>
  <c r="B11" i="88"/>
  <c r="B12" i="88"/>
  <c r="B13" i="88"/>
  <c r="B14" i="88"/>
  <c r="B15" i="88"/>
  <c r="B16" i="88"/>
  <c r="B17" i="88"/>
  <c r="B18" i="88"/>
  <c r="B19" i="88"/>
  <c r="B20" i="88"/>
  <c r="B21" i="88"/>
  <c r="B22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B2" i="14"/>
  <c r="B5" i="9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3" i="87" l="1"/>
  <c r="D2" i="87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B19" i="87" s="1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F51" i="74" l="1"/>
  <c r="J51" i="74"/>
  <c r="M53" i="74"/>
  <c r="N53" i="74" s="1"/>
  <c r="I51" i="74"/>
  <c r="C51" i="74"/>
  <c r="E51" i="74"/>
  <c r="H51" i="74"/>
  <c r="C53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J7" i="24" s="1"/>
  <c r="N3" i="24"/>
  <c r="N4" i="24"/>
  <c r="N6" i="24"/>
  <c r="J6" i="24" s="1"/>
  <c r="N5" i="24"/>
  <c r="J5" i="24" s="1"/>
  <c r="J3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AK12" i="12"/>
  <c r="AK13" i="12"/>
  <c r="AK14" i="12"/>
  <c r="AK15" i="12"/>
  <c r="AK16" i="12"/>
  <c r="AK17" i="12"/>
  <c r="AK18" i="12"/>
  <c r="AK19" i="12"/>
  <c r="B27" i="6"/>
  <c r="U17" i="11"/>
  <c r="U16" i="11"/>
  <c r="U9" i="11"/>
  <c r="U6" i="11"/>
  <c r="U33" i="11"/>
  <c r="U10" i="11"/>
  <c r="U26" i="11"/>
  <c r="U34" i="11"/>
  <c r="U25" i="11"/>
  <c r="U35" i="11"/>
  <c r="U24" i="11"/>
  <c r="U19" i="11"/>
  <c r="U14" i="11"/>
  <c r="U11" i="11"/>
  <c r="U5" i="11"/>
  <c r="U12" i="11"/>
  <c r="U18" i="11"/>
  <c r="U32" i="11"/>
  <c r="U20" i="11"/>
  <c r="U23" i="11"/>
  <c r="U30" i="11"/>
  <c r="U21" i="11"/>
  <c r="U31" i="11"/>
  <c r="U8" i="11"/>
  <c r="U22" i="11"/>
  <c r="U13" i="11"/>
  <c r="U7" i="11"/>
  <c r="U28" i="11"/>
  <c r="U29" i="11"/>
  <c r="U27" i="11"/>
  <c r="U15" i="11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1" i="14"/>
  <c r="BF30" i="14"/>
  <c r="BF29" i="14"/>
  <c r="BF28" i="14"/>
  <c r="BF27" i="14"/>
  <c r="BF26" i="14"/>
  <c r="BF25" i="14"/>
  <c r="BF24" i="14"/>
  <c r="BF23" i="14"/>
  <c r="BF22" i="14"/>
  <c r="BF21" i="14"/>
  <c r="BF20" i="14"/>
  <c r="BF19" i="14"/>
  <c r="BF18" i="14"/>
  <c r="BF17" i="14"/>
  <c r="BF16" i="14"/>
  <c r="BF15" i="14"/>
  <c r="BF14" i="14"/>
  <c r="BF13" i="14"/>
  <c r="BF12" i="14"/>
  <c r="BF11" i="14"/>
  <c r="BF10" i="14"/>
  <c r="BF9" i="14"/>
  <c r="BF8" i="14"/>
  <c r="BF7" i="14"/>
  <c r="BF6" i="14"/>
  <c r="BF5" i="14"/>
  <c r="BF4" i="14"/>
  <c r="BF3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O37" i="39" s="1"/>
  <c r="AL32" i="45"/>
  <c r="AZ32" i="45"/>
  <c r="AY32" i="45" s="1"/>
  <c r="Q23" i="45"/>
  <c r="K28" i="39" s="1"/>
  <c r="Q22" i="45"/>
  <c r="K26" i="39" s="1"/>
  <c r="AK32" i="45"/>
  <c r="G32" i="45"/>
  <c r="AH32" i="45"/>
  <c r="F135" i="9" l="1"/>
  <c r="P135" i="9" s="1"/>
  <c r="H135" i="9"/>
  <c r="AE32" i="45"/>
  <c r="AF32" i="45"/>
  <c r="AJ32" i="45" s="1"/>
  <c r="B37" i="39" s="1"/>
  <c r="E53" i="74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J6" i="87" s="1"/>
  <c r="B13" i="87" s="1"/>
  <c r="O23" i="45"/>
  <c r="H28" i="39" s="1"/>
  <c r="M23" i="45"/>
  <c r="G28" i="39" s="1"/>
  <c r="J23" i="45"/>
  <c r="AK31" i="45"/>
  <c r="G31" i="45"/>
  <c r="AK30" i="45"/>
  <c r="G30" i="45"/>
  <c r="AK29" i="45"/>
  <c r="G29" i="45"/>
  <c r="AK28" i="45"/>
  <c r="G28" i="45"/>
  <c r="AK27" i="45"/>
  <c r="G27" i="45"/>
  <c r="AK26" i="45"/>
  <c r="G26" i="45"/>
  <c r="AK25" i="45"/>
  <c r="G25" i="45"/>
  <c r="AK24" i="45"/>
  <c r="G24" i="45"/>
  <c r="G23" i="45"/>
  <c r="AK23" i="45"/>
  <c r="B115" i="9"/>
  <c r="AH30" i="45"/>
  <c r="AH29" i="45"/>
  <c r="AH28" i="45"/>
  <c r="AH23" i="45"/>
  <c r="AH26" i="45"/>
  <c r="AH24" i="45"/>
  <c r="AH31" i="45"/>
  <c r="AH27" i="45"/>
  <c r="AH25" i="45"/>
  <c r="AM17" i="45" l="1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AN5" i="12" s="1"/>
  <c r="T48" i="9" s="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B114" i="9"/>
  <c r="F48" i="9" l="1"/>
  <c r="L18" i="20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A57" i="87"/>
  <c r="J50" i="87"/>
  <c r="G48" i="87"/>
  <c r="G45" i="87"/>
  <c r="D48" i="87"/>
  <c r="D61" i="87"/>
  <c r="A59" i="87"/>
  <c r="A56" i="87"/>
  <c r="O45" i="87"/>
  <c r="G46" i="87"/>
  <c r="P59" i="87"/>
  <c r="G57" i="87"/>
  <c r="M48" i="87"/>
  <c r="J48" i="87"/>
  <c r="J61" i="87"/>
  <c r="G59" i="87"/>
  <c r="G56" i="87"/>
  <c r="D59" i="87"/>
  <c r="C56" i="87"/>
  <c r="M46" i="87"/>
  <c r="D50" i="87"/>
  <c r="A48" i="87"/>
  <c r="M57" i="87"/>
  <c r="P48" i="87"/>
  <c r="O56" i="87"/>
  <c r="P50" i="87"/>
  <c r="M45" i="87"/>
  <c r="I45" i="87"/>
  <c r="A45" i="87"/>
  <c r="A46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J65" i="5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C14" i="81"/>
  <c r="C15" i="81"/>
  <c r="C16" i="8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G60" i="5" l="1"/>
  <c r="T126" i="9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O5" i="12" s="1"/>
  <c r="C146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F3" i="29" l="1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C3" i="74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T25" i="11"/>
  <c r="S25" i="11"/>
  <c r="T24" i="11"/>
  <c r="S24" i="11"/>
  <c r="T23" i="11"/>
  <c r="S23" i="11"/>
  <c r="T22" i="11"/>
  <c r="I14" i="12" s="1"/>
  <c r="Y14" i="12" s="1"/>
  <c r="S22" i="1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T6" i="11"/>
  <c r="I13" i="12" s="1"/>
  <c r="Y13" i="12" s="1"/>
  <c r="S6" i="11"/>
  <c r="T5" i="11"/>
  <c r="S5" i="11"/>
  <c r="F18" i="19"/>
  <c r="M3" i="33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AG19" i="12"/>
  <c r="H62" i="9" s="1"/>
  <c r="I6" i="12"/>
  <c r="Y6" i="12" s="1"/>
  <c r="I19" i="12"/>
  <c r="Y19" i="12" s="1"/>
  <c r="I11" i="12"/>
  <c r="Y11" i="12" s="1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X5" i="12" s="1"/>
  <c r="S13" i="11"/>
  <c r="B4" i="32"/>
  <c r="B4" i="31"/>
  <c r="B4" i="30"/>
  <c r="B6" i="28"/>
  <c r="B5" i="29"/>
  <c r="AK9" i="12"/>
  <c r="P52" i="9" s="1"/>
  <c r="AK10" i="12"/>
  <c r="P53" i="9" s="1"/>
  <c r="AK11" i="12"/>
  <c r="P54" i="9" s="1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E38" i="21"/>
  <c r="D38" i="21"/>
  <c r="B61" i="9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77" i="9"/>
  <c r="B76" i="9"/>
  <c r="B59" i="9"/>
  <c r="B62" i="9"/>
  <c r="B58" i="9"/>
  <c r="B66" i="9"/>
  <c r="B65" i="9"/>
  <c r="B60" i="9"/>
  <c r="B64" i="9"/>
  <c r="B67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BK28" i="14" l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31" i="14"/>
  <c r="N30" i="14"/>
  <c r="N29" i="14"/>
  <c r="N27" i="14"/>
  <c r="N26" i="14"/>
  <c r="N25" i="14"/>
  <c r="N24" i="14"/>
  <c r="N23" i="14"/>
  <c r="N22" i="14"/>
  <c r="B44" i="9"/>
  <c r="BM28" i="14" l="1"/>
  <c r="BL28" i="14"/>
  <c r="BK25" i="14"/>
  <c r="BH25" i="14"/>
  <c r="BI25" i="14"/>
  <c r="BK22" i="14"/>
  <c r="BH22" i="14"/>
  <c r="BI22" i="14"/>
  <c r="BK24" i="14"/>
  <c r="BH24" i="14"/>
  <c r="BI24" i="14"/>
  <c r="BK26" i="14"/>
  <c r="BH26" i="14"/>
  <c r="BI26" i="14"/>
  <c r="BK31" i="14"/>
  <c r="BH31" i="14"/>
  <c r="BI31" i="14"/>
  <c r="BK29" i="14"/>
  <c r="BH29" i="14"/>
  <c r="BI29" i="14"/>
  <c r="BK23" i="14"/>
  <c r="BH23" i="14"/>
  <c r="BI23" i="14"/>
  <c r="BK27" i="14"/>
  <c r="BH27" i="14"/>
  <c r="BI27" i="14"/>
  <c r="BK30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O30" i="14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N37" i="13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A27" i="74"/>
  <c r="A24" i="74"/>
  <c r="E26" i="74" s="1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F45" i="74" l="1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C26" i="74"/>
  <c r="F24" i="74"/>
  <c r="C38" i="74"/>
  <c r="H36" i="74"/>
  <c r="J37" i="74"/>
  <c r="C36" i="74"/>
  <c r="E36" i="74"/>
  <c r="E38" i="74"/>
  <c r="J34" i="74"/>
  <c r="C33" i="74"/>
  <c r="H33" i="74"/>
  <c r="C35" i="74"/>
  <c r="E35" i="74"/>
  <c r="E33" i="74"/>
  <c r="E47" i="74"/>
  <c r="E45" i="74"/>
  <c r="J46" i="74"/>
  <c r="C45" i="74"/>
  <c r="H45" i="74"/>
  <c r="C47" i="74"/>
  <c r="H27" i="74"/>
  <c r="J28" i="74"/>
  <c r="C29" i="74"/>
  <c r="E29" i="74"/>
  <c r="E41" i="74"/>
  <c r="E39" i="74"/>
  <c r="H39" i="74"/>
  <c r="J40" i="74"/>
  <c r="C39" i="74"/>
  <c r="C41" i="74"/>
  <c r="E50" i="74"/>
  <c r="E48" i="74"/>
  <c r="C50" i="74"/>
  <c r="J49" i="74"/>
  <c r="H48" i="74"/>
  <c r="C48" i="74"/>
  <c r="H30" i="74"/>
  <c r="C32" i="74"/>
  <c r="J31" i="74"/>
  <c r="C30" i="74"/>
  <c r="E30" i="74"/>
  <c r="E32" i="74"/>
  <c r="E44" i="74"/>
  <c r="E42" i="74"/>
  <c r="C44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28" i="9"/>
  <c r="B131" i="9"/>
  <c r="B127" i="9"/>
  <c r="B133" i="9"/>
  <c r="B134" i="9"/>
  <c r="B126" i="9"/>
  <c r="B129" i="9"/>
  <c r="B130" i="9"/>
  <c r="B132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8" i="9"/>
  <c r="B124" i="9"/>
  <c r="B120" i="9"/>
  <c r="B119" i="9"/>
  <c r="B122" i="9"/>
  <c r="B123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Q56" i="45"/>
  <c r="AV56" i="45"/>
  <c r="AS56" i="45"/>
  <c r="AP56" i="45"/>
  <c r="AR56" i="45"/>
  <c r="AO56" i="45"/>
  <c r="AW56" i="45"/>
  <c r="AT56" i="45"/>
  <c r="AN56" i="45"/>
  <c r="AU56" i="45"/>
  <c r="AM56" i="45"/>
  <c r="AX56" i="45"/>
  <c r="B117" i="9"/>
  <c r="B116" i="9"/>
  <c r="B121" i="9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L57" i="45"/>
  <c r="AM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M58" i="45"/>
  <c r="AS57" i="45"/>
  <c r="AO57" i="45"/>
  <c r="AV57" i="45"/>
  <c r="AT57" i="45"/>
  <c r="AW57" i="45"/>
  <c r="AL58" i="45"/>
  <c r="O69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S58" i="45"/>
  <c r="AN57" i="45"/>
  <c r="AQ57" i="45"/>
  <c r="AQ58" i="45"/>
  <c r="AP57" i="45"/>
  <c r="AO58" i="45"/>
  <c r="AX57" i="45"/>
  <c r="AN58" i="45"/>
  <c r="AU57" i="45"/>
  <c r="AX58" i="45"/>
  <c r="AR58" i="45"/>
  <c r="AR57" i="45"/>
  <c r="AT58" i="45"/>
  <c r="AW58" i="45"/>
  <c r="AU58" i="45"/>
  <c r="AV58" i="45"/>
  <c r="AP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49" i="9"/>
  <c r="B50" i="9"/>
  <c r="B53" i="9"/>
  <c r="B51" i="9"/>
  <c r="B52" i="9"/>
  <c r="B54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6" i="9"/>
  <c r="B57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S4" i="14" s="1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12" i="14"/>
  <c r="S13" i="14"/>
  <c r="S14" i="14"/>
  <c r="S15" i="14"/>
  <c r="S16" i="14"/>
  <c r="S17" i="14"/>
  <c r="S18" i="14"/>
  <c r="S19" i="14"/>
  <c r="S20" i="14"/>
  <c r="S21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4" i="14" l="1"/>
  <c r="BA4" i="14" s="1"/>
  <c r="AP4" i="14"/>
  <c r="R11" i="13" s="1"/>
  <c r="BD3" i="14"/>
  <c r="BA3" i="14" s="1"/>
  <c r="AP3" i="14"/>
  <c r="R10" i="13" s="1"/>
  <c r="D23" i="16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J4" i="24" s="1"/>
  <c r="D5" i="3"/>
  <c r="P9" i="13"/>
  <c r="S9" i="13"/>
  <c r="E4" i="16"/>
  <c r="D4" i="16"/>
  <c r="F6" i="84" l="1"/>
  <c r="F6" i="16"/>
  <c r="F5" i="84"/>
  <c r="F5" i="16"/>
  <c r="R9" i="13"/>
  <c r="H7" i="27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Z7" i="27" l="1"/>
  <c r="D10" i="5" s="1"/>
  <c r="BK4" i="14"/>
  <c r="BH4" i="14"/>
  <c r="BI4" i="14"/>
  <c r="BK6" i="14"/>
  <c r="BH6" i="14"/>
  <c r="BI6" i="14"/>
  <c r="BK8" i="14"/>
  <c r="BH8" i="14"/>
  <c r="BI8" i="14"/>
  <c r="BK10" i="14"/>
  <c r="BH10" i="14"/>
  <c r="BI10" i="14"/>
  <c r="BK12" i="14"/>
  <c r="BH12" i="14"/>
  <c r="BI12" i="14"/>
  <c r="BK14" i="14"/>
  <c r="BH14" i="14"/>
  <c r="BI14" i="14"/>
  <c r="BK16" i="14"/>
  <c r="BH16" i="14"/>
  <c r="BI16" i="14"/>
  <c r="BK18" i="14"/>
  <c r="BH18" i="14"/>
  <c r="BI18" i="14"/>
  <c r="BK20" i="14"/>
  <c r="BH20" i="14"/>
  <c r="BI20" i="14"/>
  <c r="BK3" i="14"/>
  <c r="BH3" i="14"/>
  <c r="BI3" i="14"/>
  <c r="BK7" i="14"/>
  <c r="BH7" i="14"/>
  <c r="BI7" i="14"/>
  <c r="BK11" i="14"/>
  <c r="BH11" i="14"/>
  <c r="BI11" i="14"/>
  <c r="BK15" i="14"/>
  <c r="BH15" i="14"/>
  <c r="BI15" i="14"/>
  <c r="BK19" i="14"/>
  <c r="BH19" i="14"/>
  <c r="BI19" i="14"/>
  <c r="BK5" i="14"/>
  <c r="BH5" i="14"/>
  <c r="BI5" i="14"/>
  <c r="BK9" i="14"/>
  <c r="BH9" i="14"/>
  <c r="BI9" i="14"/>
  <c r="BK13" i="14"/>
  <c r="BH13" i="14"/>
  <c r="BI13" i="14"/>
  <c r="BK17" i="14"/>
  <c r="BH17" i="14"/>
  <c r="BI17" i="14"/>
  <c r="BK21" i="14"/>
  <c r="BH21" i="14"/>
  <c r="BI21" i="14"/>
  <c r="BK2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7" i="14"/>
  <c r="AE6" i="14"/>
  <c r="AE9" i="14"/>
  <c r="AE8" i="14"/>
  <c r="AE5" i="14"/>
  <c r="AE4" i="14"/>
  <c r="AE3" i="14"/>
  <c r="AE2" i="14"/>
  <c r="B78" i="9"/>
  <c r="B72" i="9"/>
  <c r="B70" i="9"/>
  <c r="B69" i="9"/>
  <c r="B37" i="9"/>
  <c r="B33" i="9"/>
  <c r="B29" i="9"/>
  <c r="B25" i="9"/>
  <c r="B21" i="9"/>
  <c r="B18" i="9"/>
  <c r="BM2" i="14" l="1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N28" i="13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3" i="9"/>
  <c r="B22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L10" i="24"/>
  <c r="L12" i="24"/>
  <c r="L9" i="24"/>
  <c r="L11" i="24"/>
  <c r="L4" i="24"/>
  <c r="M4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B74" i="9"/>
  <c r="L14" i="24"/>
  <c r="L7" i="24"/>
  <c r="M12" i="24"/>
  <c r="M10" i="24"/>
  <c r="M7" i="24"/>
  <c r="L13" i="24"/>
  <c r="L15" i="24"/>
  <c r="M11" i="24"/>
  <c r="L6" i="24"/>
  <c r="M9" i="24"/>
  <c r="L5" i="24"/>
  <c r="L8" i="24"/>
  <c r="L3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15" i="24"/>
  <c r="M13" i="24"/>
  <c r="M14" i="24"/>
  <c r="M6" i="24"/>
  <c r="M5" i="24"/>
  <c r="M8" i="24"/>
  <c r="M3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<sst xmlns="http://schemas.openxmlformats.org/spreadsheetml/2006/main" count="12073" uniqueCount="7083">
  <si>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</si>
  <si>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</si>
  <si>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</si>
  <si>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</si>
  <si>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</si>
  <si>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</si>
  <si>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</si>
  <si>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</si>
  <si>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</si>
  <si>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</si>
  <si>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</si>
  <si>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</si>
  <si>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</si>
  <si>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</si>
  <si>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</si>
  <si>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</si>
  <si>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</si>
  <si>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</si>
  <si>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</si>
  <si>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</si>
  <si>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</si>
  <si>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</si>
  <si>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</si>
  <si>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</si>
  <si>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</si>
  <si>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</si>
  <si>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</si>
  <si>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</si>
  <si>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</si>
  <si>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</si>
  <si>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</si>
  <si>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</si>
  <si>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</si>
  <si>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</si>
  <si>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</si>
  <si>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</si>
  <si>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</si>
  <si>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</si>
  <si>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</si>
  <si>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</si>
  <si>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</si>
  <si>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</si>
  <si>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</si>
  <si>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</si>
  <si>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</si>
  <si>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</si>
  <si>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</si>
  <si>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</si>
  <si>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</si>
  <si>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</si>
  <si>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</si>
  <si>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</si>
  <si>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</si>
  <si>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</si>
  <si>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</si>
  <si>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</si>
  <si>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</si>
  <si>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</si>
  <si>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</si>
  <si>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</si>
  <si>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</si>
  <si>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</si>
  <si>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</si>
  <si>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</si>
  <si>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</si>
  <si>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</si>
  <si>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</si>
  <si>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</si>
  <si>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</si>
  <si>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</si>
  <si>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</si>
  <si>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</si>
  <si>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</si>
  <si>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</si>
  <si>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</si>
  <si>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</si>
  <si>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</si>
  <si>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</si>
  <si>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</si>
  <si>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</si>
  <si>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</si>
  <si>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</si>
  <si>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</si>
  <si>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</si>
  <si>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</si>
  <si>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</si>
  <si>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</si>
  <si>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</si>
  <si>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</si>
  <si>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</si>
  <si>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</si>
  <si>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</si>
  <si>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</si>
  <si>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</si>
  <si>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</si>
  <si>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</si>
  <si>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</si>
  <si>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</si>
  <si>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</si>
  <si>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</si>
  <si>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</si>
  <si>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</si>
  <si>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</si>
  <si>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</si>
  <si>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</si>
  <si>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</si>
  <si>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</si>
  <si>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</si>
  <si>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</si>
  <si>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</si>
  <si>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</si>
  <si>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</si>
  <si>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</si>
  <si>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</si>
  <si>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</si>
  <si>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</si>
  <si>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</si>
  <si>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</si>
  <si>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</si>
  <si>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</si>
  <si>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</si>
  <si>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</si>
  <si>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</si>
  <si>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</si>
  <si>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</si>
  <si>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</si>
  <si>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</si>
  <si>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</si>
  <si>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</si>
  <si>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</si>
  <si>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</si>
  <si>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</si>
  <si>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</si>
  <si>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</si>
  <si>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</si>
  <si>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</si>
  <si>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</si>
  <si>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</si>
  <si>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</si>
  <si>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</si>
  <si>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</si>
  <si>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</si>
  <si>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</si>
  <si>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</si>
  <si>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</si>
  <si>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</si>
  <si>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</si>
  <si>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</si>
  <si>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</si>
  <si>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</si>
  <si>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</si>
  <si>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</si>
  <si>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</si>
  <si>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</si>
  <si>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</si>
  <si>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</si>
  <si>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</si>
  <si>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</si>
  <si>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</si>
  <si>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</si>
  <si>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</si>
  <si>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</si>
  <si>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</si>
  <si>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</si>
  <si>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</si>
  <si>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</si>
  <si>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</si>
  <si>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</si>
  <si>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</si>
  <si>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</si>
  <si>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</si>
  <si>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</si>
  <si>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</si>
  <si>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</si>
  <si>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</si>
  <si>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</si>
  <si>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</si>
  <si>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</si>
  <si>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</si>
  <si>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</si>
  <si>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</si>
  <si>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</si>
  <si>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</si>
  <si>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</si>
  <si>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</si>
  <si>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</si>
  <si>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</si>
  <si>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</si>
  <si>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</si>
  <si>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</si>
  <si>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</si>
  <si>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</si>
  <si>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</si>
  <si>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</si>
  <si>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</si>
  <si>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</si>
  <si>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</si>
  <si>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</si>
  <si>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</si>
  <si>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</si>
  <si>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</si>
  <si>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</si>
  <si>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</si>
  <si>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</si>
  <si>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</si>
  <si>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</si>
  <si>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</si>
  <si>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</si>
  <si>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</si>
  <si>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</si>
  <si>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</si>
  <si>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</si>
  <si>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</si>
  <si>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</si>
  <si>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</si>
  <si>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</si>
  <si>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</si>
  <si>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</si>
  <si>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</si>
  <si>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</si>
  <si>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</si>
  <si>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</si>
  <si>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</si>
  <si>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</si>
  <si>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</si>
  <si>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</si>
  <si>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</si>
  <si>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</si>
  <si>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</si>
  <si>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</si>
  <si>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</si>
  <si>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</si>
  <si>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</si>
  <si>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</si>
  <si>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</si>
  <si>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</si>
  <si>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</si>
  <si>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</si>
  <si>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</si>
  <si>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</si>
  <si>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</si>
  <si>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</si>
  <si>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</si>
  <si>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</si>
  <si>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</si>
  <si>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</si>
  <si>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</si>
  <si>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</si>
  <si>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</si>
  <si>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</si>
  <si>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</si>
  <si>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</si>
  <si>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</si>
  <si>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</si>
  <si>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</si>
  <si>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</si>
  <si>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</si>
  <si>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</si>
  <si>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</si>
  <si>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</si>
  <si>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</si>
  <si>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</si>
  <si>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</si>
  <si>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</si>
  <si>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</si>
  <si>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</si>
  <si>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</si>
  <si>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</si>
  <si>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</si>
  <si>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</si>
  <si>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</si>
  <si>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</si>
  <si>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</si>
  <si>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</si>
  <si>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</si>
  <si>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</si>
  <si>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</si>
  <si>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</si>
  <si>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</si>
  <si>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</si>
  <si>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</si>
  <si>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</si>
  <si>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</si>
  <si>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</si>
  <si>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</si>
  <si>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</si>
  <si>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</si>
  <si>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</si>
  <si>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</si>
  <si>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</si>
  <si>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</si>
  <si>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</si>
  <si>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</si>
  <si>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</si>
  <si>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</si>
  <si>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</si>
  <si>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</si>
  <si>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</si>
  <si>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</si>
  <si>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</si>
  <si>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</si>
  <si>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</si>
  <si>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</si>
  <si>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</si>
  <si>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</si>
  <si>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</si>
  <si>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</si>
  <si>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</si>
  <si>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</si>
  <si>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</si>
  <si>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</si>
  <si>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</si>
  <si>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</si>
  <si>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</si>
  <si>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</si>
  <si>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</si>
  <si>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</si>
  <si>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</si>
  <si>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</si>
  <si>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</si>
  <si>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</si>
  <si>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</si>
  <si>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</si>
  <si>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</si>
  <si>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</si>
  <si>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</si>
  <si>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</si>
  <si>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</si>
  <si>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</si>
  <si>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</si>
  <si>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</si>
  <si>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</si>
  <si>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</si>
  <si>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</si>
  <si>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</si>
  <si>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</si>
  <si>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</si>
  <si>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</si>
  <si>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</si>
  <si>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</si>
  <si>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</si>
  <si>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</si>
  <si>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</si>
  <si>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</si>
  <si>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</si>
  <si>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</si>
  <si>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</si>
  <si>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</si>
  <si>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</si>
  <si>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</si>
  <si>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</si>
  <si>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</si>
  <si>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</si>
  <si>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</si>
  <si>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</si>
  <si>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</si>
  <si>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</si>
  <si>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</si>
  <si>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</si>
  <si>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</si>
  <si>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</si>
  <si>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</si>
  <si>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</si>
  <si>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</si>
  <si>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</si>
  <si>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</si>
  <si>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</si>
  <si>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</si>
  <si>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</si>
  <si>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</si>
  <si>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</si>
  <si>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</si>
  <si>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</si>
  <si>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</si>
  <si>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</si>
  <si>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</si>
  <si>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</si>
  <si>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</si>
  <si>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</si>
  <si>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</si>
  <si>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</si>
  <si>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</si>
  <si>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</si>
  <si>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</si>
  <si>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</si>
  <si>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</si>
  <si>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</si>
  <si>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</si>
  <si>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</si>
  <si>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</si>
  <si>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</si>
  <si>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</si>
  <si>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</si>
  <si>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</si>
  <si>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</si>
  <si>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</si>
  <si>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</si>
  <si>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</si>
  <si>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</si>
  <si>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</si>
  <si>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</si>
  <si>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</si>
  <si>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</si>
  <si>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</si>
  <si>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</si>
  <si>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</si>
  <si>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</si>
  <si>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</si>
  <si>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</si>
  <si>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</si>
  <si>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</si>
  <si>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</si>
  <si>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</si>
  <si>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</si>
  <si>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</si>
  <si>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</si>
  <si>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</si>
  <si>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</si>
  <si>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</si>
  <si>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</si>
  <si>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</si>
  <si>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</si>
  <si>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</si>
  <si>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</si>
  <si>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</si>
  <si>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</si>
  <si>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</si>
  <si>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</si>
  <si>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</si>
  <si>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</si>
  <si>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</si>
  <si>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</si>
  <si>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</si>
  <si>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</si>
  <si>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</si>
  <si>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</si>
  <si>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</si>
  <si>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</si>
  <si>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</si>
  <si>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</si>
  <si>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</si>
  <si>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</si>
  <si>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</si>
  <si>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</si>
  <si>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</si>
  <si>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</si>
  <si>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</si>
  <si>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</si>
  <si>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</si>
  <si>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</si>
  <si>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</si>
  <si>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</si>
  <si>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</si>
  <si>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</si>
  <si>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</si>
  <si>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</si>
  <si>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</si>
  <si>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</si>
  <si>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</si>
  <si>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</si>
  <si>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</si>
  <si>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</si>
  <si>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</si>
  <si>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</si>
  <si>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</si>
  <si>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</si>
  <si>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</si>
  <si>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</si>
  <si>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</si>
  <si>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</si>
  <si>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</si>
  <si>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</si>
  <si>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</si>
  <si>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</si>
  <si>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</si>
  <si>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</si>
  <si>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</si>
  <si>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</si>
  <si>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</si>
  <si>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</si>
  <si>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</si>
  <si>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</si>
  <si>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</si>
  <si>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</si>
  <si>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</si>
  <si>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</si>
  <si>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</si>
  <si>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</si>
  <si>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</si>
  <si>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</si>
  <si>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</si>
  <si>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</si>
  <si>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</si>
  <si>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</si>
  <si>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</si>
  <si>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</si>
  <si>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</si>
  <si>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</si>
  <si>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</si>
  <si>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</si>
  <si>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</si>
  <si>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</si>
  <si>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</si>
  <si>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</si>
  <si>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</si>
  <si>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</si>
  <si>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</si>
  <si>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</si>
  <si>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</si>
  <si>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</si>
  <si>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</si>
  <si>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</si>
  <si>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</si>
  <si>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</si>
  <si>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</si>
  <si>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</si>
  <si>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</si>
  <si>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</si>
  <si>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</si>
  <si>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</si>
  <si>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</si>
  <si>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</si>
  <si>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</si>
  <si>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</si>
  <si>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</si>
  <si>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</si>
  <si>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</si>
  <si>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</si>
  <si>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</si>
  <si>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</si>
  <si>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</si>
  <si>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</si>
  <si>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</si>
  <si>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</si>
  <si>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</si>
  <si>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</si>
  <si>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</si>
  <si>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</si>
  <si>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</si>
  <si>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</si>
  <si>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</si>
  <si>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</si>
  <si>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</si>
  <si>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</si>
  <si>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</si>
  <si>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</si>
  <si>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</si>
  <si>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</si>
  <si>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</si>
  <si>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</si>
  <si>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</si>
  <si>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</si>
  <si>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</si>
  <si>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</si>
  <si>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</si>
  <si>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</si>
  <si>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</si>
  <si>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</si>
  <si>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</si>
  <si>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</si>
  <si>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</si>
  <si>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</si>
  <si>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</si>
  <si>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</si>
  <si>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</si>
  <si>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</si>
  <si>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</si>
  <si>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</si>
  <si>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</si>
  <si>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</si>
  <si>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</si>
  <si>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</si>
  <si>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</si>
  <si>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</si>
  <si>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</si>
  <si>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</si>
  <si>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</si>
  <si>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</si>
  <si>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</si>
  <si>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</si>
  <si>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</si>
  <si>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</si>
  <si>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</si>
  <si>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</si>
  <si>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</si>
  <si>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</si>
  <si>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</si>
  <si>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</si>
  <si>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</si>
  <si>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</si>
  <si>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</si>
  <si>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</si>
  <si>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</si>
  <si>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</si>
  <si>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</si>
  <si>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</si>
  <si>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</si>
  <si>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</si>
  <si>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</si>
  <si>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</si>
  <si>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</si>
  <si>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</si>
  <si>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</si>
  <si>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</si>
  <si>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</si>
  <si>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</si>
  <si>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</si>
  <si>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</si>
  <si>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</si>
  <si>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</si>
  <si>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</si>
  <si>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</si>
  <si>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</si>
  <si>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</si>
  <si>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</si>
  <si>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</si>
  <si>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</si>
  <si>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</si>
  <si>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</si>
  <si>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</si>
  <si>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</si>
  <si>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</si>
  <si>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</si>
  <si>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</si>
  <si>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</si>
  <si>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</si>
  <si>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</si>
  <si>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</si>
  <si>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</si>
  <si>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</si>
  <si>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</si>
  <si>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</si>
  <si>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</si>
  <si>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</si>
  <si>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</si>
  <si>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</si>
  <si>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</si>
  <si>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</si>
  <si>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</si>
  <si>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</si>
  <si>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</si>
  <si>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</si>
  <si>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</si>
  <si>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</si>
  <si>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</si>
  <si>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</si>
  <si>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</si>
  <si>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</si>
  <si>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</si>
  <si>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</si>
  <si>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</si>
  <si>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</si>
  <si>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</si>
  <si>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</si>
  <si>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</si>
  <si>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</si>
  <si>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</si>
  <si>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</si>
  <si>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</si>
  <si>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</si>
  <si>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</si>
  <si>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</si>
  <si>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</si>
  <si>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</si>
  <si>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</si>
  <si>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</si>
  <si>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</si>
  <si>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</si>
  <si>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</si>
  <si>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</si>
  <si>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</si>
  <si>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</si>
  <si>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</si>
  <si>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</si>
  <si>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</si>
  <si>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</si>
  <si>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</si>
  <si>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</si>
  <si>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</si>
  <si>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</si>
  <si>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</si>
  <si>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</si>
  <si>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</si>
  <si>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</si>
  <si>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</si>
  <si>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</si>
  <si>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</si>
  <si>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</si>
  <si>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</si>
  <si>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</si>
  <si>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</si>
  <si>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</si>
  <si>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</si>
  <si>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</si>
  <si>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</si>
  <si>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</si>
  <si>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</si>
  <si>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</si>
  <si>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</si>
  <si>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</si>
  <si>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</si>
  <si>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</si>
  <si>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</si>
  <si>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</si>
  <si>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</si>
  <si>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</si>
  <si>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</si>
  <si>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</si>
  <si>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</si>
  <si>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</si>
  <si>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</si>
  <si>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</si>
  <si>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</si>
  <si>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</si>
  <si>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</si>
  <si>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</si>
  <si>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</si>
  <si>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</si>
  <si>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</si>
  <si>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</si>
  <si>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</si>
  <si>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</si>
  <si>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</si>
  <si>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</si>
  <si>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</si>
  <si>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</si>
  <si>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</si>
  <si>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</si>
  <si>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</si>
  <si>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</si>
  <si>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</si>
  <si>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</si>
  <si>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</si>
  <si>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</si>
  <si>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</si>
  <si>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</si>
  <si>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</si>
  <si>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</si>
  <si>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</si>
  <si>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</si>
  <si>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</si>
  <si>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</si>
  <si>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</si>
  <si>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</si>
  <si>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</si>
  <si>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</si>
  <si>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</si>
  <si>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</si>
  <si>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</si>
  <si>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</si>
  <si>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</si>
  <si>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</si>
  <si>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</si>
  <si>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</si>
  <si>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</si>
  <si>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</si>
  <si>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</si>
  <si>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</si>
  <si>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</si>
  <si>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</si>
  <si>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</si>
  <si>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</si>
  <si>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</si>
  <si>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</si>
  <si>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</si>
  <si>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</si>
  <si>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</si>
  <si>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</si>
  <si>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</si>
  <si>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</si>
  <si>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</si>
  <si>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</si>
  <si>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</si>
  <si>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</si>
  <si>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</si>
  <si>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</si>
  <si>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</si>
  <si>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</si>
  <si>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</si>
  <si>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</si>
  <si>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</si>
  <si>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</si>
  <si>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</si>
  <si>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</si>
  <si>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</si>
  <si>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</si>
  <si>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</si>
  <si>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</si>
  <si>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</si>
  <si>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</si>
  <si>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</si>
  <si>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</si>
  <si>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</si>
  <si>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</si>
  <si>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</si>
  <si>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</si>
  <si>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</si>
  <si>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</si>
  <si>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</si>
  <si>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</si>
  <si>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</si>
  <si>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</si>
  <si>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</si>
  <si>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</si>
  <si>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</si>
  <si>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</si>
  <si>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</si>
  <si>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</si>
  <si>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</si>
  <si>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</si>
  <si>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</si>
  <si>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</si>
  <si>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</si>
  <si>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</si>
  <si>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</si>
  <si>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</si>
  <si>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</si>
  <si>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</si>
  <si>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</si>
  <si>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</si>
  <si>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</si>
  <si>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</si>
  <si>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</si>
  <si>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</si>
  <si>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</si>
  <si>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</si>
  <si>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</si>
  <si>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</si>
  <si>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</si>
  <si>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</si>
  <si>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</si>
  <si>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</si>
  <si>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</si>
  <si>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</si>
  <si>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</si>
  <si>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</si>
  <si>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</si>
  <si>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</si>
  <si>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</si>
  <si>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</si>
  <si>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</si>
  <si>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</si>
  <si>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</si>
  <si>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</si>
  <si>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</si>
  <si>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</si>
  <si>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</si>
  <si>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</si>
  <si>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</si>
  <si>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</si>
  <si>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</si>
  <si>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</si>
  <si>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</si>
  <si>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</si>
  <si>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</si>
  <si>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</si>
  <si>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</si>
  <si>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</si>
  <si>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</si>
  <si>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</si>
  <si>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</si>
  <si>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</si>
  <si>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</si>
  <si>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</si>
  <si>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</si>
  <si>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</si>
  <si>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</si>
  <si>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</si>
  <si>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</si>
  <si>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</si>
  <si>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</si>
  <si>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</si>
  <si>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</si>
  <si>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</si>
  <si>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</si>
  <si>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</si>
  <si>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</si>
  <si>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</si>
  <si>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</si>
  <si>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</si>
  <si>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</si>
  <si>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</si>
  <si>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</si>
  <si>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</si>
  <si>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</si>
  <si>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</si>
  <si>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</si>
  <si>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</si>
  <si>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</si>
  <si>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</si>
  <si>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</si>
  <si>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</si>
  <si>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</si>
  <si>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</si>
  <si>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</si>
  <si>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</si>
  <si>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</si>
  <si>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</si>
  <si>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</si>
  <si>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</si>
  <si>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</si>
  <si>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</si>
  <si>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</si>
  <si>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</si>
  <si>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</si>
  <si>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</si>
  <si>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</si>
  <si>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</si>
  <si>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</si>
  <si>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</si>
  <si>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</si>
  <si>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</si>
  <si>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</si>
  <si>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</si>
  <si>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</si>
  <si>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</si>
  <si>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</si>
  <si>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</si>
  <si>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</si>
  <si>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</si>
  <si>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</si>
  <si>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</si>
  <si>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</si>
  <si>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</si>
  <si>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</si>
  <si>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</si>
  <si>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</si>
  <si>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</si>
  <si>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</si>
  <si>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</si>
  <si>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</si>
  <si>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</si>
  <si>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</si>
  <si>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</si>
  <si>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</si>
  <si>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</si>
  <si>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</si>
  <si>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</si>
  <si>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</si>
  <si>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</si>
  <si>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</si>
  <si>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</si>
  <si>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</si>
  <si>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</si>
  <si>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</si>
  <si>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</si>
  <si>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</si>
  <si>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</si>
  <si>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</si>
  <si>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</si>
  <si>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</si>
  <si>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</si>
  <si>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</si>
  <si>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</si>
  <si>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</si>
  <si>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</si>
  <si>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</si>
  <si>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</si>
  <si>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</si>
  <si>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</si>
  <si>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</si>
  <si>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</si>
  <si>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</si>
  <si>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</si>
  <si>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</si>
  <si>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</si>
  <si>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</si>
  <si>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</si>
  <si>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</si>
  <si>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</si>
  <si>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</si>
  <si>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</si>
  <si>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</si>
  <si>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</si>
  <si>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</si>
  <si>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</si>
  <si>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</si>
  <si>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</si>
  <si>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</si>
  <si>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</si>
  <si>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</si>
  <si>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</si>
  <si>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</si>
  <si>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</si>
  <si>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</si>
  <si>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</si>
  <si>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</si>
  <si>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</si>
  <si>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</si>
  <si>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</si>
  <si>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</si>
  <si>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</si>
  <si>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</si>
  <si>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</si>
  <si>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</si>
  <si>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</si>
  <si>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</si>
  <si>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</si>
  <si>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</si>
  <si>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</si>
  <si>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</si>
  <si>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</si>
  <si>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</si>
  <si>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</si>
  <si>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</si>
  <si>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</si>
  <si>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</si>
  <si>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</si>
  <si>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</si>
  <si>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</si>
  <si>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</si>
  <si>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</si>
  <si>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</si>
  <si>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</si>
  <si>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</si>
  <si>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</si>
  <si>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</si>
  <si>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</si>
  <si>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</si>
  <si>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</si>
  <si>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</si>
  <si>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</si>
  <si>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</si>
  <si>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</si>
  <si>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</si>
  <si>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</si>
  <si>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</si>
  <si>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</si>
  <si>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</si>
  <si>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</si>
  <si>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</si>
  <si>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</si>
  <si>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</si>
  <si>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</si>
  <si>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</si>
  <si>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</si>
  <si>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</si>
  <si>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</si>
  <si>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</si>
  <si>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</si>
  <si>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</si>
  <si>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</si>
  <si>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</si>
  <si>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</si>
  <si>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</si>
  <si>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</si>
  <si>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</si>
  <si>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</si>
  <si>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</si>
  <si>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</si>
  <si>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</si>
  <si>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</si>
  <si>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</si>
  <si>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</si>
  <si>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</si>
  <si>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</si>
  <si>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</si>
  <si>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</si>
  <si>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</si>
  <si>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</si>
  <si>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</si>
  <si>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</si>
  <si>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</si>
  <si>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</si>
  <si>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</si>
  <si>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</si>
  <si>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</si>
  <si>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</si>
  <si>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</si>
  <si>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</si>
  <si>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</si>
  <si>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</si>
  <si>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</si>
  <si>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</si>
  <si>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</si>
  <si>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</si>
  <si>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</si>
  <si>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</si>
  <si>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</si>
  <si>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</si>
  <si>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</si>
  <si>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</si>
  <si>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</si>
  <si>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</si>
  <si>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</si>
  <si>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</si>
  <si>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</si>
  <si>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</si>
  <si>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</si>
  <si>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</si>
  <si>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</si>
  <si>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</si>
  <si>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</si>
  <si>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</si>
  <si>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</si>
  <si>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</si>
  <si>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</si>
  <si>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</si>
  <si>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</si>
  <si>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</si>
  <si>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</si>
  <si>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</si>
  <si>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</si>
  <si>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</si>
  <si>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</si>
  <si>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</si>
  <si>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</si>
  <si>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</si>
  <si>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</si>
  <si>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</si>
  <si>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</si>
  <si>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</si>
  <si>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</si>
  <si>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</si>
  <si>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</si>
  <si>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</si>
  <si>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</si>
  <si>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</si>
  <si>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</si>
  <si>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</si>
  <si>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</si>
  <si>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</si>
  <si>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</si>
  <si>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</si>
  <si>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</si>
  <si>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</si>
  <si>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</si>
  <si>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</si>
  <si>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</si>
  <si>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</si>
  <si>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</si>
  <si>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</si>
  <si>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</si>
  <si>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</si>
  <si>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</si>
  <si>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</si>
  <si>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</si>
  <si>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</si>
  <si>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</si>
  <si>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</si>
  <si>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</si>
  <si>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</si>
  <si>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</si>
  <si>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</si>
  <si>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</si>
  <si>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</si>
  <si>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</si>
  <si>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</si>
  <si>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</si>
  <si>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</si>
  <si>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</si>
  <si>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</si>
  <si>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</si>
  <si>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</si>
  <si>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</si>
  <si>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</si>
  <si>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</si>
  <si>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</si>
  <si>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</si>
  <si>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</si>
  <si>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</si>
  <si>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</si>
  <si>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</si>
  <si>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</si>
  <si>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</si>
  <si>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</si>
  <si>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</si>
  <si>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</si>
  <si>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</si>
  <si>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</si>
  <si>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</si>
  <si>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</si>
  <si>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</si>
  <si>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</si>
  <si>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</si>
  <si>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</si>
  <si>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</si>
  <si>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</si>
  <si>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</si>
  <si>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</si>
  <si>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</si>
  <si>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</si>
  <si>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</si>
  <si>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</si>
  <si>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</si>
  <si>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</si>
  <si>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</si>
  <si>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</si>
  <si>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</si>
  <si>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</si>
  <si>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</si>
  <si>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</si>
  <si>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</si>
  <si>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</si>
  <si>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</si>
  <si>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</si>
  <si>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</si>
  <si>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</si>
  <si>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</si>
  <si>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</si>
  <si>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</si>
  <si>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</si>
  <si>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</si>
  <si>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</si>
  <si>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</si>
  <si>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</si>
  <si>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</si>
  <si>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</si>
  <si>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</si>
  <si>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</si>
  <si>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</si>
  <si>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</si>
  <si>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</si>
  <si>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</si>
  <si>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</si>
  <si>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</si>
  <si>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</si>
  <si>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</si>
  <si>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</si>
  <si>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</si>
  <si>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</si>
  <si>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</si>
  <si>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</si>
  <si>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</si>
  <si>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</si>
  <si>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</si>
  <si>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</si>
  <si>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</si>
  <si>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</si>
  <si>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</si>
  <si>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</si>
  <si>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</si>
  <si>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</si>
  <si>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</si>
  <si>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</si>
  <si>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</si>
  <si>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</si>
  <si>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</si>
  <si>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</si>
  <si>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</si>
  <si>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</si>
  <si>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</si>
  <si>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</si>
  <si>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</si>
  <si>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</si>
  <si>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</si>
  <si>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</si>
  <si>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</si>
  <si>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</si>
  <si>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</si>
  <si>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</si>
  <si>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</si>
  <si>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</si>
  <si>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</si>
  <si>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</si>
  <si>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</si>
  <si>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</si>
  <si>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</si>
  <si>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</si>
  <si>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</si>
  <si>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</si>
  <si>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</si>
  <si>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</si>
  <si>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</si>
  <si>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</si>
  <si>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</si>
  <si>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</si>
  <si>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</si>
  <si>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</si>
  <si>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</si>
  <si>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</si>
  <si>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</si>
  <si>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</si>
  <si>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</si>
  <si>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</si>
  <si>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</si>
  <si>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</si>
  <si>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</si>
  <si>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</si>
  <si>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</si>
  <si>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</si>
  <si>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</si>
  <si>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</si>
  <si>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</si>
  <si>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</si>
  <si>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</si>
  <si>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</si>
  <si>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</si>
  <si>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</si>
  <si>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</si>
  <si>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</si>
  <si>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</si>
  <si>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</si>
  <si>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</si>
  <si>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</si>
  <si>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</si>
  <si>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</si>
  <si>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</si>
  <si>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</si>
  <si>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</si>
  <si>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</si>
  <si>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</si>
  <si>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</si>
  <si>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</si>
  <si>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</si>
  <si>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</si>
  <si>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</si>
  <si>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</si>
  <si>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</si>
  <si>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</si>
  <si>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</si>
  <si>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</si>
  <si>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</si>
  <si>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</si>
  <si>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</si>
  <si>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</si>
  <si>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</si>
  <si>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</si>
  <si>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</si>
  <si>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</si>
  <si>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</si>
  <si>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</si>
  <si>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</si>
  <si>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</si>
  <si>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</si>
  <si>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</si>
  <si>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</si>
  <si>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</si>
  <si>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</si>
  <si>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</si>
  <si>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</si>
  <si>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</si>
  <si>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</si>
  <si>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</si>
  <si>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</si>
  <si>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</si>
  <si>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</si>
  <si>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</si>
  <si>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</si>
  <si>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</si>
  <si>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</si>
  <si>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</si>
  <si>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</si>
  <si>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</si>
  <si>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</si>
  <si>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</si>
  <si>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</si>
  <si>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</si>
  <si>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</si>
  <si>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</si>
  <si>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</si>
  <si>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</si>
  <si>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</si>
  <si>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</si>
  <si>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</si>
  <si>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</si>
  <si>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</si>
  <si>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</si>
  <si>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</si>
  <si>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</si>
  <si>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</si>
  <si>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</si>
  <si>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</si>
  <si>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</si>
  <si>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</si>
  <si>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</si>
  <si>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</si>
  <si>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</si>
  <si>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</si>
  <si>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</si>
  <si>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</si>
  <si>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</si>
  <si>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</si>
  <si>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</si>
  <si>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</si>
  <si>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</si>
  <si>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</si>
  <si>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</si>
  <si>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</si>
  <si>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</si>
  <si>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</si>
  <si>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</si>
  <si>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</si>
  <si>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</si>
  <si>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</si>
  <si>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</si>
  <si>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</si>
  <si>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</si>
  <si>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</si>
  <si>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</si>
  <si>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</si>
  <si>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</si>
  <si>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</si>
  <si>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</si>
  <si>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</si>
  <si>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</si>
  <si>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</si>
  <si>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</si>
  <si>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</si>
  <si>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</si>
  <si>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</si>
  <si>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</si>
  <si>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</si>
  <si>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</si>
  <si>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</si>
  <si>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</si>
  <si>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</si>
  <si>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</si>
  <si>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</si>
  <si>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</si>
  <si>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</si>
  <si>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</si>
  <si>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</si>
  <si>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</si>
  <si>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</si>
  <si>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</si>
  <si>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</si>
  <si>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</si>
  <si>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</si>
  <si>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</si>
  <si>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</si>
  <si>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</si>
  <si>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</si>
  <si>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</si>
  <si>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</si>
  <si>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</si>
  <si>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</si>
  <si>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</si>
  <si>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</si>
  <si>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</si>
  <si>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</si>
  <si>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</si>
  <si>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</si>
  <si>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</si>
  <si>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</si>
  <si>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</si>
  <si>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</si>
  <si>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</si>
  <si>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</si>
  <si>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</si>
  <si>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</si>
  <si>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</si>
  <si>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</si>
  <si>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</si>
  <si>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</si>
  <si>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</si>
  <si>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</si>
  <si>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</si>
  <si>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</si>
  <si>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</si>
  <si>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</si>
  <si>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</si>
  <si>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</si>
  <si>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</si>
  <si>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</si>
  <si>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</si>
  <si>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</si>
  <si>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</si>
  <si>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</si>
  <si>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</si>
  <si>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</si>
  <si>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</si>
  <si>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</si>
  <si>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</si>
  <si>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</si>
  <si>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</si>
  <si>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</si>
  <si>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</si>
  <si>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</si>
  <si>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</si>
  <si>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</si>
  <si>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</si>
  <si>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</si>
  <si>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</si>
  <si>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</si>
  <si>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</si>
  <si>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</si>
  <si>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</si>
  <si>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</si>
  <si>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</si>
  <si>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</si>
  <si>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</si>
  <si>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</si>
  <si>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</si>
  <si>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</si>
  <si>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</si>
  <si>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</si>
  <si>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</si>
  <si>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</si>
  <si>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</si>
  <si>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</si>
  <si>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</si>
  <si>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</si>
  <si>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</si>
  <si>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</si>
  <si>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</si>
  <si>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</si>
  <si>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</si>
  <si>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</si>
  <si>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</si>
  <si>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</si>
  <si>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</si>
  <si>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</si>
  <si>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</si>
  <si>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</si>
  <si>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</si>
  <si>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</si>
  <si>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</si>
  <si>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</si>
  <si>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</si>
  <si>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</si>
  <si>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</si>
  <si>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</si>
  <si>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</si>
  <si>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</si>
  <si>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</si>
  <si>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</si>
  <si>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</si>
  <si>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</si>
  <si>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</si>
  <si>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</si>
  <si>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</si>
  <si>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</si>
  <si>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</si>
  <si>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</si>
  <si>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</si>
  <si>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</si>
  <si>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</si>
  <si>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</si>
  <si>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</si>
  <si>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</si>
  <si>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</si>
  <si>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</si>
  <si>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</si>
  <si>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</si>
  <si>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</si>
  <si>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</si>
  <si>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</si>
  <si>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</si>
  <si>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</si>
  <si>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</si>
  <si>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</si>
  <si>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</si>
  <si>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</si>
  <si>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</si>
  <si>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</si>
  <si>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</si>
  <si>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</si>
  <si>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</si>
  <si>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</si>
  <si>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</si>
  <si>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</si>
  <si>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</si>
  <si>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</si>
  <si>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</si>
  <si>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</si>
  <si>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</si>
  <si>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</si>
  <si>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</si>
  <si>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</si>
  <si>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</si>
  <si>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</si>
  <si>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</si>
  <si>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</si>
  <si>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</si>
  <si>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</si>
  <si>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</si>
  <si>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</si>
  <si>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</si>
  <si>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</si>
  <si>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</si>
  <si>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</si>
  <si>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</si>
  <si>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</si>
  <si>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</si>
  <si>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</si>
  <si>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</si>
  <si>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</si>
  <si>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</si>
  <si>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</si>
  <si>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</si>
  <si>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</si>
  <si>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</si>
  <si>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</si>
  <si>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</si>
  <si>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</si>
  <si>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</si>
  <si>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</si>
  <si>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</si>
  <si>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</si>
  <si>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</si>
  <si>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</si>
  <si>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</si>
  <si>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</si>
  <si>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</si>
  <si>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</si>
  <si>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</si>
  <si>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</si>
  <si>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</si>
  <si>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</si>
  <si>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</si>
  <si>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</si>
  <si>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</si>
  <si>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</si>
  <si>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</si>
  <si>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</si>
  <si>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</si>
  <si>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</si>
  <si>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</si>
  <si>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</si>
  <si>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</si>
  <si>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</si>
  <si>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</si>
  <si>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</si>
  <si>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</si>
  <si>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</si>
  <si>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</si>
  <si>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</si>
  <si>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</si>
  <si>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</si>
  <si>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</si>
  <si>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</si>
  <si>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</si>
  <si>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</si>
  <si>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</si>
  <si>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</si>
  <si>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</si>
  <si>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</si>
  <si>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</si>
  <si>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</si>
  <si>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</si>
  <si>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</si>
  <si>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</si>
  <si>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</si>
  <si>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</si>
  <si>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</si>
  <si>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</si>
  <si>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</si>
  <si>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</si>
  <si>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</si>
  <si>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</si>
  <si>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</si>
  <si>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</si>
  <si>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</si>
  <si>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</si>
  <si>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</si>
  <si>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</si>
  <si>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</si>
  <si>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</si>
  <si>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</si>
  <si>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</si>
  <si>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</si>
  <si>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</si>
  <si>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</si>
  <si>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</si>
  <si>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</si>
  <si>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</si>
  <si>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</si>
  <si>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</si>
  <si>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</si>
  <si>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</si>
  <si>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</si>
  <si>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</si>
  <si>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</si>
  <si>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</si>
  <si>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</si>
  <si>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</si>
  <si>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</si>
  <si>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</si>
  <si>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</si>
  <si>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</si>
  <si>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</si>
  <si>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</si>
  <si>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</si>
  <si>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</si>
  <si>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</si>
  <si>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</si>
  <si>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</si>
  <si>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</si>
  <si>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</si>
  <si>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</si>
  <si>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</si>
  <si>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</si>
  <si>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</si>
  <si>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</si>
  <si>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</si>
  <si>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</si>
  <si>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</si>
  <si>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</si>
  <si>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</si>
  <si>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</si>
  <si>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</si>
  <si>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</si>
  <si>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</si>
  <si>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</si>
  <si>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</si>
  <si>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</si>
  <si>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</si>
  <si>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</si>
  <si>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</si>
  <si>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</si>
  <si>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</si>
  <si>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</si>
  <si>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</si>
  <si>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</si>
  <si>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</si>
  <si>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</si>
  <si>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</si>
  <si>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</si>
  <si>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</si>
  <si>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</si>
  <si>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</si>
  <si>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</si>
  <si>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</si>
  <si>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</si>
  <si>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</si>
  <si>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</si>
  <si>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</si>
  <si>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</si>
  <si>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</si>
  <si>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</si>
  <si>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</si>
  <si>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</si>
  <si>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</si>
  <si>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</si>
  <si>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</si>
  <si>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</si>
  <si>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</si>
  <si>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</si>
  <si>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</si>
  <si>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</si>
  <si>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</si>
  <si>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</si>
  <si>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</si>
  <si>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</si>
  <si>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</si>
  <si>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</si>
  <si>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</si>
  <si>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</si>
  <si>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</si>
  <si>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</si>
  <si>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</si>
  <si>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</si>
  <si>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</si>
  <si>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</si>
  <si>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</si>
  <si>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</si>
  <si>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</si>
  <si>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</si>
  <si>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</si>
  <si>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</si>
  <si>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</si>
  <si>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</si>
  <si>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</si>
  <si>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</si>
  <si>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</si>
  <si>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</si>
  <si>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</si>
  <si>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</si>
  <si>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</si>
  <si>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</si>
  <si>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</si>
  <si>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</si>
  <si>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</si>
  <si>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</si>
  <si>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</si>
  <si>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</si>
  <si>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</si>
  <si>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</si>
  <si>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</si>
  <si>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</si>
  <si>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</si>
  <si>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</si>
  <si>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</si>
  <si>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</si>
  <si>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</si>
  <si>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</si>
  <si>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</si>
  <si>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</si>
  <si>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</si>
  <si>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</si>
  <si>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</si>
  <si>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</si>
  <si>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</si>
  <si>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</si>
  <si>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</si>
  <si>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</si>
  <si>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</si>
  <si>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</si>
  <si>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</si>
  <si>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</si>
  <si>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</si>
  <si>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</si>
  <si>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</si>
  <si>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</si>
  <si>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</si>
  <si>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</si>
  <si>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</si>
  <si>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</si>
  <si>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</si>
  <si>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</si>
  <si>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</si>
  <si>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</si>
  <si>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</si>
  <si>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</si>
  <si>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</si>
  <si>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</si>
  <si>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</si>
  <si>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</si>
  <si>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</si>
  <si>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</si>
  <si>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</si>
  <si>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</si>
  <si>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</si>
  <si>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</si>
  <si>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</si>
  <si>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</si>
  <si>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</si>
  <si>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</si>
  <si>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</si>
  <si>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</si>
  <si>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</si>
  <si>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</si>
  <si>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</si>
  <si>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</si>
  <si>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</si>
  <si>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</si>
  <si>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</si>
  <si>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</si>
  <si>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</si>
  <si>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</si>
  <si>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</si>
  <si>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</si>
  <si>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</si>
  <si>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</si>
  <si>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</si>
  <si>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</si>
  <si>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</si>
  <si>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</si>
  <si>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</si>
  <si>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</si>
  <si>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</si>
  <si>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</si>
  <si>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</si>
  <si>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</si>
  <si>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</si>
  <si>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</si>
  <si>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</si>
  <si>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</si>
  <si>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</si>
  <si>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</si>
  <si>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</si>
  <si>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</si>
  <si>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</si>
  <si>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</si>
  <si>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</si>
  <si>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</si>
  <si>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</si>
  <si>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</si>
  <si>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</si>
  <si>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</si>
  <si>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</si>
  <si>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</si>
  <si>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</si>
  <si>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</si>
  <si>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</si>
  <si>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</si>
  <si>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</si>
  <si>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</si>
  <si>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</si>
  <si>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</si>
  <si>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</si>
  <si>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</si>
  <si>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</si>
  <si>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</si>
  <si>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</si>
  <si>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</si>
  <si>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</si>
  <si>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</si>
  <si>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</si>
  <si>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</si>
  <si>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</si>
  <si>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</si>
  <si>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</si>
  <si>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</si>
  <si>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</si>
  <si>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</si>
  <si>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</si>
  <si>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</si>
  <si>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</si>
  <si>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</si>
  <si>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</si>
  <si>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</si>
  <si>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</si>
  <si>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</si>
  <si>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</si>
  <si>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</si>
  <si>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</si>
  <si>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</si>
  <si>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</si>
  <si>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</si>
  <si>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</si>
  <si>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</si>
  <si>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</si>
  <si>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</si>
  <si>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</si>
  <si>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</si>
  <si>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</si>
  <si>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</si>
  <si>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</si>
  <si>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</si>
  <si>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</si>
  <si>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</si>
  <si>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</si>
  <si>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</si>
  <si>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</si>
  <si>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</si>
  <si>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</si>
  <si>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</si>
  <si>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</si>
  <si>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</si>
  <si>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</si>
  <si>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</si>
  <si>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</si>
  <si>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</si>
  <si>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</si>
  <si>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</si>
  <si>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</si>
  <si>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</si>
  <si>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</si>
  <si>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</si>
  <si>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</si>
  <si>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</si>
  <si>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</si>
  <si>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</si>
  <si>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</si>
  <si>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</si>
  <si>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</si>
  <si>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</si>
  <si>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</si>
  <si>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</si>
  <si>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</si>
  <si>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</si>
  <si>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</si>
  <si>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</si>
  <si>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</si>
  <si>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</si>
  <si>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</si>
  <si>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</si>
  <si>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</si>
  <si>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</si>
  <si>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</si>
  <si>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</si>
  <si>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</si>
  <si>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</si>
  <si>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</si>
  <si>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</si>
  <si>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</si>
  <si>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</si>
  <si>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</si>
  <si>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</si>
  <si>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</si>
  <si>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</si>
  <si>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</si>
  <si>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</si>
  <si>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</si>
  <si>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</si>
  <si>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</si>
  <si>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</si>
  <si>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</si>
  <si>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</si>
  <si>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</si>
  <si>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</si>
  <si>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</si>
  <si>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</si>
  <si>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</si>
  <si>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</si>
  <si>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</si>
  <si>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</si>
  <si>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</si>
  <si>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</si>
  <si>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</si>
  <si>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</si>
  <si>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</si>
  <si>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</si>
  <si>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</si>
  <si>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</si>
  <si>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</si>
  <si>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</si>
  <si>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</si>
  <si>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</si>
  <si>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</si>
  <si>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</si>
  <si>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</si>
  <si>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</si>
  <si>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</si>
  <si>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</si>
  <si>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</si>
  <si>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</si>
  <si>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</si>
  <si>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</si>
  <si>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</si>
  <si>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</si>
  <si>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</si>
  <si>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</si>
  <si>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</si>
  <si>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</si>
  <si>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</si>
  <si>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</si>
  <si>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</si>
  <si>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</si>
  <si>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</si>
  <si>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</si>
  <si>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</si>
  <si>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</si>
  <si>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</si>
  <si>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</si>
  <si>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</si>
  <si>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</si>
  <si>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</si>
  <si>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</si>
  <si>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</si>
  <si>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</si>
  <si>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</si>
  <si>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</si>
  <si>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</si>
  <si>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</si>
  <si>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</si>
  <si>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</si>
  <si>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</si>
  <si>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</si>
  <si>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</si>
  <si>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</si>
  <si>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</si>
  <si>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</si>
  <si>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</si>
  <si>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</si>
  <si>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</si>
  <si>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</si>
  <si>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</si>
  <si>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</si>
  <si>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</si>
  <si>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</si>
  <si>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</si>
  <si>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</si>
  <si>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</si>
  <si>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</si>
  <si>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</si>
  <si>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</si>
  <si>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</si>
  <si>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</si>
  <si>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</si>
  <si>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</si>
  <si>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</si>
  <si>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</si>
  <si>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</si>
  <si>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</si>
  <si>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</si>
  <si>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</si>
  <si>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</si>
  <si>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</si>
  <si>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</si>
  <si>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</si>
  <si>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</si>
  <si>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</si>
  <si>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</si>
  <si>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</si>
  <si>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</si>
  <si>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</si>
  <si>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</si>
  <si>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</si>
  <si>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</si>
  <si>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</si>
  <si>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</si>
  <si>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</si>
  <si>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</si>
  <si>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</si>
  <si>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</si>
  <si>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</si>
  <si>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</si>
  <si>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</si>
  <si>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</si>
  <si>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</si>
  <si>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</si>
  <si>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</si>
  <si>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</si>
  <si>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</si>
  <si>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</si>
  <si>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</si>
  <si>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</si>
  <si>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</si>
  <si>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</si>
  <si>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</si>
  <si>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</si>
  <si>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</si>
  <si>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</si>
  <si>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</si>
  <si>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</si>
  <si>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</si>
  <si>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</si>
  <si>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</si>
  <si>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</si>
  <si>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</si>
  <si>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</si>
  <si>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</si>
  <si>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</si>
  <si>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</si>
  <si>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</si>
  <si>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</si>
  <si>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</si>
  <si>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</si>
  <si>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</si>
  <si>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</si>
  <si>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</si>
  <si>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</si>
  <si>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</si>
  <si>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</si>
  <si>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</si>
  <si>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</si>
  <si>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</si>
  <si>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</si>
  <si>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</si>
  <si>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</si>
  <si>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</si>
  <si>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</si>
  <si>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</si>
  <si>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</si>
  <si>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</si>
  <si>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</si>
  <si>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</si>
  <si>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</si>
  <si>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</si>
  <si>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</si>
  <si>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</si>
  <si>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</si>
  <si>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</si>
  <si>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</si>
  <si>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</si>
  <si>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</si>
  <si>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</si>
  <si>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</si>
  <si>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</si>
  <si>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</si>
  <si>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</si>
  <si>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</si>
  <si>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</si>
  <si>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</si>
  <si>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</si>
  <si>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</si>
  <si>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</si>
  <si>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</si>
  <si>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</si>
  <si>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</si>
  <si>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</si>
  <si>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</si>
  <si>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</si>
  <si>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</si>
  <si>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</si>
  <si>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</si>
  <si>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</si>
  <si>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</si>
  <si>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</si>
  <si>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</si>
  <si>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</si>
  <si>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</si>
  <si>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</si>
  <si>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</si>
  <si>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</si>
  <si>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</si>
  <si>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</si>
  <si>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</si>
  <si>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</si>
  <si>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</si>
  <si>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</si>
  <si>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</si>
  <si>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</si>
  <si>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</si>
  <si>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</si>
  <si>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</si>
  <si>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</si>
  <si>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</si>
  <si>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</si>
  <si>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</si>
  <si>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</si>
  <si>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</si>
  <si>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</si>
  <si>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</si>
  <si>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</si>
  <si>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</si>
  <si>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</si>
  <si>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</si>
  <si>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</si>
  <si>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</si>
  <si>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</si>
  <si>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</si>
  <si>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</si>
  <si>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</si>
  <si>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</si>
  <si>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</si>
  <si>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</si>
  <si>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</si>
  <si>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</si>
  <si>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</si>
  <si>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</si>
  <si>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</si>
  <si>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</si>
  <si>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</si>
  <si>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</si>
  <si>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</si>
  <si>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</si>
  <si>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</si>
  <si>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</si>
  <si>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</si>
  <si>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</si>
  <si>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</si>
  <si>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</si>
  <si>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</si>
  <si>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</si>
  <si>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</si>
  <si>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</si>
  <si>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</si>
  <si>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</si>
  <si>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</si>
  <si>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</si>
  <si>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</si>
  <si>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</si>
  <si>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</si>
  <si>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</si>
  <si>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</si>
  <si>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</si>
  <si>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</si>
  <si>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</si>
  <si>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</si>
  <si>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</si>
  <si>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</si>
  <si>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</si>
  <si>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</si>
  <si>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</si>
  <si>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</si>
  <si>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</si>
  <si>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</si>
  <si>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</si>
  <si>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</si>
  <si>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</si>
  <si>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</si>
  <si>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</si>
  <si>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</si>
  <si>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</si>
  <si>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</si>
  <si>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</si>
  <si>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</si>
  <si>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</si>
  <si>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</si>
  <si>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</si>
  <si>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</si>
  <si>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</si>
  <si>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</si>
  <si>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</si>
  <si>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</si>
  <si>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</si>
  <si>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</si>
  <si>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</si>
  <si>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</si>
  <si>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</si>
  <si>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</si>
  <si>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</si>
  <si>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</si>
  <si>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</si>
  <si>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</si>
  <si>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</si>
  <si>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</si>
  <si>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</si>
  <si>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</si>
  <si>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</si>
  <si>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</si>
  <si>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</si>
  <si>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</si>
  <si>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</si>
  <si>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</si>
  <si>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</si>
  <si>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</si>
  <si>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</si>
  <si>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</si>
  <si>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</si>
  <si>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</si>
  <si>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</si>
  <si>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</si>
  <si>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</si>
  <si>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</si>
  <si>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</si>
  <si>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</si>
  <si>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</si>
  <si>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</si>
  <si>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</si>
  <si>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</si>
  <si>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</si>
  <si>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</si>
  <si>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</si>
  <si>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</si>
  <si>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</si>
  <si>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</si>
  <si>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</si>
  <si>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</si>
  <si>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</si>
  <si>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</si>
  <si>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</si>
  <si>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</si>
  <si>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</si>
  <si>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</si>
  <si>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</si>
  <si>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</si>
  <si>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</si>
  <si>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</si>
  <si>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</si>
  <si>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</si>
  <si>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</si>
  <si>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</si>
  <si>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</si>
  <si>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</si>
  <si>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</si>
  <si>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</si>
  <si>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</si>
  <si>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</si>
  <si>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</si>
  <si>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</si>
  <si>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</si>
  <si>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</si>
  <si>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</si>
  <si>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</si>
  <si>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</si>
  <si>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</si>
  <si>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</si>
  <si>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</si>
  <si>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</si>
  <si>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</si>
  <si>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</si>
  <si>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</si>
  <si>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</si>
  <si>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</si>
  <si>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</si>
  <si>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</si>
  <si>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</si>
  <si>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</si>
  <si>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</si>
  <si>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</si>
  <si>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</si>
  <si>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</si>
  <si>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</si>
  <si>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</si>
  <si>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</si>
  <si>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</si>
  <si>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</si>
  <si>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</si>
  <si>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</si>
  <si>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</si>
  <si>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</si>
  <si>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</si>
  <si>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</si>
  <si>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</si>
  <si>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</si>
  <si>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</si>
  <si>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</si>
  <si>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</si>
  <si>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</si>
  <si>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</si>
  <si>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</si>
  <si>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</si>
  <si>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</si>
  <si>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</si>
  <si>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</si>
  <si>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</si>
  <si>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</si>
  <si>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</si>
  <si>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</si>
  <si>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</si>
  <si>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</si>
  <si>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</si>
  <si>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</si>
  <si>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</si>
  <si>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</si>
  <si>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</si>
  <si>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</si>
  <si>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</si>
  <si>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</si>
  <si>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</si>
  <si>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</si>
  <si>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</si>
  <si>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</si>
  <si>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</si>
  <si>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</si>
  <si>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</si>
  <si>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</si>
  <si>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</si>
  <si>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</si>
  <si>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</si>
  <si>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</si>
  <si>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</si>
  <si>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</si>
  <si>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</si>
  <si>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</si>
  <si>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</si>
  <si>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</si>
  <si>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</si>
  <si>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</si>
  <si>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</si>
  <si>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</si>
  <si>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</si>
  <si>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</si>
  <si>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</si>
  <si>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</si>
  <si>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</si>
  <si>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</si>
  <si>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</si>
  <si>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</si>
  <si>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</si>
  <si>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</si>
  <si>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</si>
  <si>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</si>
  <si>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</si>
  <si>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</si>
  <si>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</si>
  <si>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</si>
  <si>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</si>
  <si>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</si>
  <si>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</si>
  <si>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</si>
  <si>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</si>
  <si>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</si>
  <si>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</si>
  <si>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</si>
  <si>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</si>
  <si>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</si>
  <si>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</si>
  <si>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</si>
  <si>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</si>
  <si>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</si>
  <si>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</si>
  <si>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</si>
  <si>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</si>
  <si>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</si>
  <si>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</si>
  <si>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</si>
  <si>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</si>
  <si>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</si>
  <si>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</si>
  <si>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</si>
  <si>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</si>
  <si>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</si>
  <si>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</si>
  <si>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</si>
  <si>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</si>
  <si>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</si>
  <si>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</si>
  <si>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</si>
  <si>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</si>
  <si>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</si>
  <si>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</si>
  <si>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</si>
  <si>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</si>
  <si>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</si>
  <si>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</si>
  <si>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</si>
  <si>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</si>
  <si>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</si>
  <si>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</si>
  <si>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</si>
  <si>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</si>
  <si>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</si>
  <si>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</si>
  <si>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</si>
  <si>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</si>
  <si>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</si>
  <si>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</si>
  <si>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</si>
  <si>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</si>
  <si>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</si>
  <si>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</si>
  <si>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</si>
  <si>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</si>
  <si>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</si>
  <si>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</si>
  <si>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</si>
  <si>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</si>
  <si>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</si>
  <si>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</si>
  <si>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</si>
  <si>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</si>
  <si>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</si>
  <si>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</si>
  <si>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</si>
  <si>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</si>
  <si>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</si>
  <si>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</si>
  <si>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</si>
  <si>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</si>
  <si>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</si>
  <si>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</si>
  <si>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</si>
  <si>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</si>
  <si>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</si>
  <si>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</si>
  <si>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</si>
  <si>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</si>
  <si>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</si>
  <si>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</si>
  <si>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</si>
  <si>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</si>
  <si>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</si>
  <si>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</si>
  <si>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</si>
  <si>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</si>
  <si>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</si>
  <si>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</si>
  <si>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</si>
  <si>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</si>
  <si>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</si>
  <si>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</si>
  <si>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</si>
  <si>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</si>
  <si>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</si>
  <si>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</si>
  <si>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</si>
  <si>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</si>
  <si>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</si>
  <si>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</si>
  <si>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</si>
  <si>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</si>
  <si>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</si>
  <si>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</si>
  <si>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</si>
  <si>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</si>
  <si>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</si>
  <si>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</si>
  <si>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</si>
  <si>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</si>
  <si>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</si>
  <si>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</si>
  <si>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</si>
  <si>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</si>
  <si>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</si>
  <si>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</si>
  <si>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</si>
  <si>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</si>
  <si>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</si>
  <si>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</si>
  <si>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</si>
  <si>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</si>
  <si>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</si>
  <si>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</si>
  <si>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</si>
  <si>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</si>
  <si>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</si>
  <si>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</si>
  <si>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</si>
  <si>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</si>
  <si>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</si>
  <si>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</si>
  <si>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</si>
  <si>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</si>
  <si>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</si>
  <si>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</si>
  <si>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</si>
  <si>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</si>
  <si>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</si>
  <si>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</si>
  <si>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</si>
  <si>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</si>
  <si>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</si>
  <si>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</si>
  <si>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</si>
  <si>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</si>
  <si>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</si>
  <si>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</si>
  <si>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</si>
  <si>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</si>
  <si>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</si>
  <si>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</si>
  <si>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</si>
  <si>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</si>
  <si>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</si>
  <si>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</si>
  <si>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</si>
  <si>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</si>
  <si>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</si>
  <si>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</si>
  <si>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</si>
  <si>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</si>
  <si>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</si>
  <si>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</si>
  <si>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</si>
  <si>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</si>
  <si>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</si>
  <si>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</si>
  <si>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</si>
  <si>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</si>
  <si>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</si>
  <si>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</si>
  <si>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</si>
  <si>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</si>
  <si>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</si>
  <si>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</si>
  <si>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</si>
  <si>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</si>
  <si>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</si>
  <si>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</si>
  <si>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</si>
  <si>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</si>
  <si>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</si>
  <si>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</si>
  <si>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</si>
  <si>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</si>
  <si>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</si>
  <si>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</si>
  <si>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</si>
  <si>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</si>
  <si>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</si>
  <si>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</si>
  <si>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</si>
  <si>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</si>
  <si>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</si>
  <si>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</si>
  <si>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</si>
  <si>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</si>
  <si>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</si>
  <si>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</si>
  <si>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</si>
  <si>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</si>
  <si>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</si>
  <si>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</si>
  <si>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</si>
  <si>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</si>
  <si>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</si>
  <si>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</si>
  <si>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</si>
  <si>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</si>
  <si>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</si>
  <si>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</si>
  <si>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</si>
  <si>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</si>
  <si>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</si>
  <si>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</si>
  <si>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</si>
  <si>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</si>
  <si>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</si>
  <si>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</si>
  <si>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</si>
  <si>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</si>
  <si>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</si>
  <si>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</si>
  <si>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</si>
  <si>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</si>
  <si>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</si>
  <si>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</si>
  <si>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</si>
  <si>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</si>
  <si>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</si>
  <si>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</si>
  <si>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</si>
  <si>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</si>
  <si>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</si>
  <si>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</si>
  <si>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</si>
  <si>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</si>
  <si>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</si>
  <si>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</si>
  <si>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</si>
  <si>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</si>
  <si>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</si>
  <si>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</si>
  <si>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</si>
  <si>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</si>
  <si>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</si>
  <si>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</si>
  <si>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</si>
  <si>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</si>
  <si>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</si>
  <si>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</si>
  <si>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</si>
  <si>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</si>
  <si>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</si>
  <si>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</si>
  <si>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</si>
  <si>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</si>
  <si>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</si>
  <si>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</si>
  <si>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</si>
  <si>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</si>
  <si>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</si>
  <si>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</si>
  <si>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</si>
  <si>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</si>
  <si>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</si>
  <si>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</si>
  <si>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</si>
  <si>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</si>
  <si>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</si>
  <si>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</si>
  <si>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</si>
  <si>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</si>
  <si>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</si>
  <si>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</si>
  <si>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</si>
  <si>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</si>
  <si>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</si>
  <si>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</si>
  <si>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</si>
  <si>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</si>
  <si>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</si>
  <si>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</si>
  <si>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</si>
  <si>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</si>
  <si>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</si>
  <si>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</si>
  <si>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</si>
  <si>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</si>
  <si>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</si>
  <si>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</si>
  <si>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</si>
  <si>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</si>
  <si>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</si>
  <si>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</si>
  <si>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</si>
  <si>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</si>
  <si>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</si>
  <si>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</si>
  <si>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</si>
  <si>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</si>
  <si>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</si>
  <si>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</si>
  <si>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</si>
  <si>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</si>
  <si>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</si>
  <si>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</si>
  <si>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</si>
  <si>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</si>
  <si>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</si>
  <si>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</si>
  <si>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</si>
  <si>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</si>
  <si>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</si>
  <si>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</si>
  <si>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</si>
  <si>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</si>
  <si>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</si>
  <si>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</si>
  <si>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</si>
  <si>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</si>
  <si>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</si>
  <si>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</si>
  <si>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</si>
  <si>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</si>
  <si>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</si>
  <si>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</si>
  <si>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</si>
  <si>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</si>
  <si>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</si>
  <si>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</si>
  <si>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</si>
  <si>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</si>
  <si>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</si>
  <si>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</si>
  <si>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</si>
  <si>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</si>
  <si>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</si>
  <si>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</si>
  <si>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</si>
  <si>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</si>
  <si>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</si>
  <si>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</si>
  <si>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</si>
  <si>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</si>
  <si>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</si>
  <si>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</si>
  <si>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</si>
  <si>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</si>
  <si>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</si>
  <si>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</si>
  <si>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</si>
  <si>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</si>
  <si>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</si>
  <si>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</si>
  <si>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</si>
  <si>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</si>
  <si>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</si>
  <si>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</si>
  <si>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</si>
  <si>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</si>
  <si>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</si>
  <si>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</si>
  <si>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</si>
  <si>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</si>
  <si>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</si>
  <si>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</si>
  <si>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</si>
  <si>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</si>
  <si>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</si>
  <si>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</si>
  <si>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</si>
  <si>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</si>
  <si>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</si>
  <si>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</si>
  <si>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</si>
  <si>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</si>
  <si>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</si>
  <si>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</si>
  <si>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</si>
  <si>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</si>
  <si>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</si>
  <si>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</si>
  <si>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</si>
  <si>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</si>
  <si>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</si>
  <si>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</si>
  <si>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</si>
  <si>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</si>
  <si>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</si>
  <si>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</si>
  <si>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</si>
  <si>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</si>
  <si>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</si>
  <si>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</si>
  <si>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</si>
  <si>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</si>
  <si>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</si>
  <si>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</si>
  <si>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</si>
  <si>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</si>
  <si>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</si>
  <si>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</si>
  <si>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</si>
  <si>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</si>
  <si>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</si>
  <si>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</si>
  <si>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</si>
  <si>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</si>
  <si>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</si>
  <si>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</si>
  <si>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</si>
  <si>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</si>
  <si>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</si>
  <si>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</si>
  <si>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</si>
  <si>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</si>
  <si>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</si>
  <si>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</si>
  <si>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</si>
  <si>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</si>
  <si>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</si>
  <si>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</si>
  <si>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</si>
  <si>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</si>
  <si>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</si>
  <si>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</si>
  <si>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</si>
  <si>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</si>
  <si>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</si>
  <si>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</si>
  <si>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</si>
  <si>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</si>
  <si>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</si>
  <si>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</si>
  <si>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</si>
  <si>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</si>
  <si>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</si>
  <si>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</si>
  <si>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</si>
  <si>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</si>
  <si>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</si>
  <si>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</si>
  <si>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</si>
  <si>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</si>
  <si>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</si>
  <si>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</si>
  <si>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</si>
  <si>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</si>
  <si>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</si>
  <si>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</si>
  <si>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</si>
  <si>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</si>
  <si>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</si>
  <si>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</si>
  <si>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</si>
  <si>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</si>
  <si>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</si>
  <si>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</si>
  <si>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</si>
  <si>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</si>
  <si>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</si>
  <si>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</si>
  <si>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</si>
  <si>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</si>
  <si>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</si>
  <si>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</si>
  <si>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</si>
  <si>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</si>
  <si>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</si>
  <si>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</si>
  <si>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</si>
  <si>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</si>
  <si>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</si>
  <si>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</si>
  <si>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</si>
  <si>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</si>
  <si>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</si>
  <si>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</si>
  <si>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</si>
  <si>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</si>
  <si>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</si>
  <si>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</si>
  <si>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</si>
  <si>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</si>
  <si>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</si>
  <si>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</si>
  <si>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</si>
  <si>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</si>
  <si>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</si>
  <si>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</si>
  <si>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</si>
  <si>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</si>
  <si>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</si>
  <si>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</si>
  <si>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</si>
  <si>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</si>
  <si>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</si>
  <si>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</si>
  <si>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</si>
  <si>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</si>
  <si>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</si>
  <si>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</si>
  <si>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</si>
  <si>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</si>
  <si>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</si>
  <si>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</si>
  <si>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</si>
  <si>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</si>
  <si>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</si>
  <si>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</si>
  <si>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</si>
  <si>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</si>
  <si>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</si>
  <si>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</si>
  <si>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</si>
  <si>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</si>
  <si>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</si>
  <si>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</si>
  <si>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</si>
  <si>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</si>
  <si>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</si>
  <si>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</si>
  <si>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</si>
  <si>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</si>
  <si>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</si>
  <si>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</si>
  <si>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</si>
  <si>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</si>
  <si>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</si>
  <si>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</si>
  <si>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</si>
  <si>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</si>
  <si>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</si>
  <si>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</si>
  <si>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</si>
  <si>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</si>
  <si>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</si>
  <si>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</si>
  <si>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</si>
  <si>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</si>
  <si>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</si>
  <si>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</si>
  <si>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</si>
  <si>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</si>
  <si>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</si>
  <si>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</si>
  <si>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</si>
  <si>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</si>
  <si>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</si>
  <si>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</si>
  <si>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</si>
  <si>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</si>
  <si>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</si>
  <si>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</si>
  <si>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</si>
  <si>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</si>
  <si>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</si>
  <si>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</si>
  <si>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</si>
  <si>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</si>
  <si>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</si>
  <si>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</si>
  <si>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</si>
  <si>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</si>
  <si>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</si>
  <si>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</si>
  <si>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</si>
  <si>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</si>
  <si>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</si>
  <si>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</si>
  <si>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</si>
  <si>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</si>
  <si>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</si>
  <si>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</si>
  <si>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</si>
  <si>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</si>
  <si>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</si>
  <si>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</si>
  <si>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</si>
  <si>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</si>
  <si>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</si>
  <si>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</si>
  <si>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</si>
  <si>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</si>
  <si>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</si>
  <si>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</si>
  <si>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</si>
  <si>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</si>
  <si>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</si>
  <si>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</si>
  <si>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</si>
  <si>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</si>
  <si>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</si>
  <si>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</si>
  <si>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</si>
  <si>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</si>
  <si>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</si>
  <si>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</si>
  <si>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</si>
  <si>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</si>
  <si>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</si>
  <si>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</si>
  <si>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</si>
  <si>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</si>
  <si>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</si>
  <si>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</si>
  <si>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</si>
  <si>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</si>
  <si>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</si>
  <si>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</si>
  <si>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</si>
  <si>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</si>
  <si>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</si>
  <si>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</si>
  <si>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</si>
  <si>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</si>
  <si>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</si>
  <si>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</si>
  <si>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</si>
  <si>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</si>
  <si>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</si>
  <si>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</si>
  <si>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</si>
  <si>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</si>
  <si>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</si>
  <si>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</si>
  <si>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</si>
  <si>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</si>
  <si>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</si>
  <si>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</si>
  <si>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</si>
  <si>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</si>
  <si>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</si>
  <si>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</si>
  <si>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</si>
  <si>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</si>
  <si>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</si>
  <si>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</si>
  <si>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</si>
  <si>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</si>
  <si>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</si>
  <si>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</si>
  <si>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</si>
  <si>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</si>
  <si>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</si>
  <si>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</si>
  <si>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</si>
  <si>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</si>
  <si>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</si>
  <si>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</si>
  <si>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</si>
  <si>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</si>
  <si>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</si>
  <si>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</si>
  <si>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</si>
  <si>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</si>
  <si>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</si>
  <si>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</si>
  <si>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</si>
  <si>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</si>
  <si>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</si>
  <si>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</si>
  <si>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</si>
  <si>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</si>
  <si>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</si>
  <si>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</si>
  <si>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</si>
  <si>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</si>
  <si>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</si>
  <si>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</si>
  <si>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</si>
  <si>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</si>
  <si>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</si>
  <si>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</si>
  <si>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</si>
  <si>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</si>
  <si>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</si>
  <si>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</si>
  <si>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</si>
  <si>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</si>
  <si>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</si>
  <si>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</si>
  <si>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</si>
  <si>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</si>
  <si>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</si>
  <si>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</si>
  <si>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</si>
  <si>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</si>
  <si>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</si>
  <si>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</si>
  <si>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</si>
  <si>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</si>
  <si>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</si>
  <si>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</si>
  <si>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</si>
  <si>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</si>
  <si>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</si>
  <si>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</si>
  <si>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</si>
  <si>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</si>
  <si>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</si>
  <si>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</si>
  <si>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</si>
  <si>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</si>
  <si>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</si>
  <si>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</si>
  <si>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</si>
  <si>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</si>
  <si>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</si>
  <si>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</si>
  <si>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</si>
  <si>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</si>
  <si>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</si>
  <si>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</si>
  <si>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</si>
  <si>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</si>
  <si>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</si>
  <si>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</si>
  <si>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</si>
  <si>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</si>
  <si>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</si>
  <si>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</si>
  <si>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</si>
  <si>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</si>
  <si>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</si>
  <si>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</si>
  <si>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</si>
  <si>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</si>
  <si>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</si>
  <si>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</si>
  <si>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</si>
  <si>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</si>
  <si>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</si>
  <si>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</si>
  <si>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</si>
  <si>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</si>
  <si>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</si>
  <si>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</si>
  <si>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</si>
  <si>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</si>
  <si>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</si>
  <si>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</si>
  <si>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</si>
  <si>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</si>
  <si>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</si>
  <si>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</si>
  <si>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</si>
  <si>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</si>
  <si>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</si>
  <si>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</si>
  <si>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</si>
  <si>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</si>
  <si>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</si>
  <si>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</si>
  <si>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</si>
  <si>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</si>
  <si>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</si>
  <si>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</si>
  <si>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</si>
  <si>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</si>
  <si>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</si>
  <si>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</si>
  <si>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</si>
  <si>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</si>
  <si>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</si>
  <si>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</si>
  <si>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</si>
  <si>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</si>
  <si>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</si>
  <si>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</si>
  <si>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</si>
  <si>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</si>
  <si>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</si>
  <si>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</si>
  <si>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</si>
  <si>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</si>
  <si>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</si>
  <si>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</si>
  <si>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</si>
  <si>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</si>
  <si>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</si>
  <si>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</si>
  <si>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</si>
  <si>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</si>
  <si>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</si>
  <si>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</si>
  <si>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</si>
  <si>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</si>
  <si>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</si>
  <si>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</si>
  <si>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</si>
  <si>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</si>
  <si>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</si>
  <si>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</si>
  <si>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</si>
  <si>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</si>
  <si>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</si>
  <si>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</si>
  <si>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</si>
  <si>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</si>
  <si>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</si>
  <si>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</si>
  <si>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</si>
  <si>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</si>
  <si>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</si>
  <si>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</si>
  <si>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</si>
  <si>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</si>
  <si>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</si>
  <si>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</si>
  <si>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</si>
  <si>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</si>
  <si>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</si>
  <si>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</si>
  <si>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</si>
  <si>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</si>
  <si>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</si>
  <si>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</si>
  <si>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</si>
  <si>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</si>
  <si>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</si>
  <si>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</si>
  <si>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</si>
  <si>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</si>
  <si>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</si>
  <si>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</si>
  <si>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</si>
  <si>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</si>
  <si>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</si>
  <si>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</si>
  <si>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</si>
  <si>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</si>
  <si>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</si>
  <si>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</si>
  <si>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</si>
  <si>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</si>
  <si>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</si>
  <si>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</si>
  <si>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</si>
  <si>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</si>
  <si>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</si>
  <si>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</si>
  <si>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</si>
  <si>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</si>
  <si>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</si>
  <si>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</si>
  <si>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</si>
  <si>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</si>
  <si>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</si>
  <si>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</si>
  <si>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</si>
  <si>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</si>
  <si>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</si>
  <si>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</si>
  <si>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</si>
  <si>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</si>
  <si>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</si>
  <si>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</si>
  <si>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</si>
  <si>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</si>
  <si>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</si>
  <si>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</si>
  <si>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</si>
  <si>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</si>
  <si>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</si>
  <si>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</si>
  <si>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</si>
  <si>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</si>
  <si>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</si>
  <si>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</si>
  <si>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</si>
  <si>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</si>
  <si>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</si>
  <si>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</si>
  <si>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</si>
  <si>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</si>
  <si>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</si>
  <si>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</si>
  <si>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</si>
  <si>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</si>
  <si>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</si>
  <si>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</si>
  <si>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</si>
  <si>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</si>
  <si>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</si>
  <si>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</si>
  <si>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</si>
  <si>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</si>
  <si>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</si>
  <si>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</si>
  <si>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</si>
  <si>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</si>
  <si>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</si>
  <si>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</si>
  <si>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</si>
  <si>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</si>
  <si>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</si>
  <si>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</si>
  <si>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</si>
  <si>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</si>
  <si>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</si>
  <si>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</si>
  <si>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</si>
  <si>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</si>
  <si>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</si>
  <si>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</si>
  <si>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</si>
  <si>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</si>
  <si>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</si>
  <si>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</si>
  <si>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</si>
  <si>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</si>
  <si>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</si>
  <si>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</si>
  <si>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</si>
  <si>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</si>
  <si>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</si>
  <si>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</si>
  <si>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</si>
  <si>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</si>
  <si>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</si>
  <si>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</si>
  <si>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</si>
  <si>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</si>
  <si>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</si>
  <si>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</si>
  <si>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</si>
  <si>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</si>
  <si>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</si>
  <si>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</si>
  <si>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</si>
  <si>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</si>
  <si>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</si>
  <si>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</si>
  <si>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</si>
  <si>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</si>
  <si>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</si>
  <si>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</si>
  <si>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</si>
  <si>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</si>
  <si>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</si>
  <si>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</si>
  <si>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</si>
  <si>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</si>
  <si>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</si>
  <si>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</si>
  <si>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</si>
  <si>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</si>
  <si>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</si>
  <si>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</si>
  <si>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</si>
  <si>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</si>
  <si>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</si>
  <si>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</si>
  <si>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</si>
  <si>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</si>
  <si>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</si>
  <si>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</si>
  <si>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</si>
  <si>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</si>
  <si>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</si>
  <si>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</si>
  <si>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</si>
  <si>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</si>
  <si>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</si>
  <si>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</si>
  <si>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</si>
  <si>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</si>
  <si>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</si>
  <si>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</si>
  <si>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</si>
  <si>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</si>
  <si>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</si>
  <si>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</si>
  <si>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</si>
  <si>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</si>
  <si>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</si>
  <si>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</si>
  <si>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</si>
  <si>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</si>
  <si>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</si>
  <si>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</si>
  <si>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</si>
  <si>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</si>
  <si>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</si>
  <si>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</si>
  <si>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</si>
  <si>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</si>
  <si>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</si>
  <si>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</si>
  <si>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</si>
  <si>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</si>
  <si>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</si>
  <si>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</si>
  <si>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</si>
  <si>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</si>
  <si>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</si>
  <si>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</si>
  <si>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</si>
  <si>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</si>
  <si>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</si>
  <si>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</si>
  <si>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</si>
  <si>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</si>
  <si>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</si>
  <si>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</si>
  <si>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</si>
  <si>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</si>
  <si>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</si>
  <si>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</si>
  <si>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</si>
  <si>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</si>
  <si>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</si>
  <si>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</si>
  <si>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</si>
  <si>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</si>
  <si>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</si>
  <si>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</si>
  <si>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</si>
  <si>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</si>
  <si>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</si>
  <si>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</si>
  <si>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</si>
  <si>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</si>
  <si>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</si>
  <si>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</si>
  <si>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</si>
  <si>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</si>
  <si>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</si>
  <si>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</si>
  <si>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</si>
  <si>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</si>
  <si>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</si>
  <si>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</si>
  <si>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</si>
  <si>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</si>
  <si>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</si>
  <si>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</si>
  <si>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</si>
  <si>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</si>
  <si>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</si>
  <si>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</si>
  <si>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</si>
  <si>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</si>
  <si>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</si>
  <si>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</si>
  <si>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</si>
  <si>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</si>
  <si>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</si>
  <si>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</si>
  <si>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</si>
  <si>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</si>
  <si>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</si>
  <si>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</si>
  <si>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</si>
  <si>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</si>
  <si>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</si>
  <si>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</si>
  <si>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</si>
  <si>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</si>
  <si>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</si>
  <si>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</si>
  <si>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</si>
  <si>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</si>
  <si>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</si>
  <si>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</si>
  <si>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</si>
  <si>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</si>
  <si>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</si>
  <si>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</si>
  <si>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</si>
  <si>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</si>
  <si>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</si>
  <si>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</si>
  <si>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</si>
  <si>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</si>
  <si>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</si>
  <si>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</si>
  <si>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</si>
  <si>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</si>
  <si>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</si>
  <si>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</si>
  <si>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</si>
  <si>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</si>
  <si>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</si>
  <si>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</si>
  <si>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</si>
  <si>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</si>
  <si>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</si>
  <si>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</si>
  <si>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</si>
  <si>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</si>
  <si>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</si>
  <si>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</si>
  <si>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</si>
  <si>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</si>
  <si>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</si>
  <si>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</si>
  <si>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</si>
  <si>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</si>
  <si>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</si>
  <si>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</si>
  <si>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</si>
  <si>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</si>
  <si>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</si>
  <si>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</si>
  <si>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</si>
  <si>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</si>
  <si>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</si>
  <si>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</si>
  <si>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</si>
  <si>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</si>
  <si>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</si>
  <si>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</si>
  <si>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</si>
  <si>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</si>
  <si>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</si>
  <si>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</si>
  <si>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</si>
  <si>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</si>
  <si>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</si>
  <si>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</si>
  <si>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</si>
  <si>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</si>
  <si>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</si>
  <si>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</si>
  <si>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</si>
  <si>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</si>
  <si>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</si>
  <si>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</si>
  <si>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</si>
  <si>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</si>
  <si>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</si>
  <si>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</si>
  <si>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</si>
  <si>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</si>
  <si>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</si>
  <si>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</si>
  <si>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</si>
  <si>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</si>
  <si>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</si>
  <si>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</si>
  <si>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</si>
  <si>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</si>
  <si>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</si>
  <si>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</si>
  <si>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</si>
  <si>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</si>
  <si>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</si>
  <si>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</si>
  <si>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</si>
  <si>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</si>
  <si>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</si>
  <si>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</si>
  <si>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</si>
  <si>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</si>
  <si>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</si>
  <si>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</si>
  <si>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</si>
  <si>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</si>
  <si>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</si>
  <si>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</si>
  <si>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</si>
  <si>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</si>
  <si>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</si>
  <si>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</si>
  <si>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</si>
  <si>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</si>
  <si>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</si>
  <si>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</si>
  <si>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</si>
  <si>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</si>
  <si>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</si>
  <si>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</si>
  <si>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</si>
  <si>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</si>
  <si>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</si>
  <si>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</si>
  <si>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</si>
  <si>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</si>
  <si>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</si>
  <si>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</si>
  <si>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</si>
  <si>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</si>
  <si>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</si>
  <si>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</si>
  <si>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</si>
  <si>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</si>
  <si>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</si>
  <si>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</si>
  <si>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</si>
  <si>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</si>
  <si>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</si>
  <si>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</si>
  <si>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</si>
  <si>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</si>
  <si>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</si>
  <si>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</si>
  <si>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</si>
  <si>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</si>
  <si>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</si>
  <si>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</si>
  <si>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</si>
  <si>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</si>
  <si>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</si>
  <si>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</si>
  <si>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</si>
  <si>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</si>
  <si>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</si>
  <si>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</si>
  <si>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</si>
  <si>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</si>
  <si>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</si>
  <si>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</si>
  <si>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</si>
  <si>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</si>
  <si>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</si>
  <si>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</si>
  <si>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</si>
  <si>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</si>
  <si>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</si>
  <si>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</si>
  <si>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</si>
  <si>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</si>
  <si>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</si>
  <si>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</si>
  <si>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</si>
  <si>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</si>
  <si>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</si>
  <si>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</si>
  <si>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</si>
  <si>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</si>
  <si>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</si>
  <si>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</si>
  <si>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</si>
  <si>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</si>
  <si>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</si>
  <si>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</si>
  <si>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</si>
  <si>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</si>
  <si>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</si>
  <si>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</si>
  <si>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</si>
  <si>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</si>
  <si>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</si>
  <si>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</si>
  <si>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</si>
  <si>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</si>
  <si>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</si>
  <si>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</si>
  <si>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</si>
  <si>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</si>
  <si>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</si>
  <si>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</si>
  <si>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</si>
  <si>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</si>
  <si>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</si>
  <si>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</si>
  <si>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</si>
  <si>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</si>
  <si>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</si>
  <si>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</si>
  <si>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</si>
  <si>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</si>
  <si>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</si>
  <si>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</si>
  <si>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</si>
  <si>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</si>
  <si>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</si>
  <si>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</si>
  <si>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</si>
  <si>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</si>
  <si>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</si>
  <si>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</si>
  <si>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</si>
  <si>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</si>
  <si>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</si>
  <si>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</si>
  <si>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</si>
  <si>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</si>
  <si>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</si>
  <si>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</si>
  <si>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</si>
  <si>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</si>
  <si>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</si>
  <si>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</si>
  <si>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</si>
  <si>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</si>
  <si>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</si>
  <si>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</si>
  <si>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</si>
  <si>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</si>
  <si>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</si>
  <si>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</si>
  <si>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</si>
  <si>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</si>
  <si>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</si>
  <si>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</si>
  <si>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</si>
  <si>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</si>
  <si>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</si>
  <si>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</si>
  <si>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</si>
  <si>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</si>
  <si>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</si>
  <si>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</si>
  <si>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</si>
  <si>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</si>
  <si>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</si>
  <si>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</si>
  <si>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</si>
  <si>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</si>
  <si>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</si>
  <si>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</si>
  <si>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</si>
  <si>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</si>
  <si>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</si>
  <si>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</si>
  <si>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</si>
  <si>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</si>
  <si>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</si>
  <si>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</si>
  <si>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</si>
  <si>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</si>
  <si>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</si>
  <si>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</si>
  <si>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</si>
  <si>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</si>
  <si>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</si>
  <si>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</si>
  <si>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</si>
  <si>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</si>
  <si>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</si>
  <si>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</si>
  <si>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</si>
  <si>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</si>
  <si>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</si>
  <si>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</si>
  <si>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</si>
  <si>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</si>
  <si>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</si>
  <si>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</si>
  <si>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</si>
  <si>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</si>
  <si>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</si>
  <si>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</si>
  <si>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</si>
  <si>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</si>
  <si>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</si>
  <si>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</si>
  <si>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</si>
  <si>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</si>
  <si>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</si>
  <si>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</si>
  <si>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</si>
  <si>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</si>
  <si>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</si>
  <si>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</si>
  <si>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</si>
  <si>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</si>
  <si>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</si>
  <si>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</si>
  <si>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</si>
  <si>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</si>
  <si>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</si>
  <si>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</si>
  <si>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</si>
  <si>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</si>
  <si>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</si>
  <si>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</si>
  <si>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</si>
  <si>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</si>
  <si>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</si>
  <si>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</si>
  <si>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</si>
  <si>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</si>
  <si>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</si>
  <si>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</si>
  <si>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</si>
  <si>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</si>
  <si>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</si>
  <si>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</si>
  <si>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</si>
  <si>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</si>
  <si>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</si>
  <si>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</si>
  <si>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</si>
  <si>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</si>
  <si>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</si>
  <si>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</si>
  <si>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</si>
  <si>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</si>
  <si>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</si>
  <si>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</si>
  <si>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</si>
  <si>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</si>
  <si>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</si>
  <si>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</si>
  <si>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</si>
  <si>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</si>
  <si>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</si>
  <si>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</si>
  <si>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</si>
  <si>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</si>
  <si>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</si>
  <si>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</si>
  <si>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</si>
  <si>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</si>
  <si>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</si>
  <si>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</si>
  <si>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</si>
  <si>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</si>
  <si>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</si>
  <si>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</si>
  <si>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</si>
  <si>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</si>
  <si>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</si>
  <si>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</si>
  <si>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</si>
  <si>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</si>
  <si>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</si>
  <si>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</si>
  <si>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</si>
  <si>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</si>
  <si>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</si>
  <si>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</si>
  <si>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</si>
  <si>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</si>
  <si>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</si>
  <si>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</si>
  <si>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</si>
  <si>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</si>
  <si>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</si>
  <si>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</si>
  <si>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</si>
  <si>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</si>
  <si>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</si>
  <si>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</si>
  <si>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</si>
  <si>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</si>
  <si>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</si>
  <si>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</si>
  <si>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</si>
  <si>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</si>
  <si>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</si>
  <si>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</si>
  <si>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</si>
  <si>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</si>
  <si>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</si>
  <si>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</si>
  <si>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</si>
  <si>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</si>
  <si>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</si>
  <si>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</si>
  <si>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</si>
  <si>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</si>
  <si>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</si>
  <si>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</si>
  <si>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</si>
  <si>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</si>
  <si>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</si>
  <si>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</si>
  <si>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</si>
  <si>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</si>
  <si>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</si>
  <si>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</si>
  <si>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</si>
  <si>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</si>
  <si>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</si>
  <si>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</si>
  <si>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</si>
  <si>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</si>
  <si>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</si>
  <si>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</si>
  <si>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</si>
  <si>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</si>
  <si>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</si>
  <si>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</si>
  <si>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</si>
  <si>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</si>
  <si>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</si>
  <si>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</si>
  <si>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</si>
  <si>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</si>
  <si>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</si>
  <si>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</si>
  <si>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</si>
  <si>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</si>
  <si>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</si>
  <si>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</si>
  <si>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</si>
  <si>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</si>
  <si>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</si>
  <si>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</si>
  <si>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</si>
  <si>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</si>
  <si>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</si>
  <si>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</si>
  <si>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</si>
  <si>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</si>
  <si>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</si>
  <si>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</si>
  <si>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</si>
  <si>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</si>
  <si>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</si>
  <si>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</si>
  <si>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</si>
  <si>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</si>
  <si>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</si>
  <si>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</si>
  <si>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</si>
  <si>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</si>
  <si>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</si>
  <si>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</si>
  <si>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</si>
  <si>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</si>
  <si>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</si>
  <si>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</si>
  <si>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</si>
  <si>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</si>
  <si>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</si>
  <si>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</si>
  <si>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</si>
  <si>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</si>
  <si>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</si>
  <si>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</si>
  <si>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</si>
  <si>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</si>
  <si>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</si>
  <si>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</si>
  <si>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</si>
  <si>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</si>
  <si>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</si>
  <si>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</si>
  <si>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</si>
  <si>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</si>
  <si>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</si>
  <si>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</si>
  <si>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</si>
  <si>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</si>
  <si>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</si>
  <si>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</si>
  <si>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</si>
  <si>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</si>
  <si>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</si>
  <si>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</si>
  <si>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</si>
  <si>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</si>
  <si>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</si>
  <si>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</si>
  <si>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</si>
  <si>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</si>
  <si>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</si>
  <si>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</si>
  <si>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</si>
  <si>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</si>
  <si>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</si>
  <si>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</si>
  <si>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</si>
  <si>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</si>
  <si>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</si>
  <si>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</si>
  <si>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</si>
  <si>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</si>
  <si>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</si>
  <si>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</si>
  <si>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</si>
  <si>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</si>
  <si>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</si>
  <si>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</si>
  <si>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</si>
  <si>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</si>
  <si>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</si>
  <si>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</si>
  <si>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</si>
  <si>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</si>
  <si>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</si>
  <si>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</si>
  <si>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</si>
  <si>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</si>
  <si>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</si>
  <si>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</si>
  <si>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</si>
  <si>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</si>
  <si>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</si>
  <si>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</si>
  <si>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</si>
  <si>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</si>
  <si>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</si>
  <si>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</si>
  <si>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</si>
  <si>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</si>
  <si>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</si>
  <si>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</si>
  <si>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</si>
  <si>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</si>
  <si>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</si>
  <si>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</si>
  <si>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</si>
  <si>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</si>
  <si>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</si>
  <si>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</si>
  <si>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</si>
  <si>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</si>
  <si>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</si>
  <si>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</si>
  <si>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</si>
  <si>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</si>
  <si>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</si>
  <si>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</si>
  <si>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</si>
  <si>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</si>
  <si>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</si>
  <si>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</si>
  <si>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</si>
  <si>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</si>
  <si>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</si>
  <si>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</si>
  <si>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</si>
  <si>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</si>
  <si>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</si>
  <si>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</si>
  <si>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</si>
  <si>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</si>
  <si>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</si>
  <si>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</si>
  <si>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</si>
  <si>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</si>
  <si>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</si>
  <si>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</si>
  <si>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</si>
  <si>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</si>
  <si>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</si>
  <si>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</si>
  <si>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</si>
  <si>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</si>
  <si>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</si>
  <si>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</si>
  <si>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</si>
  <si>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</si>
  <si>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</si>
  <si>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</si>
  <si>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</si>
  <si>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</si>
  <si>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</si>
  <si>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</si>
  <si>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</si>
  <si>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</si>
  <si>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</si>
  <si>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</si>
  <si>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</si>
  <si>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</si>
  <si>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</si>
  <si>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</si>
  <si>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</si>
  <si>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</si>
  <si>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</si>
  <si>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</si>
  <si>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</si>
  <si>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</si>
  <si>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</si>
  <si>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</si>
  <si>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</si>
  <si>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</si>
  <si>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</si>
  <si>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</si>
  <si>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</si>
  <si>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</si>
  <si>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</si>
  <si>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</si>
  <si>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</si>
  <si>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</si>
  <si>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</si>
  <si>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</si>
  <si>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</si>
  <si>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</si>
  <si>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</si>
  <si>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</si>
  <si>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</si>
  <si>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</si>
  <si>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</si>
  <si>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</si>
  <si>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</si>
  <si>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</si>
  <si>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</si>
  <si>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</si>
  <si>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</si>
  <si>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</si>
  <si>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</si>
  <si>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</si>
  <si>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</si>
  <si>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</si>
  <si>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</si>
  <si>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</si>
  <si>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</si>
  <si>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</si>
  <si>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</si>
  <si>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</si>
  <si>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</si>
  <si>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</si>
  <si>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</si>
  <si>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</si>
  <si>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</si>
  <si>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</si>
  <si>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</si>
  <si>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</si>
  <si>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</si>
  <si>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</si>
  <si>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</si>
  <si>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</si>
  <si>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</si>
  <si>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</si>
  <si>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</si>
  <si>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</si>
  <si>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</si>
  <si>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</si>
  <si>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</si>
  <si>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</si>
  <si>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</si>
  <si>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</si>
  <si>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</si>
  <si>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</si>
  <si>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</si>
  <si>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</si>
  <si>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</si>
  <si>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</si>
  <si>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</si>
  <si>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</si>
  <si>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</si>
  <si>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</si>
  <si>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</si>
  <si>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</si>
  <si>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</si>
  <si>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</si>
  <si>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</si>
  <si>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</si>
  <si>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</si>
  <si>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</si>
  <si>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</si>
  <si>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</si>
  <si>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</si>
  <si>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</si>
  <si>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</si>
  <si>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</si>
  <si>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</si>
  <si>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</si>
  <si>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</si>
  <si>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</si>
  <si>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</si>
  <si>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</si>
  <si>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</si>
  <si>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</si>
  <si>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</si>
  <si>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</si>
  <si>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</si>
  <si>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</si>
  <si>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</si>
  <si>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</si>
  <si>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</si>
  <si>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</si>
  <si>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</si>
  <si>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</si>
  <si>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</si>
  <si>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</si>
  <si>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</si>
  <si>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</si>
  <si>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</si>
  <si>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</si>
  <si>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</si>
  <si>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</si>
  <si>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</si>
  <si>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</si>
  <si>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</si>
  <si>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</si>
  <si>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</si>
  <si>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</si>
  <si>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</si>
  <si>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</si>
  <si>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</si>
  <si>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</si>
  <si>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</si>
  <si>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</si>
  <si>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</si>
  <si>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</si>
  <si>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</si>
  <si>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</si>
  <si>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</si>
  <si>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</si>
  <si>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</si>
  <si>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</si>
  <si>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</si>
  <si>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</si>
  <si>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</si>
  <si>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</si>
  <si>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</si>
  <si>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</si>
  <si>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</si>
  <si>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</si>
  <si>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</si>
  <si>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</si>
  <si>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</si>
  <si>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</si>
  <si>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</si>
  <si>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</si>
  <si>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</si>
  <si>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</si>
  <si>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</si>
  <si>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</si>
  <si>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</si>
  <si>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</si>
  <si>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</si>
  <si>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</si>
  <si>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</si>
  <si>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</si>
  <si>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</si>
  <si>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</si>
  <si>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</si>
  <si>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</si>
  <si>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</si>
  <si>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</si>
  <si>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</si>
  <si>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</si>
  <si>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</si>
  <si>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</si>
  <si>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</si>
  <si>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</si>
  <si>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</si>
  <si>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</si>
  <si>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</si>
  <si>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</si>
  <si>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</si>
  <si>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</si>
  <si>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</si>
  <si>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</si>
  <si>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</si>
  <si>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</si>
  <si>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</si>
  <si>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</si>
  <si>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</si>
  <si>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</si>
  <si>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</si>
  <si>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</si>
  <si>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</si>
  <si>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</si>
  <si>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</si>
  <si>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</si>
  <si>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</si>
  <si>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</si>
  <si>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</si>
  <si>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</si>
  <si>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</si>
  <si>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</si>
  <si>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</si>
  <si>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</si>
  <si>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</si>
  <si>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</si>
  <si>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</si>
  <si>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</si>
  <si>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</si>
  <si>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</si>
  <si>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</si>
  <si>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</si>
  <si>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</si>
  <si>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</si>
  <si>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</si>
  <si>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</si>
  <si>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</si>
  <si>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</si>
  <si>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</si>
  <si>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</si>
  <si>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</si>
  <si>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</si>
  <si>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</si>
  <si>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</si>
  <si>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</si>
  <si>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</si>
  <si>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</si>
  <si>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</si>
  <si>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</si>
  <si>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</si>
  <si>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</si>
  <si>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</si>
  <si>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</si>
  <si>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</si>
  <si>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</si>
  <si>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</si>
  <si>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</si>
  <si>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</si>
  <si>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</si>
  <si>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</si>
  <si>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</si>
  <si>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</si>
  <si>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</si>
  <si>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</si>
  <si>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</si>
  <si>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</si>
  <si>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</si>
  <si>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</si>
  <si>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</si>
  <si>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</si>
  <si>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</si>
  <si>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</si>
  <si>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</si>
  <si>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</si>
  <si>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</si>
  <si>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</si>
  <si>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</si>
  <si>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</si>
  <si>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</si>
  <si>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</si>
  <si>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</si>
  <si>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</si>
  <si>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</si>
  <si>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</si>
  <si>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</si>
  <si>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</si>
  <si>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</si>
  <si>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</si>
  <si>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</si>
  <si>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</si>
  <si>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</si>
  <si>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</si>
  <si>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</si>
  <si>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</si>
  <si>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</si>
  <si>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</si>
  <si>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</si>
  <si>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</si>
  <si>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</si>
  <si>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</si>
  <si>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</si>
  <si>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</si>
  <si>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</si>
  <si>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</si>
  <si>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</si>
  <si>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</si>
  <si>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</si>
  <si>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</si>
  <si>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</si>
  <si>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</si>
  <si>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</si>
  <si>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</si>
  <si>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</si>
  <si>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</si>
  <si>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</si>
  <si>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</si>
  <si>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</si>
  <si>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</si>
  <si>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</si>
  <si>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</si>
  <si>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</si>
  <si>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</si>
  <si>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</si>
  <si>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</si>
  <si>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</si>
  <si>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</si>
  <si>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</si>
  <si>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</si>
  <si>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</si>
  <si>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</si>
  <si>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</si>
  <si>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</si>
  <si>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</si>
  <si>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</si>
  <si>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</si>
  <si>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</si>
  <si>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</si>
  <si>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</si>
  <si>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</si>
  <si>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</si>
  <si>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</si>
  <si>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</si>
  <si>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</si>
  <si>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</si>
  <si>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</si>
  <si>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</si>
  <si>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</si>
  <si>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</si>
  <si>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</si>
  <si>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</si>
  <si>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</si>
  <si>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</si>
  <si>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</si>
  <si>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</si>
  <si>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</si>
  <si>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</si>
  <si>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</si>
  <si>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</si>
  <si>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</si>
  <si>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</si>
  <si>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</si>
  <si>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</si>
  <si>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</si>
  <si>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</si>
  <si>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</si>
  <si>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</si>
  <si>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</si>
  <si>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</si>
  <si>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</si>
  <si>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</si>
  <si>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</si>
  <si>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</si>
  <si>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</si>
  <si>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</si>
  <si>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</si>
  <si>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</si>
  <si>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</si>
  <si>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</si>
  <si>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</si>
  <si>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</si>
  <si>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</si>
  <si>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</si>
  <si>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</si>
  <si>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</si>
  <si>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</si>
  <si>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</si>
  <si>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</si>
  <si>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</si>
  <si>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</si>
  <si>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</si>
  <si>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</si>
  <si>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</si>
  <si>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</si>
  <si>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</si>
  <si>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</si>
  <si>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</si>
  <si>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</si>
  <si>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</si>
  <si>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</si>
  <si>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</si>
  <si>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</si>
  <si>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</si>
  <si>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</si>
  <si>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</si>
  <si>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</si>
  <si>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</si>
  <si>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</si>
  <si>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</si>
  <si>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</si>
  <si>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</si>
  <si>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</si>
  <si>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</si>
  <si>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</si>
  <si>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</si>
  <si>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</si>
  <si>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</si>
  <si>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</si>
  <si>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</si>
  <si>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</si>
  <si>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</si>
  <si>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</si>
  <si>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</si>
  <si>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</si>
  <si>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</si>
  <si>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</si>
  <si>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</si>
  <si>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</si>
  <si>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</si>
  <si>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</si>
  <si>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</si>
  <si>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</si>
  <si>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</si>
  <si>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</si>
  <si>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</si>
  <si>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</si>
  <si>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</si>
  <si>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</si>
  <si>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</si>
  <si>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</si>
  <si>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</si>
  <si>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</si>
  <si>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</si>
  <si>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</si>
  <si>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</si>
  <si>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</si>
  <si>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</si>
  <si>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</si>
  <si>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</si>
  <si>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</si>
  <si>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</si>
  <si>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</si>
  <si>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</si>
  <si>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</si>
  <si>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</si>
  <si>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</si>
  <si>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</si>
  <si>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</si>
  <si>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</si>
  <si>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</si>
  <si>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</si>
  <si>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</si>
  <si>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</si>
  <si>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</si>
  <si>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</si>
  <si>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</si>
  <si>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</si>
  <si>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</si>
  <si>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</si>
  <si>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</si>
  <si>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</si>
  <si>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</si>
  <si>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</si>
  <si>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</si>
  <si>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</si>
  <si>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</si>
  <si>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</si>
  <si>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</si>
  <si>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</si>
  <si>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</si>
  <si>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</si>
  <si>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</si>
  <si>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</si>
  <si>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</si>
  <si>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</si>
  <si>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</si>
  <si>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</si>
  <si>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</si>
  <si>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</si>
  <si>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</si>
  <si>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</si>
  <si>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</si>
  <si>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</si>
  <si>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</si>
  <si>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</si>
  <si>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</si>
  <si>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</si>
  <si>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</si>
  <si>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</si>
  <si>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</si>
  <si>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</si>
  <si>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</si>
  <si>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</si>
  <si>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</si>
  <si>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</si>
  <si>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</si>
  <si>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</si>
  <si>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</si>
  <si>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</si>
  <si>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</si>
  <si>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</si>
  <si>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</si>
  <si>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</si>
  <si>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</si>
  <si>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</si>
  <si>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</si>
  <si>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</si>
  <si>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</si>
  <si>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</si>
  <si>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</si>
  <si>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</si>
  <si>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</si>
  <si>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</si>
  <si>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</si>
  <si>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</si>
  <si>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</si>
  <si>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</si>
  <si>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</si>
  <si>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</si>
  <si>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</si>
  <si>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</si>
  <si>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</si>
  <si>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</si>
  <si>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</si>
  <si>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</si>
  <si>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</si>
  <si>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</si>
  <si>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</si>
  <si>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</si>
  <si>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</si>
  <si>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</si>
  <si>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</si>
  <si>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</si>
  <si>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</si>
  <si>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</si>
  <si>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</si>
  <si>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</si>
  <si>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</si>
  <si>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</si>
  <si>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</si>
  <si>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</si>
  <si>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</si>
  <si>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</si>
  <si>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</si>
  <si>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</si>
  <si>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</si>
  <si>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</si>
  <si>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</si>
  <si>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</si>
  <si>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</si>
  <si>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</si>
  <si>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</si>
  <si>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</si>
  <si>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</si>
  <si>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</si>
  <si>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</si>
  <si>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</si>
  <si>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</si>
  <si>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</si>
  <si>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</si>
  <si>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</si>
  <si>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</si>
  <si>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</si>
  <si>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</si>
  <si>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</si>
  <si>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</si>
  <si>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</si>
  <si>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</si>
  <si>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</si>
  <si>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</si>
  <si>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</si>
  <si>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</si>
  <si>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</si>
  <si>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</si>
  <si>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</si>
  <si>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</si>
  <si>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</si>
  <si>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</si>
  <si>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</si>
  <si>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</si>
  <si>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</si>
  <si>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</si>
  <si>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</si>
  <si>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</si>
  <si>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</si>
  <si>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</si>
  <si>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</si>
  <si>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</si>
  <si>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</si>
  <si>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</si>
  <si>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</si>
  <si>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</si>
  <si>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</si>
  <si>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</si>
  <si>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</si>
  <si>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</si>
  <si>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</si>
  <si>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</si>
  <si>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</si>
  <si>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</si>
  <si>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</si>
  <si>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</si>
  <si>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</si>
  <si>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</si>
  <si>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</si>
  <si>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</si>
  <si>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</si>
  <si>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</si>
  <si>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</si>
  <si>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</si>
  <si>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</si>
  <si>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</si>
  <si>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</si>
  <si>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</si>
  <si>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</si>
  <si>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</si>
  <si>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</si>
  <si>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</si>
  <si>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</si>
  <si>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</si>
  <si>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</si>
  <si>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</si>
  <si>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</si>
  <si>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</si>
  <si>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</si>
  <si>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</si>
  <si>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</si>
  <si>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</si>
  <si>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</si>
  <si>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</si>
  <si>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</si>
  <si>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</si>
  <si>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</si>
  <si>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</si>
  <si>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</si>
  <si>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</si>
  <si>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</si>
  <si>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</si>
  <si>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</si>
  <si>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</si>
  <si>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</si>
  <si>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</si>
  <si>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</si>
  <si>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</si>
  <si>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</si>
  <si>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</si>
  <si>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</si>
  <si>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</si>
  <si>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</si>
  <si>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</si>
  <si>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</si>
  <si>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</si>
  <si>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</si>
  <si>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</si>
  <si>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</si>
  <si>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</si>
  <si>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</si>
  <si>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</si>
  <si>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</si>
  <si>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</si>
  <si>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</si>
  <si>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</si>
  <si>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</si>
  <si>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</si>
  <si>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</si>
  <si>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</si>
  <si>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</si>
  <si>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</si>
  <si>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</si>
  <si>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</si>
  <si>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</si>
  <si>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</si>
  <si>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</si>
  <si>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</si>
  <si>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</si>
  <si>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</si>
  <si>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</si>
  <si>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</si>
  <si>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</si>
  <si>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</si>
  <si>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</si>
  <si>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</si>
  <si>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</si>
  <si>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</si>
  <si>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</si>
  <si>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</si>
  <si>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</si>
  <si>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</si>
  <si>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</si>
  <si>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</si>
  <si>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</si>
  <si>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</si>
  <si>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</si>
  <si>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</si>
  <si>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</si>
  <si>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</si>
  <si>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</si>
  <si>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</si>
  <si>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</si>
  <si>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</si>
  <si>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</si>
  <si>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</si>
  <si>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</si>
  <si>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</si>
  <si>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</si>
  <si>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</si>
  <si>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</si>
  <si>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</si>
  <si>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</si>
  <si>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</si>
  <si>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</si>
  <si>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</si>
  <si>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</si>
  <si>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</si>
  <si>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</si>
  <si>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</si>
  <si>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</si>
  <si>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</si>
  <si>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</si>
  <si>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</si>
  <si>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</si>
  <si>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</si>
  <si>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</si>
  <si>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</si>
  <si>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</si>
  <si>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</si>
  <si>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</si>
  <si>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</si>
  <si>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</si>
  <si>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</si>
  <si>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</si>
  <si>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</si>
  <si>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</si>
  <si>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</si>
  <si>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</si>
  <si>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</si>
  <si>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</si>
  <si>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</si>
  <si>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</si>
  <si>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</si>
  <si>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</si>
  <si>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</si>
  <si>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</si>
  <si>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</si>
  <si>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</si>
  <si>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</si>
  <si>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</si>
  <si>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</si>
  <si>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</si>
  <si>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</si>
  <si>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</si>
  <si>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</si>
  <si>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</si>
  <si>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</si>
  <si>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</si>
  <si>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</si>
  <si>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</si>
  <si>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</si>
  <si>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</si>
  <si>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</si>
  <si>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</si>
  <si>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</si>
  <si>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</si>
  <si>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</si>
  <si>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</si>
  <si>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</si>
  <si>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</si>
  <si>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</si>
  <si>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</si>
  <si>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</si>
  <si>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</si>
  <si>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</si>
  <si>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</si>
  <si>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</si>
  <si>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</si>
  <si>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</si>
  <si>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</si>
  <si>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</si>
  <si>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</si>
  <si>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</si>
  <si>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</si>
  <si>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</si>
  <si>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</si>
  <si>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</si>
  <si>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</si>
  <si>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</si>
  <si>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</si>
  <si>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</si>
  <si>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</si>
  <si>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</si>
  <si>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</si>
  <si>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</si>
  <si>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</si>
  <si>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</si>
  <si>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</si>
  <si>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</si>
  <si>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</si>
  <si>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</si>
  <si>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</si>
  <si>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</si>
  <si>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</si>
  <si>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</si>
  <si>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</si>
  <si>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</si>
  <si>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</si>
  <si>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</si>
  <si>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</si>
  <si>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</si>
  <si>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</si>
  <si>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</si>
  <si>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</si>
  <si>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</si>
  <si>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</si>
  <si>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</si>
  <si>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</si>
  <si>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</si>
  <si>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</si>
  <si>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</si>
  <si>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</si>
  <si>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</si>
  <si>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</si>
  <si>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</si>
  <si>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</si>
  <si>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</si>
  <si>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</si>
  <si>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</si>
  <si>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</si>
  <si>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</si>
  <si>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</si>
  <si>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</si>
  <si>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</si>
  <si>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</si>
  <si>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</si>
  <si>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</si>
  <si>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</si>
  <si>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</si>
  <si>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</si>
  <si>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</si>
  <si>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</si>
  <si>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</si>
  <si>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</si>
  <si>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</si>
  <si>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</si>
  <si>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</si>
  <si>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</si>
  <si>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</si>
  <si>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</si>
  <si>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</si>
  <si>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</si>
  <si>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</si>
  <si>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</si>
  <si>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</si>
  <si>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</si>
  <si>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</si>
  <si>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</si>
  <si>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</si>
  <si>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</si>
  <si>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</si>
  <si>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</si>
  <si>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</si>
  <si>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</si>
  <si>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</si>
  <si>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</si>
  <si>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</si>
  <si>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</si>
  <si>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</si>
  <si>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</si>
  <si>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</si>
  <si>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</si>
  <si>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</si>
  <si>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</si>
  <si>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</si>
  <si>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</si>
  <si>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</si>
  <si>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</si>
  <si>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</si>
  <si>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</si>
  <si>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</si>
  <si>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</si>
  <si>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</si>
  <si>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</si>
  <si>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</si>
  <si>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</si>
  <si>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</si>
  <si>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</si>
  <si>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</si>
  <si>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</si>
  <si>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</si>
  <si>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</si>
  <si>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</si>
  <si>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</si>
  <si>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</si>
  <si>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</si>
  <si>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</si>
  <si>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</si>
  <si>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</si>
  <si>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</si>
  <si>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</si>
  <si>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</si>
  <si>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</si>
  <si>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</si>
  <si>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</si>
  <si>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</si>
  <si>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</si>
  <si>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</si>
  <si>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</si>
  <si>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</si>
  <si>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</si>
  <si>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</si>
  <si>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</si>
  <si>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</si>
  <si>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</si>
  <si>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</si>
  <si>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</si>
  <si>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</si>
  <si>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</si>
  <si>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</si>
  <si>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</si>
  <si>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</si>
  <si>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</si>
  <si>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</si>
  <si>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</si>
  <si>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</si>
  <si>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</si>
  <si>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</si>
  <si>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</si>
  <si>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</si>
  <si>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</si>
  <si>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</si>
  <si>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</si>
  <si>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</si>
  <si>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</si>
  <si>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</si>
  <si>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</si>
  <si>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</si>
  <si>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</si>
  <si>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</si>
  <si>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</si>
  <si>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</si>
  <si>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</si>
  <si>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</si>
  <si>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</si>
  <si>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</si>
  <si>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</si>
  <si>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</si>
  <si>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</si>
  <si>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</si>
  <si>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</si>
  <si>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</si>
  <si>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</si>
  <si>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</si>
  <si>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</si>
  <si>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</si>
  <si>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</si>
  <si>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</si>
  <si>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</si>
  <si>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</si>
  <si>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</si>
  <si>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</si>
  <si>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</si>
  <si>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</si>
  <si>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</si>
  <si>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</si>
  <si>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</si>
  <si>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</si>
  <si>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</si>
  <si>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</si>
  <si>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</si>
  <si>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</si>
  <si>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</si>
  <si>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</si>
  <si>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</si>
  <si>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</si>
  <si>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</si>
  <si>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</si>
  <si>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</si>
  <si>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</si>
  <si>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</si>
  <si>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</si>
  <si>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</si>
  <si>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</si>
  <si>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</si>
  <si>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</si>
  <si>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</si>
  <si>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</si>
  <si>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</si>
  <si>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</si>
  <si>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</si>
  <si>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</si>
  <si>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</si>
  <si>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</si>
  <si>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</si>
  <si>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</si>
  <si>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</si>
  <si>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</si>
  <si>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</si>
  <si>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</si>
  <si>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</si>
  <si>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</si>
  <si>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</si>
  <si>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</si>
  <si>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</si>
  <si>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</si>
  <si>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</si>
  <si>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</si>
  <si>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</si>
  <si>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</si>
  <si>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</si>
  <si>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</si>
  <si>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</si>
  <si>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</si>
  <si>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</si>
  <si>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</si>
  <si>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</si>
  <si>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</si>
  <si>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</si>
  <si>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</si>
  <si>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</si>
  <si>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</si>
  <si>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</si>
  <si>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</si>
  <si>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</si>
  <si>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</si>
  <si>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</si>
  <si>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</si>
  <si>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</si>
  <si>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</si>
  <si>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</si>
  <si>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</si>
  <si>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</si>
  <si>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</si>
  <si>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</si>
  <si>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</si>
  <si>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</si>
  <si>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</si>
  <si>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</si>
  <si>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</si>
  <si>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</si>
  <si>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</si>
  <si>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</si>
  <si>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</si>
  <si>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</si>
  <si>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</si>
  <si>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</si>
  <si>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</si>
  <si>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</si>
  <si>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</si>
  <si>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</si>
  <si>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</si>
  <si>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</si>
  <si>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</si>
  <si>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</si>
  <si>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</si>
  <si>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</si>
  <si>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</si>
  <si>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</si>
  <si>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</si>
  <si>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</si>
  <si>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</si>
  <si>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</si>
  <si>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</si>
  <si>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</si>
  <si>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</si>
  <si>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</si>
  <si>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</si>
  <si>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</si>
  <si>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</si>
  <si>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</si>
  <si>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</si>
  <si>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</si>
  <si>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</si>
  <si>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</si>
  <si>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</si>
  <si>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</si>
  <si>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</si>
  <si>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</si>
  <si>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</si>
  <si>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</si>
  <si>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</si>
  <si>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</si>
  <si>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</si>
  <si>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</si>
  <si>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</si>
  <si>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</si>
  <si>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</si>
  <si>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</si>
  <si>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</si>
  <si>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</si>
  <si>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</si>
  <si>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</si>
  <si>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</si>
  <si>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</si>
  <si>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</si>
  <si>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</si>
  <si>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</si>
  <si>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</si>
  <si>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</si>
  <si>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</si>
  <si>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</si>
  <si>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</si>
  <si>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</si>
  <si>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</si>
  <si>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</si>
  <si>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</si>
  <si>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</si>
  <si>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</si>
  <si>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</si>
  <si>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</si>
  <si>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</si>
  <si>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</si>
  <si>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</si>
  <si>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</si>
  <si>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</si>
  <si>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</si>
  <si>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</si>
  <si>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</si>
  <si>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</si>
  <si>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</si>
  <si>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</si>
  <si>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</si>
  <si>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</si>
  <si>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</si>
  <si>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</si>
  <si>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</si>
  <si>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</si>
  <si>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</si>
  <si>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</si>
  <si>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</si>
  <si>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</si>
  <si>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</si>
  <si>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</si>
  <si>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</si>
  <si>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</si>
  <si>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</si>
  <si>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</si>
  <si>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</si>
  <si>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</si>
  <si>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</si>
  <si>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</si>
  <si>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</si>
  <si>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</si>
  <si>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</si>
  <si>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</si>
  <si>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</si>
  <si>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</si>
  <si>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</si>
  <si>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</si>
  <si>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</si>
  <si>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</si>
  <si>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</si>
  <si>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</si>
  <si>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</si>
  <si>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</si>
  <si>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</si>
  <si>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</si>
  <si>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</si>
  <si>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</si>
  <si>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</si>
  <si>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</si>
  <si>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</si>
  <si>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</si>
  <si>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</si>
  <si>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</si>
  <si>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</si>
  <si>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</si>
  <si>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</si>
  <si>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</si>
  <si>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</si>
  <si>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</si>
  <si>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</si>
  <si>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</si>
  <si>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</si>
  <si>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</si>
  <si>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</si>
  <si>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</si>
  <si>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</si>
  <si>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</si>
  <si>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</si>
  <si>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</si>
  <si>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</si>
  <si>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</si>
  <si>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</si>
  <si>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</si>
  <si>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</si>
  <si>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</si>
  <si>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</si>
  <si>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</si>
  <si>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</si>
  <si>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</si>
  <si>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</si>
  <si>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</si>
  <si>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</si>
  <si>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</si>
  <si>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</si>
  <si>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</si>
  <si>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</si>
  <si>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</si>
  <si>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</si>
  <si>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</si>
  <si>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</si>
  <si>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</si>
  <si>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</si>
  <si>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</si>
  <si>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</si>
  <si>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</si>
  <si>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</si>
  <si>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</si>
  <si>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</si>
  <si>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</si>
  <si>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</si>
  <si>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</si>
  <si>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</si>
  <si>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</si>
  <si>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</si>
  <si>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</si>
  <si>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</si>
  <si>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</si>
  <si>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</si>
  <si>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</si>
  <si>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</si>
  <si>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</si>
  <si>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</si>
  <si>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</si>
  <si>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</si>
  <si>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</si>
  <si>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</si>
  <si>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</si>
  <si>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</si>
  <si>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</si>
  <si>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</si>
  <si>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</si>
  <si>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</si>
  <si>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</si>
  <si>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</si>
  <si>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</si>
  <si>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</si>
  <si>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</si>
  <si>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</si>
  <si>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</si>
  <si>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</si>
  <si>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</si>
  <si>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</si>
  <si>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</si>
  <si>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</si>
  <si>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</si>
  <si>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</si>
  <si>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</si>
  <si>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</si>
  <si>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</si>
  <si>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</si>
  <si>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</si>
  <si>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</si>
  <si>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</si>
  <si>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</si>
  <si>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</si>
  <si>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</si>
  <si>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</si>
  <si>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</si>
  <si>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</si>
  <si>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</si>
  <si>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</si>
  <si>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</si>
  <si>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</si>
  <si>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</si>
  <si>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</si>
  <si>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</si>
  <si>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</si>
  <si>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</si>
  <si>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</si>
  <si>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</si>
  <si>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</si>
  <si>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</si>
  <si>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</si>
  <si>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</si>
  <si>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</si>
  <si>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</si>
  <si>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</si>
  <si>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</si>
  <si>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</si>
  <si>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</si>
  <si>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</si>
  <si>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</si>
  <si>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</si>
  <si>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</si>
  <si>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</si>
  <si>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</si>
  <si>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>INNER JOIN Beds b ON b.BedID = pl.BedID</t>
  </si>
  <si>
    <t>LEFT JOIN DateTimeSignals dts ON dts.PatientID = pl.PatientID</t>
  </si>
  <si>
    <t xml:space="preserve">WHERE </t>
  </si>
  <si>
    <t>dts.ParameterID = @bd</t>
  </si>
  <si>
    <t>AND (@patId IS NULL OR pl.PatientID = @patId)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</si>
  <si>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</si>
  <si>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</si>
  <si>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</si>
  <si>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</si>
  <si>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</si>
  <si>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</si>
  <si>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</si>
  <si>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</si>
  <si>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>, dts.value BirthDate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</si>
  <si>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</si>
  <si>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</si>
  <si>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</si>
  <si>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</si>
  <si>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</si>
  <si>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</si>
  <si>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</si>
  <si>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</si>
  <si>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</si>
  <si>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</si>
  <si>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</si>
  <si>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</si>
  <si>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</si>
  <si>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</si>
  <si>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</si>
  <si>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</si>
  <si>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</si>
  <si>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</si>
  <si>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</si>
  <si>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</si>
  <si>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</si>
  <si>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</si>
  <si>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</si>
  <si>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</si>
  <si>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</si>
  <si>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</si>
  <si>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</si>
  <si>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</si>
  <si>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1-2</t>
  </si>
  <si>
    <t xml:space="preserve"> Unit 1-3</t>
  </si>
  <si>
    <t xml:space="preserve"> Unit 1-4</t>
  </si>
  <si>
    <t xml:space="preserve"> Unit 1-5</t>
  </si>
  <si>
    <t xml:space="preserve"> Unit 1-6</t>
  </si>
  <si>
    <t xml:space="preserve"> Unit 1-7</t>
  </si>
  <si>
    <t xml:space="preserve"> Unit 1-8</t>
  </si>
  <si>
    <t xml:space="preserve"> Unit 1-9</t>
  </si>
  <si>
    <t xml:space="preserve"> Unit 2-1</t>
  </si>
  <si>
    <t xml:space="preserve"> Unit 2-2</t>
  </si>
  <si>
    <t xml:space="preserve"> Unit 2-3</t>
  </si>
  <si>
    <t xml:space="preserve"> Unit 2-4</t>
  </si>
  <si>
    <t xml:space="preserve"> Unit 2-5</t>
  </si>
  <si>
    <t xml:space="preserve"> Unit 2-6</t>
  </si>
  <si>
    <t xml:space="preserve"> Unit 2-7</t>
  </si>
  <si>
    <t xml:space="preserve"> Unit 2-8</t>
  </si>
  <si>
    <t xml:space="preserve"> Unit 2-9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</si>
  <si>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</si>
  <si>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</si>
  <si>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</si>
  <si>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</si>
  <si>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</si>
  <si>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</si>
  <si>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</si>
  <si>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</si>
  <si>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</si>
  <si>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</si>
  <si>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</si>
  <si>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</si>
  <si>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</si>
  <si>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</si>
  <si>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</si>
  <si>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POS 1</t>
  </si>
  <si>
    <t>POS 2</t>
  </si>
  <si>
    <t>POS 3</t>
  </si>
  <si>
    <t>POS 4</t>
  </si>
  <si>
    <t>POS 5</t>
  </si>
  <si>
    <t>POS 6</t>
  </si>
  <si>
    <t>H2.03.box</t>
  </si>
  <si>
    <t>H3.01.box</t>
  </si>
  <si>
    <t>DECLARE @bed AS nvarchar(100)</t>
  </si>
  <si>
    <t>AND (@bed IS NULL OR b.BedName = @bed)</t>
  </si>
  <si>
    <t>SET @Bed = 'H2.01.03'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</si>
  <si>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</si>
  <si>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</si>
  <si>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</si>
  <si>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</si>
  <si>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</si>
  <si>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</si>
  <si>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</si>
  <si>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</si>
  <si>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</si>
  <si>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</si>
  <si>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</si>
  <si>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</si>
  <si>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</si>
  <si>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</si>
  <si>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</si>
  <si>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</si>
  <si>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</si>
  <si>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</si>
  <si>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</si>
  <si>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</si>
  <si>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</si>
  <si>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</si>
  <si>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</si>
  <si>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</si>
  <si>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</si>
  <si>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</si>
  <si>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</si>
  <si>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</si>
  <si>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</si>
  <si>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</si>
  <si>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</si>
  <si>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</si>
  <si>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</si>
  <si>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</si>
  <si>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</si>
  <si>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</si>
  <si>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</si>
  <si>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</si>
  <si>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</si>
  <si>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</si>
  <si>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</si>
  <si>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</si>
  <si>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</si>
  <si>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</si>
  <si>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</si>
  <si>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</si>
  <si>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</si>
  <si>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</si>
  <si>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</si>
  <si>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</si>
  <si>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</si>
  <si>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</si>
  <si>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</si>
  <si>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</si>
  <si>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</si>
  <si>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</si>
  <si>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</si>
  <si>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</si>
  <si>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</si>
  <si>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</si>
  <si>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</si>
  <si>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</si>
  <si>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</si>
  <si>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</si>
  <si>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</si>
  <si>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</si>
  <si>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</si>
  <si>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</si>
  <si>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</si>
  <si>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</si>
  <si>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</si>
  <si>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</si>
  <si>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</si>
  <si>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</si>
  <si>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</si>
  <si>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</si>
  <si>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</si>
  <si>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</si>
  <si>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</si>
  <si>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</si>
  <si>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</si>
  <si>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</si>
  <si>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</si>
  <si>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</si>
  <si>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</si>
  <si>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</si>
  <si>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</si>
  <si>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</si>
  <si>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</si>
  <si>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</si>
  <si>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</si>
  <si>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</si>
  <si>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</si>
  <si>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</si>
  <si>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</si>
  <si>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</si>
  <si>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</si>
  <si>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</si>
  <si>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</si>
  <si>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</si>
  <si>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</si>
  <si>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</si>
  <si>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</si>
  <si>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</si>
  <si>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</si>
  <si>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</si>
  <si>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</si>
  <si>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</si>
  <si>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</si>
  <si>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</si>
  <si>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</si>
  <si>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</si>
  <si>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</si>
  <si>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</si>
  <si>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</si>
  <si>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</si>
  <si>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</si>
  <si>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</si>
  <si>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</si>
  <si>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</si>
  <si>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</si>
  <si>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</si>
  <si>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</si>
  <si>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</si>
  <si>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</si>
  <si>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</si>
  <si>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</si>
  <si>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</si>
  <si>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</si>
  <si>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</si>
  <si>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</si>
  <si>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</si>
  <si>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</si>
  <si>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</si>
  <si>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</si>
  <si>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</si>
  <si>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</si>
  <si>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</si>
  <si>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</si>
  <si>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</si>
  <si>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</si>
  <si>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</si>
  <si>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</si>
  <si>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</si>
  <si>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</si>
  <si>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</si>
  <si>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</si>
  <si>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</si>
  <si>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</si>
  <si>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</si>
  <si>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</si>
  <si>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</si>
  <si>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</si>
  <si>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</si>
  <si>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</si>
  <si>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</si>
  <si>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</si>
  <si>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</si>
  <si>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</si>
  <si>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</si>
  <si>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</si>
  <si>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</si>
  <si>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</si>
  <si>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</si>
  <si>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</si>
  <si>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</si>
  <si>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</si>
  <si>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</si>
  <si>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</si>
  <si>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</si>
  <si>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</si>
  <si>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</si>
  <si>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</si>
  <si>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</si>
  <si>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</si>
  <si>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</si>
  <si>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</si>
  <si>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</si>
  <si>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</si>
  <si>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</si>
  <si>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</si>
  <si>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</si>
  <si>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</si>
  <si>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</si>
  <si>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</si>
  <si>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</si>
  <si>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</si>
  <si>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</si>
  <si>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</si>
  <si>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</si>
  <si>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</si>
  <si>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</si>
  <si>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</si>
  <si>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</si>
  <si>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</si>
  <si>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</si>
  <si>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</si>
  <si>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</si>
  <si>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</si>
  <si>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</si>
  <si>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</si>
  <si>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</si>
  <si>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</si>
  <si>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</si>
  <si>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</si>
  <si>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</si>
  <si>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</si>
  <si>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</si>
  <si>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</si>
  <si>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</si>
  <si>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</si>
  <si>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</si>
  <si>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</si>
  <si>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</si>
  <si>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</si>
  <si>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</si>
  <si>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</si>
  <si>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</si>
  <si>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</si>
  <si>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</si>
  <si>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</si>
  <si>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</si>
  <si>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</si>
  <si>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</si>
  <si>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</si>
  <si>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</si>
  <si>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</si>
  <si>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</si>
  <si>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</si>
  <si>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</si>
  <si>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</si>
  <si>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</si>
  <si>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</si>
  <si>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</si>
  <si>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</si>
  <si>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</si>
  <si>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</si>
  <si>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</si>
  <si>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</si>
  <si>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</si>
  <si>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</si>
  <si>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</si>
  <si>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</si>
  <si>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</si>
  <si>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</si>
  <si>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</si>
  <si>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</si>
  <si>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</si>
  <si>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</si>
  <si>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</si>
  <si>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</si>
  <si>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</si>
  <si>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</si>
  <si>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</si>
  <si>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</si>
  <si>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</si>
  <si>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</si>
  <si>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</si>
  <si>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</si>
  <si>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</si>
  <si>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</si>
  <si>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</si>
  <si>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</si>
  <si>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</si>
  <si>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</si>
  <si>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</si>
  <si>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</si>
  <si>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</si>
  <si>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</si>
  <si>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</si>
  <si>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</si>
  <si>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</si>
  <si>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</si>
  <si>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</si>
  <si>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</si>
  <si>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</si>
  <si>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</si>
  <si>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</si>
  <si>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</si>
  <si>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</si>
  <si>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</si>
  <si>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</si>
  <si>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</si>
  <si>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</si>
  <si>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</si>
  <si>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</si>
  <si>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</si>
  <si>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</si>
  <si>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</si>
  <si>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</si>
  <si>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</si>
  <si>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</si>
  <si>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</si>
  <si>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</si>
  <si>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</si>
  <si>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</si>
  <si>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</si>
  <si>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</si>
  <si>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</si>
  <si>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</si>
  <si>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</si>
  <si>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</si>
  <si>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</si>
  <si>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</si>
  <si>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</si>
  <si>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</si>
  <si>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</si>
  <si>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</si>
  <si>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</si>
  <si>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</si>
  <si>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</si>
  <si>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</si>
  <si>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</si>
  <si>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</si>
  <si>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</si>
  <si>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</si>
  <si>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</si>
  <si>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</si>
  <si>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</si>
  <si>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</si>
  <si>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</si>
  <si>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</si>
  <si>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</si>
  <si>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</si>
  <si>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</si>
  <si>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</si>
  <si>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</si>
  <si>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</si>
  <si>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</si>
  <si>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</si>
  <si>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</si>
  <si>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</si>
  <si>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</si>
  <si>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</si>
  <si>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</si>
  <si>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</si>
  <si>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</si>
  <si>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</si>
  <si>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</si>
  <si>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</si>
  <si>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</si>
  <si>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</si>
  <si>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</si>
  <si>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</si>
  <si>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</si>
  <si>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</si>
  <si>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</si>
  <si>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</si>
  <si>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</si>
  <si>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</si>
  <si>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</si>
  <si>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</si>
  <si>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</si>
  <si>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</si>
  <si>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</si>
  <si>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</si>
  <si>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</si>
  <si>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</si>
  <si>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</si>
  <si>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</si>
  <si>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</si>
  <si>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</si>
  <si>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</si>
  <si>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</si>
  <si>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</si>
  <si>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</si>
  <si>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</si>
  <si>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</si>
  <si>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</si>
  <si>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</si>
  <si>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</si>
  <si>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</si>
  <si>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</si>
  <si>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</si>
  <si>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</si>
  <si>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</si>
  <si>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</si>
  <si>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</si>
  <si>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</si>
  <si>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</si>
  <si>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</si>
  <si>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</si>
  <si>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</si>
  <si>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</si>
  <si>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0.9.0-beta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</si>
  <si>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</si>
  <si>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</si>
  <si>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</si>
  <si>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</si>
  <si>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</si>
  <si>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</si>
  <si>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</si>
  <si>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</si>
  <si>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</si>
  <si>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</si>
  <si>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</si>
  <si>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</si>
  <si>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</si>
  <si>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</si>
  <si>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</si>
  <si>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</si>
  <si>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</si>
  <si>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</si>
  <si>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</si>
  <si>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</si>
  <si>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</si>
  <si>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</si>
  <si>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</si>
  <si>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</si>
  <si>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</si>
  <si>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</si>
  <si>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</si>
  <si>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</si>
  <si>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</si>
  <si>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</si>
  <si>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</si>
  <si>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</si>
  <si>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</si>
  <si>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</si>
  <si>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</si>
  <si>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</si>
  <si>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</si>
  <si>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</si>
  <si>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</si>
  <si>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</si>
  <si>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</si>
  <si>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</si>
  <si>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</si>
  <si>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</si>
  <si>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</si>
  <si>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</si>
  <si>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</si>
  <si>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</si>
  <si>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</si>
  <si>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</si>
  <si>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</si>
  <si>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</si>
  <si>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</si>
  <si>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</si>
  <si>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</si>
  <si>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</si>
  <si>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</si>
  <si>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</si>
  <si>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</si>
  <si>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</si>
  <si>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</si>
  <si>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</si>
  <si>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</si>
  <si>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</si>
  <si>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</si>
  <si>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</si>
  <si>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</si>
  <si>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</si>
  <si>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</si>
  <si>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</si>
  <si>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</si>
  <si>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</si>
  <si>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</si>
  <si>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</si>
  <si>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</si>
  <si>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</si>
  <si>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</si>
  <si>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</si>
  <si>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</si>
  <si>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</si>
  <si>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</si>
  <si>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</si>
  <si>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</si>
  <si>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</si>
  <si>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</si>
  <si>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</si>
  <si>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</si>
  <si>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</si>
  <si>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</si>
  <si>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</si>
  <si>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</si>
  <si>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</si>
  <si>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</si>
  <si>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</si>
  <si>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</si>
  <si>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</si>
  <si>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</si>
  <si>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</si>
  <si>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</si>
  <si>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</si>
  <si>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</si>
  <si>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</si>
  <si>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</si>
  <si>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</si>
  <si>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</si>
  <si>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</si>
  <si>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</si>
  <si>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</si>
  <si>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</si>
  <si>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</si>
  <si>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</si>
  <si>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</si>
  <si>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</si>
  <si>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</si>
  <si>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</si>
  <si>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</si>
  <si>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</si>
  <si>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</si>
  <si>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</si>
  <si>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</si>
  <si>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</si>
  <si>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</si>
  <si>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</si>
  <si>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</si>
  <si>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</si>
  <si>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</si>
  <si>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</si>
  <si>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</si>
  <si>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</si>
  <si>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</si>
  <si>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</si>
  <si>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</si>
  <si>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</si>
  <si>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</si>
  <si>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</si>
  <si>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</si>
  <si>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</si>
  <si>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</si>
  <si>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</si>
  <si>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</si>
  <si>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</si>
  <si>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</si>
  <si>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</si>
  <si>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</si>
  <si>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</si>
  <si>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</si>
  <si>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</si>
  <si>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</si>
  <si>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</si>
  <si>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</si>
  <si>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</si>
  <si>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</si>
  <si>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</si>
  <si>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</si>
  <si>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</si>
  <si>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</si>
  <si>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</si>
  <si>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</si>
  <si>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</si>
  <si>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</si>
  <si>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</si>
  <si>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</si>
  <si>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</si>
  <si>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</si>
  <si>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</si>
  <si>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</si>
  <si>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</si>
  <si>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</si>
  <si>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</si>
  <si>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</si>
  <si>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</si>
  <si>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</si>
  <si>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</si>
  <si>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</si>
  <si>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</si>
  <si>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</si>
  <si>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</si>
  <si>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</si>
  <si>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</si>
  <si>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</si>
  <si>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</si>
  <si>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</si>
  <si>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</si>
  <si>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</si>
  <si>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</si>
  <si>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</si>
  <si>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</si>
  <si>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</si>
  <si>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</si>
  <si>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</si>
  <si>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</si>
  <si>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</si>
  <si>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</si>
  <si>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</si>
  <si>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</si>
  <si>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</si>
  <si>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</si>
  <si>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</si>
  <si>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</si>
  <si>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</si>
  <si>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</si>
  <si>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</si>
  <si>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</si>
  <si>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</si>
  <si>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</si>
  <si>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</si>
  <si>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</si>
  <si>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</si>
  <si>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</si>
  <si>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</si>
  <si>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</si>
  <si>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</si>
  <si>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</si>
  <si>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</si>
  <si>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</si>
  <si>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</si>
  <si>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</si>
  <si>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</si>
  <si>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</si>
  <si>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</si>
  <si>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</si>
  <si>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</si>
  <si>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</si>
  <si>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</si>
  <si>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</si>
  <si>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</si>
  <si>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</si>
  <si>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</si>
  <si>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</si>
  <si>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</si>
  <si>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</si>
  <si>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</si>
  <si>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</si>
  <si>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</si>
  <si>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</si>
  <si>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</si>
  <si>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</si>
  <si>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</si>
  <si>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</si>
  <si>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</si>
  <si>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</si>
  <si>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</si>
  <si>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</si>
  <si>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</si>
  <si>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</si>
  <si>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</si>
  <si>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</si>
  <si>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</si>
  <si>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</si>
  <si>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</si>
  <si>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</si>
  <si>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</si>
  <si>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</si>
  <si>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</si>
  <si>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</si>
  <si>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</si>
  <si>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</si>
  <si>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</si>
  <si>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</si>
  <si>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</si>
  <si>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</si>
  <si>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</si>
  <si>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</si>
  <si>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</si>
  <si>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</si>
  <si>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</si>
  <si>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</si>
  <si>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</si>
  <si>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</si>
  <si>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</si>
  <si>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</si>
  <si>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</si>
  <si>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</si>
  <si>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</si>
  <si>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</si>
  <si>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</si>
  <si>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</si>
  <si>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</si>
  <si>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</si>
  <si>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</si>
  <si>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</si>
  <si>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</si>
  <si>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</si>
  <si>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</si>
  <si>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</si>
  <si>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</si>
  <si>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</si>
  <si>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</si>
  <si>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</si>
  <si>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</si>
  <si>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</si>
  <si>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</si>
  <si>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</si>
  <si>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</si>
  <si>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</si>
  <si>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</si>
  <si>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</si>
  <si>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</si>
  <si>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</si>
  <si>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</si>
  <si>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</si>
  <si>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</si>
  <si>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</si>
  <si>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</si>
  <si>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</si>
  <si>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GlobNames!$A$1:$I$2209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</si>
  <si>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</si>
  <si>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</si>
  <si>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</si>
  <si>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</si>
  <si>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</si>
  <si>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</si>
  <si>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</si>
  <si>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</si>
  <si>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</si>
  <si>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</si>
  <si>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</si>
  <si>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</si>
  <si>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</si>
  <si>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</si>
  <si>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</si>
  <si>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</si>
  <si>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</si>
  <si>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</si>
  <si>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</si>
  <si>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</si>
  <si>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</si>
  <si>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</si>
  <si>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</si>
  <si>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</si>
  <si>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</si>
  <si>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</si>
  <si>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</si>
  <si>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</si>
  <si>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</si>
  <si>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</si>
  <si>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</si>
  <si>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</si>
  <si>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</si>
  <si>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</si>
  <si>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</si>
  <si>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</si>
  <si>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</si>
  <si>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</si>
  <si>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</si>
  <si>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</si>
  <si>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</si>
  <si>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</si>
  <si>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</si>
  <si>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</si>
  <si>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</si>
  <si>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</si>
  <si>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</si>
  <si>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</si>
  <si>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</si>
  <si>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</si>
  <si>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</si>
  <si>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</si>
  <si>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</si>
  <si>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</si>
  <si>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</si>
  <si>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</si>
  <si>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</si>
  <si>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</si>
  <si>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</si>
  <si>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</si>
  <si>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</si>
  <si>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</si>
  <si>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</si>
  <si>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</si>
  <si>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</si>
  <si>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</si>
  <si>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</si>
  <si>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</si>
  <si>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</si>
  <si>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</si>
  <si>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</si>
  <si>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</si>
  <si>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</si>
  <si>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</si>
  <si>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</si>
  <si>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</si>
  <si>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</si>
  <si>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</si>
  <si>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</si>
  <si>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</si>
  <si>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</si>
  <si>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</si>
  <si>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</si>
  <si>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</si>
  <si>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</si>
  <si>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</si>
  <si>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</si>
  <si>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</si>
  <si>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</si>
  <si>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</si>
  <si>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</si>
  <si>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</si>
  <si>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</si>
  <si>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</si>
  <si>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</si>
  <si>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</si>
  <si>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</si>
  <si>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</si>
  <si>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</si>
  <si>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</si>
  <si>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</si>
  <si>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</si>
  <si>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</si>
  <si>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</si>
  <si>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</si>
  <si>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</si>
  <si>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</si>
  <si>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</si>
  <si>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</si>
  <si>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</si>
  <si>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</si>
  <si>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</si>
  <si>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</si>
  <si>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</si>
  <si>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</si>
  <si>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</si>
  <si>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</si>
  <si>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</si>
  <si>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</si>
  <si>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</si>
  <si>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</si>
  <si>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</si>
  <si>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</si>
  <si>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</si>
  <si>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</si>
  <si>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</si>
  <si>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</si>
  <si>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</si>
  <si>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</si>
  <si>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</si>
  <si>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</si>
  <si>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</si>
  <si>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</si>
  <si>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</si>
  <si>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</si>
  <si>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</si>
  <si>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</si>
  <si>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</si>
  <si>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</si>
  <si>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</si>
  <si>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</si>
  <si>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</si>
  <si>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</si>
  <si>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</si>
  <si>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</si>
  <si>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</si>
  <si>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</si>
  <si>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</si>
  <si>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</si>
  <si>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</si>
  <si>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</si>
  <si>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</si>
  <si>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</si>
  <si>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</si>
  <si>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</si>
  <si>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</si>
  <si>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</si>
  <si>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</si>
  <si>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</si>
  <si>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</si>
  <si>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</si>
  <si>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</si>
  <si>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</si>
  <si>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</si>
  <si>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</si>
  <si>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</si>
  <si>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</si>
  <si>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</si>
  <si>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</si>
  <si>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</si>
  <si>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</si>
  <si>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</si>
  <si>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</si>
  <si>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</si>
  <si>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</si>
  <si>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</si>
  <si>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</si>
  <si>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</si>
  <si>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</si>
  <si>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</si>
  <si>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</si>
  <si>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</si>
  <si>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</si>
  <si>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</si>
  <si>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</si>
  <si>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</si>
  <si>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</si>
  <si>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</si>
  <si>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</si>
  <si>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</si>
  <si>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</si>
  <si>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</si>
  <si>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</si>
  <si>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</si>
  <si>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</si>
  <si>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</si>
  <si>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</si>
  <si>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</si>
  <si>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</si>
  <si>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</si>
  <si>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</si>
  <si>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</si>
  <si>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</si>
  <si>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</si>
  <si>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</si>
  <si>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</si>
  <si>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</si>
  <si>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</si>
  <si>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</si>
  <si>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</si>
  <si>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</si>
  <si>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</si>
  <si>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</si>
  <si>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</si>
  <si>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</si>
  <si>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</si>
  <si>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</si>
  <si>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</si>
  <si>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</si>
  <si>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</si>
  <si>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</si>
  <si>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</si>
  <si>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</si>
  <si>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</si>
  <si>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</si>
  <si>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</si>
  <si>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</si>
  <si>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</si>
  <si>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</si>
  <si>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</si>
  <si>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</si>
  <si>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</si>
  <si>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</si>
  <si>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</si>
  <si>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</si>
  <si>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</si>
  <si>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</si>
  <si>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</si>
  <si>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</si>
  <si>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</si>
  <si>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</si>
  <si>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</si>
  <si>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</si>
  <si>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</si>
  <si>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</si>
  <si>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</si>
  <si>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</si>
  <si>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</si>
  <si>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</si>
  <si>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</si>
  <si>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</si>
  <si>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</si>
  <si>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</si>
  <si>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</si>
  <si>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</si>
  <si>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</si>
  <si>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</si>
  <si>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</si>
  <si>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</si>
  <si>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</si>
  <si>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</si>
  <si>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</si>
  <si>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</si>
  <si>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</si>
  <si>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</si>
  <si>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</si>
  <si>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</si>
  <si>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</si>
  <si>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</si>
  <si>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</si>
  <si>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</si>
  <si>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</si>
  <si>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</si>
  <si>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</si>
  <si>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</si>
  <si>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</si>
  <si>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</si>
  <si>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</si>
  <si>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</si>
  <si>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</si>
  <si>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</si>
  <si>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</si>
  <si>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</si>
  <si>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</si>
  <si>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</si>
  <si>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</si>
  <si>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</si>
  <si>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</si>
  <si>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</si>
  <si>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</si>
  <si>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</si>
  <si>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</si>
  <si>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</si>
  <si>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</si>
  <si>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</si>
  <si>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</si>
  <si>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</si>
  <si>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</si>
  <si>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</si>
  <si>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</si>
  <si>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</si>
  <si>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</si>
  <si>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</si>
  <si>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</si>
  <si>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</si>
  <si>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</si>
  <si>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</si>
  <si>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</si>
  <si>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</si>
  <si>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</si>
  <si>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</si>
  <si>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</si>
  <si>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</si>
  <si>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</si>
  <si>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</si>
  <si>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</si>
  <si>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</si>
  <si>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</si>
  <si>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</si>
  <si>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</si>
  <si>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</si>
  <si>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</si>
  <si>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</si>
  <si>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</si>
  <si>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</si>
  <si>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</si>
  <si>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</si>
  <si>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</si>
  <si>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</si>
  <si>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</si>
  <si>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</si>
  <si>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</si>
  <si>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</si>
  <si>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</si>
  <si>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</si>
  <si>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</si>
  <si>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</si>
  <si>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</si>
  <si>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</si>
  <si>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</si>
  <si>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</si>
  <si>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</si>
  <si>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</si>
  <si>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</si>
  <si>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</si>
  <si>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</si>
  <si>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</si>
  <si>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</si>
  <si>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</si>
  <si>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</si>
  <si>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</si>
  <si>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</si>
  <si>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</si>
  <si>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</si>
  <si>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</si>
  <si>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</si>
  <si>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</si>
  <si>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</si>
  <si>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</si>
  <si>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</si>
  <si>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</si>
  <si>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</si>
  <si>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</si>
  <si>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</si>
  <si>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</si>
  <si>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</si>
  <si>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</si>
  <si>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</si>
  <si>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</si>
  <si>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</si>
  <si>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</si>
  <si>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</si>
  <si>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</si>
  <si>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</si>
  <si>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</si>
  <si>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</si>
  <si>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</si>
  <si>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</si>
  <si>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</si>
  <si>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</si>
  <si>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</si>
  <si>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</si>
  <si>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</si>
  <si>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</si>
  <si>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</si>
  <si>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</si>
  <si>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</si>
  <si>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</si>
  <si>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</si>
  <si>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</si>
  <si>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</si>
  <si>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</si>
  <si>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</si>
  <si>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</si>
  <si>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</si>
  <si>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</si>
  <si>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</si>
  <si>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</si>
  <si>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</si>
  <si>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</si>
  <si>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</si>
  <si>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</si>
  <si>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</si>
  <si>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</si>
  <si>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</si>
  <si>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</si>
  <si>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</si>
  <si>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</si>
  <si>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</si>
  <si>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</si>
  <si>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</si>
  <si>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</si>
  <si>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</si>
  <si>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</si>
  <si>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</si>
  <si>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</si>
  <si>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</si>
  <si>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</si>
  <si>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</si>
  <si>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</si>
  <si>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</si>
  <si>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</si>
  <si>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</si>
  <si>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</si>
  <si>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</si>
  <si>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</si>
  <si>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</si>
  <si>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</si>
  <si>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</si>
  <si>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</si>
  <si>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</si>
  <si>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</si>
  <si>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</si>
  <si>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</si>
  <si>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</si>
  <si>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</si>
  <si>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</si>
  <si>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</si>
  <si>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</si>
  <si>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</si>
  <si>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</si>
  <si>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</si>
  <si>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</si>
  <si>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</si>
  <si>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</si>
  <si>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</si>
  <si>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</si>
  <si>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</si>
  <si>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</si>
  <si>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</si>
  <si>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</si>
  <si>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</si>
  <si>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</si>
  <si>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</si>
  <si>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</si>
  <si>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</si>
  <si>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</si>
  <si>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</si>
  <si>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</si>
  <si>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</si>
  <si>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</si>
  <si>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</si>
  <si>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</si>
  <si>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</si>
  <si>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</si>
  <si>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</si>
  <si>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</si>
  <si>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</si>
  <si>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</si>
  <si>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</si>
  <si>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</si>
  <si>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</si>
  <si>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</si>
  <si>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</si>
  <si>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</si>
  <si>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</si>
  <si>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</si>
  <si>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</si>
  <si>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</si>
  <si>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</si>
  <si>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</si>
  <si>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</si>
  <si>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</si>
  <si>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</si>
  <si>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</si>
  <si>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</si>
  <si>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</si>
  <si>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</si>
  <si>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</si>
  <si>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</si>
  <si>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</si>
  <si>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</si>
  <si>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</si>
  <si>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</si>
  <si>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</si>
  <si>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</si>
  <si>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</si>
  <si>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</si>
  <si>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</si>
  <si>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</si>
  <si>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</si>
  <si>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</si>
  <si>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</si>
  <si>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</si>
  <si>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</si>
  <si>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</si>
  <si>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</si>
  <si>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</si>
  <si>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</si>
  <si>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</si>
  <si>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</si>
  <si>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</si>
  <si>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</si>
  <si>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</si>
  <si>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</si>
  <si>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</si>
  <si>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</si>
  <si>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</si>
  <si>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</si>
  <si>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</si>
  <si>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</si>
  <si>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</si>
  <si>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</si>
  <si>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</si>
  <si>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</si>
  <si>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</si>
  <si>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</si>
  <si>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</si>
  <si>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</si>
  <si>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</si>
  <si>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</si>
  <si>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</si>
  <si>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</si>
  <si>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</si>
  <si>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</si>
  <si>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</si>
  <si>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</si>
  <si>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</si>
  <si>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</si>
  <si>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</si>
  <si>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</si>
  <si>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</si>
  <si>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</si>
  <si>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</si>
  <si>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</si>
  <si>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</si>
  <si>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</si>
  <si>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</si>
  <si>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</si>
  <si>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</si>
  <si>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</si>
  <si>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</si>
  <si>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</si>
  <si>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</si>
  <si>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</si>
  <si>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</si>
  <si>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</si>
  <si>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</si>
  <si>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</si>
  <si>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</si>
  <si>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</si>
  <si>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</si>
  <si>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</si>
  <si>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</si>
  <si>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</si>
  <si>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</si>
  <si>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</si>
  <si>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</si>
  <si>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</si>
  <si>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</si>
  <si>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</si>
  <si>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</si>
  <si>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</si>
  <si>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</si>
  <si>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</si>
  <si>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</si>
  <si>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</si>
  <si>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</si>
  <si>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</si>
  <si>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</si>
  <si>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</si>
  <si>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</si>
  <si>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</si>
  <si>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</si>
  <si>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</si>
  <si>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</si>
  <si>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</si>
  <si>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</si>
  <si>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</si>
  <si>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</si>
  <si>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</si>
  <si>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</si>
  <si>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</si>
  <si>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</si>
  <si>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</si>
  <si>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</si>
  <si>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</si>
  <si>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</si>
  <si>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</si>
  <si>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</si>
  <si>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</si>
  <si>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</si>
  <si>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</si>
  <si>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</si>
  <si>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</si>
  <si>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</si>
  <si>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</si>
  <si>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</si>
  <si>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</si>
  <si>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</si>
  <si>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</si>
  <si>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</si>
  <si>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</si>
  <si>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</si>
  <si>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</si>
  <si>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</si>
  <si>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</si>
  <si>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</si>
  <si>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</si>
  <si>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</si>
  <si>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</si>
  <si>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</si>
  <si>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</si>
  <si>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</si>
  <si>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</si>
  <si>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</si>
  <si>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</si>
  <si>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</si>
  <si>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</si>
  <si>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</si>
  <si>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</si>
  <si>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</si>
  <si>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</si>
  <si>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</si>
  <si>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</si>
  <si>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</si>
  <si>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</si>
  <si>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</si>
  <si>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</si>
  <si>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</si>
  <si>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</si>
  <si>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</si>
  <si>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</si>
  <si>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</si>
  <si>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</si>
  <si>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</si>
  <si>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</si>
  <si>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</si>
  <si>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</si>
  <si>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</si>
  <si>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</si>
  <si>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</si>
  <si>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</si>
  <si>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</si>
  <si>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</si>
  <si>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</si>
  <si>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</si>
  <si>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</si>
  <si>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</si>
  <si>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</si>
  <si>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</si>
  <si>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</si>
  <si>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</si>
  <si>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</si>
  <si>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</si>
  <si>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</si>
  <si>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</si>
  <si>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</si>
  <si>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</si>
  <si>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</si>
  <si>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</si>
  <si>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</si>
  <si>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</si>
  <si>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</si>
  <si>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</si>
  <si>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</si>
  <si>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</si>
  <si>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</si>
  <si>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</si>
  <si>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</si>
  <si>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</si>
  <si>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</si>
  <si>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</si>
  <si>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</si>
  <si>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</si>
  <si>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</si>
  <si>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</si>
  <si>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</si>
  <si>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</si>
  <si>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</si>
  <si>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</si>
  <si>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</si>
  <si>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</si>
  <si>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</si>
  <si>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</si>
  <si>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</si>
  <si>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</si>
  <si>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</si>
  <si>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</si>
  <si>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</si>
  <si>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</si>
  <si>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</si>
  <si>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</si>
  <si>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</si>
  <si>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</si>
  <si>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</si>
  <si>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</si>
  <si>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</si>
  <si>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</si>
  <si>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</si>
  <si>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</si>
  <si>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</si>
  <si>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</si>
  <si>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</si>
  <si>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</si>
  <si>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</si>
  <si>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</si>
  <si>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</si>
  <si>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</si>
  <si>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</si>
  <si>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</si>
  <si>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</si>
  <si>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</si>
  <si>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</si>
  <si>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</si>
  <si>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</si>
  <si>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</si>
  <si>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</si>
  <si>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</si>
  <si>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</si>
  <si>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</si>
  <si>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</si>
  <si>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</si>
  <si>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</si>
  <si>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</si>
  <si>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</si>
  <si>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</si>
  <si>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</si>
  <si>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</si>
  <si>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</si>
  <si>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</si>
  <si>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</si>
  <si>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</si>
  <si>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</si>
  <si>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</si>
  <si>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</si>
  <si>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</si>
  <si>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</si>
  <si>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</si>
  <si>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</si>
  <si>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</si>
  <si>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</si>
  <si>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</si>
  <si>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</si>
  <si>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</si>
  <si>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</si>
  <si>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</si>
  <si>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</si>
  <si>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</si>
  <si>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</si>
  <si>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</si>
  <si>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</si>
  <si>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</si>
  <si>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</si>
  <si>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</si>
  <si>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</si>
  <si>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</si>
  <si>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</si>
  <si>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</si>
  <si>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</si>
  <si>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</si>
  <si>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</si>
  <si>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</si>
  <si>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</si>
  <si>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</si>
  <si>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</si>
  <si>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</si>
  <si>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</si>
  <si>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</si>
  <si>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</si>
  <si>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</si>
  <si>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</si>
  <si>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</si>
  <si>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</si>
  <si>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</si>
  <si>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</si>
  <si>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</si>
  <si>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</si>
  <si>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</si>
  <si>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</si>
  <si>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</si>
  <si>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</si>
  <si>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</si>
  <si>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</si>
  <si>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</si>
  <si>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</si>
  <si>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</si>
  <si>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</si>
  <si>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</si>
  <si>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</si>
  <si>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</si>
  <si>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</si>
  <si>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</si>
  <si>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</si>
  <si>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</si>
  <si>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</si>
  <si>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</si>
  <si>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</si>
  <si>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</si>
  <si>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</si>
  <si>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</si>
  <si>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</si>
  <si>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</si>
  <si>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</si>
  <si>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</si>
  <si>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</si>
  <si>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</si>
  <si>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</si>
  <si>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</si>
  <si>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</si>
  <si>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</si>
  <si>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</si>
  <si>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</si>
  <si>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</si>
  <si>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</si>
  <si>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</si>
  <si>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</si>
  <si>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</si>
  <si>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</si>
  <si>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</si>
  <si>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</si>
  <si>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</si>
  <si>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</si>
  <si>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</si>
  <si>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</si>
  <si>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</si>
  <si>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</si>
  <si>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</si>
  <si>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</si>
  <si>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</si>
  <si>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</si>
  <si>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</si>
  <si>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</si>
  <si>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</si>
  <si>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</si>
  <si>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</si>
  <si>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</si>
  <si>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</si>
  <si>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</si>
  <si>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</si>
  <si>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</si>
  <si>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</si>
  <si>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</si>
  <si>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</si>
  <si>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</si>
  <si>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</si>
  <si>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</si>
  <si>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</si>
  <si>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</si>
  <si>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</si>
  <si>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</si>
  <si>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</si>
  <si>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</si>
  <si>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</si>
  <si>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</si>
  <si>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</si>
  <si>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</si>
  <si>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</si>
  <si>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</si>
  <si>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</si>
  <si>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</si>
  <si>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</si>
  <si>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</si>
  <si>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</si>
  <si>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</si>
  <si>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</si>
  <si>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</si>
  <si>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</si>
  <si>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</si>
  <si>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</si>
  <si>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</si>
  <si>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</si>
  <si>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</si>
  <si>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</si>
  <si>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</si>
  <si>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</si>
  <si>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</si>
  <si>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</si>
  <si>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</si>
  <si>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</si>
  <si>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</si>
  <si>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</si>
  <si>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</si>
  <si>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</si>
  <si>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</si>
  <si>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</si>
  <si>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</si>
  <si>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</si>
  <si>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</si>
  <si>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</si>
  <si>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</si>
  <si>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</si>
  <si>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</si>
  <si>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</si>
  <si>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</si>
  <si>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</si>
  <si>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</si>
  <si>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</si>
  <si>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</si>
  <si>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</si>
  <si>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</si>
  <si>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</si>
  <si>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</si>
  <si>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</si>
  <si>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</si>
  <si>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</si>
  <si>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</si>
  <si>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</si>
  <si>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</si>
  <si>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</si>
  <si>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</si>
  <si>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</si>
  <si>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</si>
  <si>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</si>
  <si>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</si>
  <si>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</si>
  <si>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</si>
  <si>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</si>
  <si>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</si>
  <si>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</si>
  <si>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</si>
  <si>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</si>
  <si>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</si>
  <si>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</si>
  <si>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</si>
  <si>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</si>
  <si>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</si>
  <si>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</si>
  <si>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</si>
  <si>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</si>
  <si>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</si>
  <si>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</si>
  <si>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</si>
  <si>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</si>
  <si>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</si>
  <si>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</si>
  <si>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</si>
  <si>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</si>
  <si>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</si>
  <si>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</si>
  <si>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IsMO</t>
  </si>
  <si>
    <t>MO</t>
  </si>
  <si>
    <t>Doorverdund</t>
  </si>
  <si>
    <t>Doorverdunningstekst</t>
  </si>
  <si>
    <t>0.10.7-beta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</si>
</sst>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99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52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0" fillId="26" borderId="0" xfId="0" applyFill="1" applyAlignment="1">
      <alignment wrapText="1"/>
    </xf>
    <xf numFmtId="0" fontId="12" fillId="26" borderId="0" xfId="42" applyFont="1" applyFill="1"/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0" fillId="26" borderId="0" xfId="0" applyFont="1" applyFill="1"/>
    <xf numFmtId="0" fontId="68" fillId="26" borderId="0" xfId="42" applyFont="1" applyFill="1" applyBorder="1" applyAlignment="1">
      <alignment horizontal="center"/>
    </xf>
    <xf numFmtId="0" fontId="68" fillId="26" borderId="0" xfId="131" applyFont="1" applyFill="1" applyBorder="1" applyAlignment="1">
      <alignment horizontal="center"/>
    </xf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2" fillId="26" borderId="0" xfId="0" applyFont="1" applyFill="1" applyAlignment="1">
      <alignment horizontal="center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52" xfId="42" applyFont="1" applyFill="1" applyBorder="1"/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0" xfId="100" applyFont="1" applyFill="1" applyProtection="1">
      <protection locked="0"/>
    </xf>
    <xf numFmtId="0" fontId="12" fillId="0" borderId="0" xfId="10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2" fillId="0" borderId="0" xfId="0" applyFont="1" applyFill="1" applyBorder="1" applyProtection="1">
      <protection locked="0"/>
    </xf>
    <xf numFmtId="0" fontId="12" fillId="26" borderId="0" xfId="42" applyFont="1" applyFill="1" applyAlignment="1" applyProtection="1">
      <alignment wrapText="1"/>
    </xf>
    <xf numFmtId="0" fontId="0" fillId="26" borderId="0" xfId="0" applyFill="1" applyAlignment="1" applyProtection="1">
      <alignment wrapText="1"/>
    </xf>
    <xf numFmtId="0" fontId="12" fillId="26" borderId="0" xfId="42" applyFont="1" applyFill="1" applyProtection="1"/>
    <xf numFmtId="0" fontId="0" fillId="26" borderId="0" xfId="0" applyFill="1" applyProtection="1"/>
    <xf numFmtId="0" fontId="14" fillId="26" borderId="0" xfId="42" applyFont="1" applyFill="1" applyAlignment="1" applyProtection="1">
      <alignment wrapText="1"/>
    </xf>
    <xf numFmtId="0" fontId="12" fillId="26" borderId="65" xfId="0" applyFont="1" applyFill="1" applyBorder="1" applyProtection="1"/>
    <xf numFmtId="0" fontId="12" fillId="26" borderId="66" xfId="0" applyFont="1" applyFill="1" applyBorder="1" applyProtection="1"/>
    <xf numFmtId="0" fontId="12" fillId="26" borderId="0" xfId="0" applyFont="1" applyFill="1" applyProtection="1"/>
    <xf numFmtId="0" fontId="12" fillId="26" borderId="67" xfId="0" applyFont="1" applyFill="1" applyBorder="1" applyProtection="1"/>
    <xf numFmtId="0" fontId="12" fillId="26" borderId="68" xfId="0" applyFont="1" applyFill="1" applyBorder="1" applyProtection="1"/>
    <xf numFmtId="0" fontId="12" fillId="26" borderId="67" xfId="0" applyFont="1" applyFill="1" applyBorder="1" applyAlignment="1" applyProtection="1">
      <alignment wrapText="1"/>
    </xf>
    <xf numFmtId="0" fontId="12" fillId="26" borderId="68" xfId="0" applyFont="1" applyFill="1" applyBorder="1" applyAlignment="1" applyProtection="1">
      <alignment wrapText="1"/>
    </xf>
    <xf numFmtId="0" fontId="12" fillId="26" borderId="0" xfId="0" applyFont="1" applyFill="1" applyAlignment="1" applyProtection="1">
      <alignment wrapText="1"/>
    </xf>
    <xf numFmtId="0" fontId="0" fillId="0" borderId="0" xfId="0" applyFill="1" applyProtection="1"/>
    <xf numFmtId="0" fontId="12" fillId="0" borderId="0" xfId="0" applyFont="1" applyFill="1" applyProtection="1"/>
    <xf numFmtId="0" fontId="12" fillId="26" borderId="69" xfId="0" applyFont="1" applyFill="1" applyBorder="1" applyProtection="1"/>
    <xf numFmtId="0" fontId="12" fillId="26" borderId="70" xfId="0" applyFont="1" applyFill="1" applyBorder="1" applyProtection="1"/>
    <xf numFmtId="0" fontId="12" fillId="0" borderId="68" xfId="0" applyFont="1" applyFill="1" applyBorder="1" applyProtection="1">
      <protection locked="0"/>
    </xf>
    <xf numFmtId="0" fontId="50" fillId="0" borderId="68" xfId="0" applyFont="1" applyFill="1" applyBorder="1" applyProtection="1">
      <protection locked="0"/>
    </xf>
    <xf numFmtId="0" fontId="50" fillId="31" borderId="71" xfId="0" applyFont="1" applyFill="1" applyBorder="1" applyAlignment="1"/>
    <xf numFmtId="0" fontId="50" fillId="31" borderId="0" xfId="0" applyFont="1" applyFill="1" applyBorder="1" applyAlignment="1"/>
    <xf numFmtId="0" fontId="50" fillId="31" borderId="64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22" xfId="0" applyFont="1" applyBorder="1" applyAlignment="1">
      <alignment horizontal="right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173" fontId="12" fillId="0" borderId="0" xfId="42" applyNumberFormat="1" applyFont="1" applyAlignment="1">
      <alignment horizontal="righ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4" fontId="12" fillId="0" borderId="0" xfId="42" applyNumberFormat="1" applyFont="1" applyAlignment="1">
      <alignment horizontal="left"/>
    </xf>
    <xf numFmtId="0" fontId="97" fillId="0" borderId="0" xfId="42" applyFont="1" applyFill="1" applyBorder="1" applyAlignment="1">
      <alignment horizontal="left" vertical="top" wrapText="1"/>
    </xf>
    <xf numFmtId="0" fontId="12" fillId="0" borderId="24" xfId="42" applyFont="1" applyFill="1" applyBorder="1" applyAlignment="1">
      <alignment horizontal="left" vertical="top" wrapText="1"/>
    </xf>
    <xf numFmtId="0" fontId="12" fillId="0" borderId="0" xfId="42" applyAlignment="1">
      <alignment horizontal="left"/>
    </xf>
    <xf numFmtId="0" fontId="12" fillId="0" borderId="0" xfId="42"/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172" fontId="14" fillId="0" borderId="0" xfId="42" applyNumberFormat="1" applyFont="1" applyAlignment="1">
      <alignment horizontal="left"/>
    </xf>
    <xf numFmtId="0" fontId="14" fillId="0" borderId="0" xfId="42" applyFont="1"/>
    <xf numFmtId="174" fontId="12" fillId="0" borderId="0" xfId="42" applyNumberFormat="1" applyAlignment="1">
      <alignment horizontal="lef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9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3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4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0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2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2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9" lockText="1"/>
</file>

<file path=xl/ctrlProps/ctrlProp775.xml><?xml version="1.0" encoding="utf-8"?>
<formControlPr xmlns="http://schemas.microsoft.com/office/spreadsheetml/2009/9/main" objectType="CheckBox" fmlaLink="NeoBerAfspr!$J$17" lockText="1"/>
</file>

<file path=xl/ctrlProps/ctrlProp776.xml><?xml version="1.0" encoding="utf-8"?>
<formControlPr xmlns="http://schemas.microsoft.com/office/spreadsheetml/2009/9/main" objectType="CheckBox" fmlaLink="NeoBerAfspr!$J$24" lockText="1"/>
</file>

<file path=xl/ctrlProps/ctrlProp777.xml><?xml version="1.0" encoding="utf-8"?>
<formControlPr xmlns="http://schemas.microsoft.com/office/spreadsheetml/2009/9/main" objectType="CheckBox" fmlaLink="NeoBerAfspr!$L$24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J$20" lockText="1"/>
</file>

<file path=xl/ctrlProps/ctrlProp782.xml><?xml version="1.0" encoding="utf-8"?>
<formControlPr xmlns="http://schemas.microsoft.com/office/spreadsheetml/2009/9/main" objectType="CheckBox" fmlaLink="NeoBerAfspr!$L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7" max="24" page="10" val="0"/>
</file>

<file path=xl/ctrlProps/ctrlProp787.xml><?xml version="1.0" encoding="utf-8"?>
<formControlPr xmlns="http://schemas.microsoft.com/office/spreadsheetml/2009/9/main" objectType="Spin" dx="15" fmlaLink="NeoBerAfspr!$L$17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8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0" max="24" page="10" val="0"/>
</file>

<file path=xl/ctrlProps/ctrlProp847.xml><?xml version="1.0" encoding="utf-8"?>
<formControlPr xmlns="http://schemas.microsoft.com/office/spreadsheetml/2009/9/main" objectType="CheckBox" fmlaLink="NeoBerAfspr!$J$29" lockText="1"/>
</file>

<file path=xl/ctrlProps/ctrlProp848.xml><?xml version="1.0" encoding="utf-8"?>
<formControlPr xmlns="http://schemas.microsoft.com/office/spreadsheetml/2009/9/main" objectType="Spin" dx="15" fmlaLink="NeoBerAfspr!$K$29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Lab!$C$4" lockText="1"/>
</file>

<file path=xl/ctrlProps/ctrlProp855.xml><?xml version="1.0" encoding="utf-8"?>
<formControlPr xmlns="http://schemas.microsoft.com/office/spreadsheetml/2009/9/main" objectType="CheckBox" fmlaLink="NeoBerLab!C5" lockText="1"/>
</file>

<file path=xl/ctrlProps/ctrlProp856.xml><?xml version="1.0" encoding="utf-8"?>
<formControlPr xmlns="http://schemas.microsoft.com/office/spreadsheetml/2009/9/main" objectType="CheckBox" fmlaLink="NeoBerLab!C7" lockText="1"/>
</file>

<file path=xl/ctrlProps/ctrlProp857.xml><?xml version="1.0" encoding="utf-8"?>
<formControlPr xmlns="http://schemas.microsoft.com/office/spreadsheetml/2009/9/main" objectType="CheckBox" fmlaLink="NeoBerLab!C8" lockText="1"/>
</file>

<file path=xl/ctrlProps/ctrlProp858.xml><?xml version="1.0" encoding="utf-8"?>
<formControlPr xmlns="http://schemas.microsoft.com/office/spreadsheetml/2009/9/main" objectType="CheckBox" fmlaLink="NeoBerLab!C14" lockText="1"/>
</file>

<file path=xl/ctrlProps/ctrlProp859.xml><?xml version="1.0" encoding="utf-8"?>
<formControlPr xmlns="http://schemas.microsoft.com/office/spreadsheetml/2009/9/main" objectType="CheckBox" fmlaLink="NeoBerLab!C13" lockText="1"/>
</file>

<file path=xl/ctrlProps/ctrlProp860.xml><?xml version="1.0" encoding="utf-8"?>
<formControlPr xmlns="http://schemas.microsoft.com/office/spreadsheetml/2009/9/main" objectType="CheckBox" fmlaLink="NeoBerLab!C30" lockText="1"/>
</file>

<file path=xl/ctrlProps/ctrlProp861.xml><?xml version="1.0" encoding="utf-8"?>
<formControlPr xmlns="http://schemas.microsoft.com/office/spreadsheetml/2009/9/main" objectType="CheckBox" fmlaLink="NeoBerLab!C16" lockText="1"/>
</file>

<file path=xl/ctrlProps/ctrlProp862.xml><?xml version="1.0" encoding="utf-8"?>
<formControlPr xmlns="http://schemas.microsoft.com/office/spreadsheetml/2009/9/main" objectType="CheckBox" fmlaLink="NeoBerLab!C19" lockText="1"/>
</file>

<file path=xl/ctrlProps/ctrlProp863.xml><?xml version="1.0" encoding="utf-8"?>
<formControlPr xmlns="http://schemas.microsoft.com/office/spreadsheetml/2009/9/main" objectType="CheckBox" fmlaLink="NeoBerLab!C20" lockText="1"/>
</file>

<file path=xl/ctrlProps/ctrlProp864.xml><?xml version="1.0" encoding="utf-8"?>
<formControlPr xmlns="http://schemas.microsoft.com/office/spreadsheetml/2009/9/main" objectType="CheckBox" fmlaLink="NeoBerLab!C21" lockText="1"/>
</file>

<file path=xl/ctrlProps/ctrlProp865.xml><?xml version="1.0" encoding="utf-8"?>
<formControlPr xmlns="http://schemas.microsoft.com/office/spreadsheetml/2009/9/main" objectType="CheckBox" fmlaLink="NeoBerLab!C12" lockText="1"/>
</file>

<file path=xl/ctrlProps/ctrlProp866.xml><?xml version="1.0" encoding="utf-8"?>
<formControlPr xmlns="http://schemas.microsoft.com/office/spreadsheetml/2009/9/main" objectType="CheckBox" fmlaLink="NeoBerLab!C28" lockText="1"/>
</file>

<file path=xl/ctrlProps/ctrlProp867.xml><?xml version="1.0" encoding="utf-8"?>
<formControlPr xmlns="http://schemas.microsoft.com/office/spreadsheetml/2009/9/main" objectType="CheckBox" fmlaLink="NeoBerLab!$G$4" lockText="1"/>
</file>

<file path=xl/ctrlProps/ctrlProp868.xml><?xml version="1.0" encoding="utf-8"?>
<formControlPr xmlns="http://schemas.microsoft.com/office/spreadsheetml/2009/9/main" objectType="CheckBox" fmlaLink="NeoBerLab!G5" lockText="1"/>
</file>

<file path=xl/ctrlProps/ctrlProp869.xml><?xml version="1.0" encoding="utf-8"?>
<formControlPr xmlns="http://schemas.microsoft.com/office/spreadsheetml/2009/9/main" objectType="CheckBox" fmlaLink="NeoBerLab!G7" lockText="1"/>
</file>

<file path=xl/ctrlProps/ctrlProp870.xml><?xml version="1.0" encoding="utf-8"?>
<formControlPr xmlns="http://schemas.microsoft.com/office/spreadsheetml/2009/9/main" objectType="CheckBox" fmlaLink="NeoBerLab!G8" lockText="1"/>
</file>

<file path=xl/ctrlProps/ctrlProp871.xml><?xml version="1.0" encoding="utf-8"?>
<formControlPr xmlns="http://schemas.microsoft.com/office/spreadsheetml/2009/9/main" objectType="CheckBox" fmlaLink="NeoBerLab!G14" lockText="1"/>
</file>

<file path=xl/ctrlProps/ctrlProp872.xml><?xml version="1.0" encoding="utf-8"?>
<formControlPr xmlns="http://schemas.microsoft.com/office/spreadsheetml/2009/9/main" objectType="CheckBox" fmlaLink="NeoBerLab!G13" lockText="1"/>
</file>

<file path=xl/ctrlProps/ctrlProp873.xml><?xml version="1.0" encoding="utf-8"?>
<formControlPr xmlns="http://schemas.microsoft.com/office/spreadsheetml/2009/9/main" objectType="CheckBox" fmlaLink="NeoBerLab!G30" lockText="1"/>
</file>

<file path=xl/ctrlProps/ctrlProp874.xml><?xml version="1.0" encoding="utf-8"?>
<formControlPr xmlns="http://schemas.microsoft.com/office/spreadsheetml/2009/9/main" objectType="CheckBox" fmlaLink="NeoBerLab!G16" lockText="1"/>
</file>

<file path=xl/ctrlProps/ctrlProp875.xml><?xml version="1.0" encoding="utf-8"?>
<formControlPr xmlns="http://schemas.microsoft.com/office/spreadsheetml/2009/9/main" objectType="CheckBox" fmlaLink="NeoBerLab!G19" lockText="1"/>
</file>

<file path=xl/ctrlProps/ctrlProp876.xml><?xml version="1.0" encoding="utf-8"?>
<formControlPr xmlns="http://schemas.microsoft.com/office/spreadsheetml/2009/9/main" objectType="CheckBox" fmlaLink="NeoBerLab!G20" lockText="1"/>
</file>

<file path=xl/ctrlProps/ctrlProp877.xml><?xml version="1.0" encoding="utf-8"?>
<formControlPr xmlns="http://schemas.microsoft.com/office/spreadsheetml/2009/9/main" objectType="CheckBox" fmlaLink="NeoBerLab!G21" lockText="1"/>
</file>

<file path=xl/ctrlProps/ctrlProp878.xml><?xml version="1.0" encoding="utf-8"?>
<formControlPr xmlns="http://schemas.microsoft.com/office/spreadsheetml/2009/9/main" objectType="CheckBox" fmlaLink="NeoBerLab!G12" lockText="1"/>
</file>

<file path=xl/ctrlProps/ctrlProp879.xml><?xml version="1.0" encoding="utf-8"?>
<formControlPr xmlns="http://schemas.microsoft.com/office/spreadsheetml/2009/9/main" objectType="CheckBox" fmlaLink="NeoBerLab!G28" lockText="1"/>
</file>

<file path=xl/ctrlProps/ctrlProp880.xml><?xml version="1.0" encoding="utf-8"?>
<formControlPr xmlns="http://schemas.microsoft.com/office/spreadsheetml/2009/9/main" objectType="CheckBox" fmlaLink="NeoBerLab!$I$4" lockText="1"/>
</file>

<file path=xl/ctrlProps/ctrlProp881.xml><?xml version="1.0" encoding="utf-8"?>
<formControlPr xmlns="http://schemas.microsoft.com/office/spreadsheetml/2009/9/main" objectType="CheckBox" fmlaLink="NeoBerLab!I5" lockText="1"/>
</file>

<file path=xl/ctrlProps/ctrlProp882.xml><?xml version="1.0" encoding="utf-8"?>
<formControlPr xmlns="http://schemas.microsoft.com/office/spreadsheetml/2009/9/main" objectType="CheckBox" fmlaLink="NeoBerLab!I7" lockText="1"/>
</file>

<file path=xl/ctrlProps/ctrlProp883.xml><?xml version="1.0" encoding="utf-8"?>
<formControlPr xmlns="http://schemas.microsoft.com/office/spreadsheetml/2009/9/main" objectType="CheckBox" fmlaLink="NeoBerLab!I8" lockText="1"/>
</file>

<file path=xl/ctrlProps/ctrlProp884.xml><?xml version="1.0" encoding="utf-8"?>
<formControlPr xmlns="http://schemas.microsoft.com/office/spreadsheetml/2009/9/main" objectType="CheckBox" fmlaLink="NeoBerLab!I14" lockText="1"/>
</file>

<file path=xl/ctrlProps/ctrlProp885.xml><?xml version="1.0" encoding="utf-8"?>
<formControlPr xmlns="http://schemas.microsoft.com/office/spreadsheetml/2009/9/main" objectType="CheckBox" fmlaLink="NeoBerLab!I13" lockText="1"/>
</file>

<file path=xl/ctrlProps/ctrlProp886.xml><?xml version="1.0" encoding="utf-8"?>
<formControlPr xmlns="http://schemas.microsoft.com/office/spreadsheetml/2009/9/main" objectType="CheckBox" fmlaLink="NeoBerLab!I30" lockText="1"/>
</file>

<file path=xl/ctrlProps/ctrlProp887.xml><?xml version="1.0" encoding="utf-8"?>
<formControlPr xmlns="http://schemas.microsoft.com/office/spreadsheetml/2009/9/main" objectType="CheckBox" fmlaLink="NeoBerLab!I16" lockText="1"/>
</file>

<file path=xl/ctrlProps/ctrlProp888.xml><?xml version="1.0" encoding="utf-8"?>
<formControlPr xmlns="http://schemas.microsoft.com/office/spreadsheetml/2009/9/main" objectType="CheckBox" fmlaLink="NeoBerLab!I19" lockText="1"/>
</file>

<file path=xl/ctrlProps/ctrlProp889.xml><?xml version="1.0" encoding="utf-8"?>
<formControlPr xmlns="http://schemas.microsoft.com/office/spreadsheetml/2009/9/main" objectType="CheckBox" fmlaLink="NeoBerLab!I20" lockText="1"/>
</file>

<file path=xl/ctrlProps/ctrlProp890.xml><?xml version="1.0" encoding="utf-8"?>
<formControlPr xmlns="http://schemas.microsoft.com/office/spreadsheetml/2009/9/main" objectType="CheckBox" fmlaLink="NeoBerLab!I21" lockText="1"/>
</file>

<file path=xl/ctrlProps/ctrlProp891.xml><?xml version="1.0" encoding="utf-8"?>
<formControlPr xmlns="http://schemas.microsoft.com/office/spreadsheetml/2009/9/main" objectType="CheckBox" fmlaLink="NeoBerLab!I12" lockText="1"/>
</file>

<file path=xl/ctrlProps/ctrlProp892.xml><?xml version="1.0" encoding="utf-8"?>
<formControlPr xmlns="http://schemas.microsoft.com/office/spreadsheetml/2009/9/main" objectType="CheckBox" fmlaLink="NeoBerLab!I28" lockText="1"/>
</file>

<file path=xl/ctrlProps/ctrlProp893.xml><?xml version="1.0" encoding="utf-8"?>
<formControlPr xmlns="http://schemas.microsoft.com/office/spreadsheetml/2009/9/main" objectType="CheckBox" fmlaLink="NeoBerLab!$O$4" lockText="1"/>
</file>

<file path=xl/ctrlProps/ctrlProp894.xml><?xml version="1.0" encoding="utf-8"?>
<formControlPr xmlns="http://schemas.microsoft.com/office/spreadsheetml/2009/9/main" objectType="CheckBox" fmlaLink="NeoBerLab!O5" lockText="1"/>
</file>

<file path=xl/ctrlProps/ctrlProp895.xml><?xml version="1.0" encoding="utf-8"?>
<formControlPr xmlns="http://schemas.microsoft.com/office/spreadsheetml/2009/9/main" objectType="CheckBox" fmlaLink="NeoBerLab!O7" lockText="1"/>
</file>

<file path=xl/ctrlProps/ctrlProp896.xml><?xml version="1.0" encoding="utf-8"?>
<formControlPr xmlns="http://schemas.microsoft.com/office/spreadsheetml/2009/9/main" objectType="CheckBox" fmlaLink="NeoBerLab!O8" lockText="1"/>
</file>

<file path=xl/ctrlProps/ctrlProp897.xml><?xml version="1.0" encoding="utf-8"?>
<formControlPr xmlns="http://schemas.microsoft.com/office/spreadsheetml/2009/9/main" objectType="CheckBox" fmlaLink="NeoBerLab!O14" lockText="1"/>
</file>

<file path=xl/ctrlProps/ctrlProp898.xml><?xml version="1.0" encoding="utf-8"?>
<formControlPr xmlns="http://schemas.microsoft.com/office/spreadsheetml/2009/9/main" objectType="CheckBox" fmlaLink="NeoBerLab!O13" lockText="1"/>
</file>

<file path=xl/ctrlProps/ctrlProp899.xml><?xml version="1.0" encoding="utf-8"?>
<formControlPr xmlns="http://schemas.microsoft.com/office/spreadsheetml/2009/9/main" objectType="CheckBox" fmlaLink="NeoBerLab!O30" lockText="1"/>
</file>

<file path=xl/ctrlProps/ctrlProp900.xml><?xml version="1.0" encoding="utf-8"?>
<formControlPr xmlns="http://schemas.microsoft.com/office/spreadsheetml/2009/9/main" objectType="CheckBox" fmlaLink="NeoBerLab!O16" lockText="1"/>
</file>

<file path=xl/ctrlProps/ctrlProp901.xml><?xml version="1.0" encoding="utf-8"?>
<formControlPr xmlns="http://schemas.microsoft.com/office/spreadsheetml/2009/9/main" objectType="CheckBox" fmlaLink="NeoBerLab!O19" lockText="1"/>
</file>

<file path=xl/ctrlProps/ctrlProp902.xml><?xml version="1.0" encoding="utf-8"?>
<formControlPr xmlns="http://schemas.microsoft.com/office/spreadsheetml/2009/9/main" objectType="CheckBox" fmlaLink="NeoBerLab!O20" lockText="1"/>
</file>

<file path=xl/ctrlProps/ctrlProp903.xml><?xml version="1.0" encoding="utf-8"?>
<formControlPr xmlns="http://schemas.microsoft.com/office/spreadsheetml/2009/9/main" objectType="CheckBox" fmlaLink="NeoBerLab!O21" lockText="1"/>
</file>

<file path=xl/ctrlProps/ctrlProp904.xml><?xml version="1.0" encoding="utf-8"?>
<formControlPr xmlns="http://schemas.microsoft.com/office/spreadsheetml/2009/9/main" objectType="CheckBox" fmlaLink="NeoBerLab!O12" lockText="1"/>
</file>

<file path=xl/ctrlProps/ctrlProp905.xml><?xml version="1.0" encoding="utf-8"?>
<formControlPr xmlns="http://schemas.microsoft.com/office/spreadsheetml/2009/9/main" objectType="CheckBox" fmlaLink="NeoBerLab!O28" lockText="1"/>
</file>

<file path=xl/ctrlProps/ctrlProp906.xml><?xml version="1.0" encoding="utf-8"?>
<formControlPr xmlns="http://schemas.microsoft.com/office/spreadsheetml/2009/9/main" objectType="CheckBox" fmlaLink="NeoBerLab!C32" lockText="1"/>
</file>

<file path=xl/ctrlProps/ctrlProp907.xml><?xml version="1.0" encoding="utf-8"?>
<formControlPr xmlns="http://schemas.microsoft.com/office/spreadsheetml/2009/9/main" objectType="CheckBox" fmlaLink="NeoBerLab!G32" lockText="1"/>
</file>

<file path=xl/ctrlProps/ctrlProp908.xml><?xml version="1.0" encoding="utf-8"?>
<formControlPr xmlns="http://schemas.microsoft.com/office/spreadsheetml/2009/9/main" objectType="CheckBox" fmlaLink="NeoBerLab!I32" lockText="1"/>
</file>

<file path=xl/ctrlProps/ctrlProp909.xml><?xml version="1.0" encoding="utf-8"?>
<formControlPr xmlns="http://schemas.microsoft.com/office/spreadsheetml/2009/9/main" objectType="CheckBox" fmlaLink="NeoBerLab!O32" lockText="1"/>
</file>

<file path=xl/ctrlProps/ctrlProp910.xml><?xml version="1.0" encoding="utf-8"?>
<formControlPr xmlns="http://schemas.microsoft.com/office/spreadsheetml/2009/9/main" objectType="CheckBox" fmlaLink="NeoBerLab!C6" lockText="1"/>
</file>

<file path=xl/ctrlProps/ctrlProp911.xml><?xml version="1.0" encoding="utf-8"?>
<formControlPr xmlns="http://schemas.microsoft.com/office/spreadsheetml/2009/9/main" objectType="CheckBox" fmlaLink="NeoBerLab!G6" lockText="1"/>
</file>

<file path=xl/ctrlProps/ctrlProp912.xml><?xml version="1.0" encoding="utf-8"?>
<formControlPr xmlns="http://schemas.microsoft.com/office/spreadsheetml/2009/9/main" objectType="CheckBox" fmlaLink="NeoBerLab!I6" lockText="1"/>
</file>

<file path=xl/ctrlProps/ctrlProp913.xml><?xml version="1.0" encoding="utf-8"?>
<formControlPr xmlns="http://schemas.microsoft.com/office/spreadsheetml/2009/9/main" objectType="CheckBox" fmlaLink="NeoBerLab!O6" lockText="1"/>
</file>

<file path=xl/ctrlProps/ctrlProp914.xml><?xml version="1.0" encoding="utf-8"?>
<formControlPr xmlns="http://schemas.microsoft.com/office/spreadsheetml/2009/9/main" objectType="CheckBox" fmlaLink="NeoBerLab!C17" lockText="1"/>
</file>

<file path=xl/ctrlProps/ctrlProp915.xml><?xml version="1.0" encoding="utf-8"?>
<formControlPr xmlns="http://schemas.microsoft.com/office/spreadsheetml/2009/9/main" objectType="CheckBox" fmlaLink="NeoBerLab!G17" lockText="1"/>
</file>

<file path=xl/ctrlProps/ctrlProp916.xml><?xml version="1.0" encoding="utf-8"?>
<formControlPr xmlns="http://schemas.microsoft.com/office/spreadsheetml/2009/9/main" objectType="CheckBox" fmlaLink="NeoBerLab!I17" lockText="1"/>
</file>

<file path=xl/ctrlProps/ctrlProp917.xml><?xml version="1.0" encoding="utf-8"?>
<formControlPr xmlns="http://schemas.microsoft.com/office/spreadsheetml/2009/9/main" objectType="CheckBox" fmlaLink="NeoBerLab!O17" lockText="1"/>
</file>

<file path=xl/ctrlProps/ctrlProp918.xml><?xml version="1.0" encoding="utf-8"?>
<formControlPr xmlns="http://schemas.microsoft.com/office/spreadsheetml/2009/9/main" objectType="CheckBox" fmlaLink="NeoBerLab!$E$4" lockText="1"/>
</file>

<file path=xl/ctrlProps/ctrlProp919.xml><?xml version="1.0" encoding="utf-8"?>
<formControlPr xmlns="http://schemas.microsoft.com/office/spreadsheetml/2009/9/main" objectType="CheckBox" fmlaLink="NeoBerLab!E5" lockText="1"/>
</file>

<file path=xl/ctrlProps/ctrlProp920.xml><?xml version="1.0" encoding="utf-8"?>
<formControlPr xmlns="http://schemas.microsoft.com/office/spreadsheetml/2009/9/main" objectType="CheckBox" fmlaLink="NeoBerLab!E7" lockText="1"/>
</file>

<file path=xl/ctrlProps/ctrlProp921.xml><?xml version="1.0" encoding="utf-8"?>
<formControlPr xmlns="http://schemas.microsoft.com/office/spreadsheetml/2009/9/main" objectType="CheckBox" fmlaLink="NeoBerLab!E8" lockText="1"/>
</file>

<file path=xl/ctrlProps/ctrlProp922.xml><?xml version="1.0" encoding="utf-8"?>
<formControlPr xmlns="http://schemas.microsoft.com/office/spreadsheetml/2009/9/main" objectType="CheckBox" fmlaLink="NeoBerLab!E14" lockText="1"/>
</file>

<file path=xl/ctrlProps/ctrlProp923.xml><?xml version="1.0" encoding="utf-8"?>
<formControlPr xmlns="http://schemas.microsoft.com/office/spreadsheetml/2009/9/main" objectType="CheckBox" fmlaLink="NeoBerLab!E13" lockText="1"/>
</file>

<file path=xl/ctrlProps/ctrlProp924.xml><?xml version="1.0" encoding="utf-8"?>
<formControlPr xmlns="http://schemas.microsoft.com/office/spreadsheetml/2009/9/main" objectType="CheckBox" fmlaLink="NeoBerLab!E30" lockText="1"/>
</file>

<file path=xl/ctrlProps/ctrlProp925.xml><?xml version="1.0" encoding="utf-8"?>
<formControlPr xmlns="http://schemas.microsoft.com/office/spreadsheetml/2009/9/main" objectType="CheckBox" fmlaLink="NeoBerLab!E16" lockText="1"/>
</file>

<file path=xl/ctrlProps/ctrlProp926.xml><?xml version="1.0" encoding="utf-8"?>
<formControlPr xmlns="http://schemas.microsoft.com/office/spreadsheetml/2009/9/main" objectType="CheckBox" fmlaLink="NeoBerLab!E19" lockText="1"/>
</file>

<file path=xl/ctrlProps/ctrlProp927.xml><?xml version="1.0" encoding="utf-8"?>
<formControlPr xmlns="http://schemas.microsoft.com/office/spreadsheetml/2009/9/main" objectType="CheckBox" fmlaLink="NeoBerLab!E20" lockText="1"/>
</file>

<file path=xl/ctrlProps/ctrlProp928.xml><?xml version="1.0" encoding="utf-8"?>
<formControlPr xmlns="http://schemas.microsoft.com/office/spreadsheetml/2009/9/main" objectType="CheckBox" fmlaLink="NeoBerLab!E21" lockText="1"/>
</file>

<file path=xl/ctrlProps/ctrlProp929.xml><?xml version="1.0" encoding="utf-8"?>
<formControlPr xmlns="http://schemas.microsoft.com/office/spreadsheetml/2009/9/main" objectType="CheckBox" fmlaLink="NeoBerLab!E12" lockText="1"/>
</file>

<file path=xl/ctrlProps/ctrlProp930.xml><?xml version="1.0" encoding="utf-8"?>
<formControlPr xmlns="http://schemas.microsoft.com/office/spreadsheetml/2009/9/main" objectType="CheckBox" fmlaLink="NeoBerLab!E28" lockText="1"/>
</file>

<file path=xl/ctrlProps/ctrlProp931.xml><?xml version="1.0" encoding="utf-8"?>
<formControlPr xmlns="http://schemas.microsoft.com/office/spreadsheetml/2009/9/main" objectType="CheckBox" fmlaLink="NeoBerLab!E32" lockText="1"/>
</file>

<file path=xl/ctrlProps/ctrlProp932.xml><?xml version="1.0" encoding="utf-8"?>
<formControlPr xmlns="http://schemas.microsoft.com/office/spreadsheetml/2009/9/main" objectType="CheckBox" fmlaLink="NeoBerLab!E6" lockText="1"/>
</file>

<file path=xl/ctrlProps/ctrlProp933.xml><?xml version="1.0" encoding="utf-8"?>
<formControlPr xmlns="http://schemas.microsoft.com/office/spreadsheetml/2009/9/main" objectType="CheckBox" fmlaLink="NeoBerLab!E17" lockText="1"/>
</file>

<file path=xl/ctrlProps/ctrlProp934.xml><?xml version="1.0" encoding="utf-8"?>
<formControlPr xmlns="http://schemas.microsoft.com/office/spreadsheetml/2009/9/main" objectType="CheckBox" fmlaLink="NeoBerLab!C33" lockText="1"/>
</file>

<file path=xl/ctrlProps/ctrlProp935.xml><?xml version="1.0" encoding="utf-8"?>
<formControlPr xmlns="http://schemas.microsoft.com/office/spreadsheetml/2009/9/main" objectType="CheckBox" fmlaLink="NeoBerLab!G33" lockText="1"/>
</file>

<file path=xl/ctrlProps/ctrlProp936.xml><?xml version="1.0" encoding="utf-8"?>
<formControlPr xmlns="http://schemas.microsoft.com/office/spreadsheetml/2009/9/main" objectType="CheckBox" fmlaLink="NeoBerLab!I33" lockText="1"/>
</file>

<file path=xl/ctrlProps/ctrlProp937.xml><?xml version="1.0" encoding="utf-8"?>
<formControlPr xmlns="http://schemas.microsoft.com/office/spreadsheetml/2009/9/main" objectType="CheckBox" fmlaLink="NeoBerLab!O33" lockText="1"/>
</file>

<file path=xl/ctrlProps/ctrlProp938.xml><?xml version="1.0" encoding="utf-8"?>
<formControlPr xmlns="http://schemas.microsoft.com/office/spreadsheetml/2009/9/main" objectType="CheckBox" fmlaLink="NeoBerLab!E33" lockText="1"/>
</file>

<file path=xl/ctrlProps/ctrlProp939.xml><?xml version="1.0" encoding="utf-8"?>
<formControlPr xmlns="http://schemas.microsoft.com/office/spreadsheetml/2009/9/main" objectType="CheckBox" fmlaLink="NeoBerLab!C34" lockText="1"/>
</file>

<file path=xl/ctrlProps/ctrlProp940.xml><?xml version="1.0" encoding="utf-8"?>
<formControlPr xmlns="http://schemas.microsoft.com/office/spreadsheetml/2009/9/main" objectType="CheckBox" fmlaLink="NeoBerLab!G34" lockText="1"/>
</file>

<file path=xl/ctrlProps/ctrlProp941.xml><?xml version="1.0" encoding="utf-8"?>
<formControlPr xmlns="http://schemas.microsoft.com/office/spreadsheetml/2009/9/main" objectType="CheckBox" fmlaLink="NeoBerLab!I34" lockText="1"/>
</file>

<file path=xl/ctrlProps/ctrlProp942.xml><?xml version="1.0" encoding="utf-8"?>
<formControlPr xmlns="http://schemas.microsoft.com/office/spreadsheetml/2009/9/main" objectType="CheckBox" fmlaLink="NeoBerLab!O34" lockText="1"/>
</file>

<file path=xl/ctrlProps/ctrlProp943.xml><?xml version="1.0" encoding="utf-8"?>
<formControlPr xmlns="http://schemas.microsoft.com/office/spreadsheetml/2009/9/main" objectType="CheckBox" fmlaLink="NeoBerLab!E34" lockText="1"/>
</file>

<file path=xl/ctrlProps/ctrlProp944.xml><?xml version="1.0" encoding="utf-8"?>
<formControlPr xmlns="http://schemas.microsoft.com/office/spreadsheetml/2009/9/main" objectType="CheckBox" fmlaLink="NeoBerLab!C9" lockText="1"/>
</file>

<file path=xl/ctrlProps/ctrlProp945.xml><?xml version="1.0" encoding="utf-8"?>
<formControlPr xmlns="http://schemas.microsoft.com/office/spreadsheetml/2009/9/main" objectType="CheckBox" fmlaLink="NeoBerLab!G9" lockText="1"/>
</file>

<file path=xl/ctrlProps/ctrlProp946.xml><?xml version="1.0" encoding="utf-8"?>
<formControlPr xmlns="http://schemas.microsoft.com/office/spreadsheetml/2009/9/main" objectType="CheckBox" fmlaLink="NeoBerLab!I9" lockText="1"/>
</file>

<file path=xl/ctrlProps/ctrlProp947.xml><?xml version="1.0" encoding="utf-8"?>
<formControlPr xmlns="http://schemas.microsoft.com/office/spreadsheetml/2009/9/main" objectType="CheckBox" fmlaLink="NeoBerLab!O9" lockText="1"/>
</file>

<file path=xl/ctrlProps/ctrlProp948.xml><?xml version="1.0" encoding="utf-8"?>
<formControlPr xmlns="http://schemas.microsoft.com/office/spreadsheetml/2009/9/main" objectType="CheckBox" fmlaLink="NeoBerLab!E9" lockText="1"/>
</file>

<file path=xl/ctrlProps/ctrlProp949.xml><?xml version="1.0" encoding="utf-8"?>
<formControlPr xmlns="http://schemas.microsoft.com/office/spreadsheetml/2009/9/main" objectType="CheckBox" fmlaLink="NeoBerLab!C11" lockText="1"/>
</file>

<file path=xl/ctrlProps/ctrlProp950.xml><?xml version="1.0" encoding="utf-8"?>
<formControlPr xmlns="http://schemas.microsoft.com/office/spreadsheetml/2009/9/main" objectType="CheckBox" fmlaLink="NeoBerLab!G11" lockText="1"/>
</file>

<file path=xl/ctrlProps/ctrlProp951.xml><?xml version="1.0" encoding="utf-8"?>
<formControlPr xmlns="http://schemas.microsoft.com/office/spreadsheetml/2009/9/main" objectType="CheckBox" fmlaLink="NeoBerLab!I11" lockText="1"/>
</file>

<file path=xl/ctrlProps/ctrlProp952.xml><?xml version="1.0" encoding="utf-8"?>
<formControlPr xmlns="http://schemas.microsoft.com/office/spreadsheetml/2009/9/main" objectType="CheckBox" fmlaLink="NeoBerLab!O11" lockText="1"/>
</file>

<file path=xl/ctrlProps/ctrlProp953.xml><?xml version="1.0" encoding="utf-8"?>
<formControlPr xmlns="http://schemas.microsoft.com/office/spreadsheetml/2009/9/main" objectType="CheckBox" fmlaLink="NeoBerLab!E11" lockText="1"/>
</file>

<file path=xl/ctrlProps/ctrlProp954.xml><?xml version="1.0" encoding="utf-8"?>
<formControlPr xmlns="http://schemas.microsoft.com/office/spreadsheetml/2009/9/main" objectType="CheckBox" fmlaLink="NeoBerLab!C15" lockText="1"/>
</file>

<file path=xl/ctrlProps/ctrlProp955.xml><?xml version="1.0" encoding="utf-8"?>
<formControlPr xmlns="http://schemas.microsoft.com/office/spreadsheetml/2009/9/main" objectType="CheckBox" fmlaLink="NeoBerLab!G15" lockText="1"/>
</file>

<file path=xl/ctrlProps/ctrlProp956.xml><?xml version="1.0" encoding="utf-8"?>
<formControlPr xmlns="http://schemas.microsoft.com/office/spreadsheetml/2009/9/main" objectType="CheckBox" fmlaLink="NeoBerLab!I15" lockText="1"/>
</file>

<file path=xl/ctrlProps/ctrlProp957.xml><?xml version="1.0" encoding="utf-8"?>
<formControlPr xmlns="http://schemas.microsoft.com/office/spreadsheetml/2009/9/main" objectType="CheckBox" fmlaLink="NeoBerLab!O15" lockText="1"/>
</file>

<file path=xl/ctrlProps/ctrlProp958.xml><?xml version="1.0" encoding="utf-8"?>
<formControlPr xmlns="http://schemas.microsoft.com/office/spreadsheetml/2009/9/main" objectType="CheckBox" fmlaLink="NeoBerLab!E15" lockText="1"/>
</file>

<file path=xl/ctrlProps/ctrlProp959.xml><?xml version="1.0" encoding="utf-8"?>
<formControlPr xmlns="http://schemas.microsoft.com/office/spreadsheetml/2009/9/main" objectType="CheckBox" fmlaLink="NeoBerLab!C22" lockText="1"/>
</file>

<file path=xl/ctrlProps/ctrlProp960.xml><?xml version="1.0" encoding="utf-8"?>
<formControlPr xmlns="http://schemas.microsoft.com/office/spreadsheetml/2009/9/main" objectType="CheckBox" fmlaLink="NeoBerLab!G22" lockText="1"/>
</file>

<file path=xl/ctrlProps/ctrlProp961.xml><?xml version="1.0" encoding="utf-8"?>
<formControlPr xmlns="http://schemas.microsoft.com/office/spreadsheetml/2009/9/main" objectType="CheckBox" fmlaLink="NeoBerLab!I22" lockText="1"/>
</file>

<file path=xl/ctrlProps/ctrlProp962.xml><?xml version="1.0" encoding="utf-8"?>
<formControlPr xmlns="http://schemas.microsoft.com/office/spreadsheetml/2009/9/main" objectType="CheckBox" fmlaLink="NeoBerLab!O22" lockText="1"/>
</file>

<file path=xl/ctrlProps/ctrlProp963.xml><?xml version="1.0" encoding="utf-8"?>
<formControlPr xmlns="http://schemas.microsoft.com/office/spreadsheetml/2009/9/main" objectType="CheckBox" fmlaLink="NeoBerLab!E22" lockText="1"/>
</file>

<file path=xl/ctrlProps/ctrlProp964.xml><?xml version="1.0" encoding="utf-8"?>
<formControlPr xmlns="http://schemas.microsoft.com/office/spreadsheetml/2009/9/main" objectType="CheckBox" fmlaLink="NeoBerLab!C23" lockText="1"/>
</file>

<file path=xl/ctrlProps/ctrlProp965.xml><?xml version="1.0" encoding="utf-8"?>
<formControlPr xmlns="http://schemas.microsoft.com/office/spreadsheetml/2009/9/main" objectType="CheckBox" fmlaLink="NeoBerLab!G23" lockText="1"/>
</file>

<file path=xl/ctrlProps/ctrlProp966.xml><?xml version="1.0" encoding="utf-8"?>
<formControlPr xmlns="http://schemas.microsoft.com/office/spreadsheetml/2009/9/main" objectType="CheckBox" fmlaLink="NeoBerLab!I23" lockText="1"/>
</file>

<file path=xl/ctrlProps/ctrlProp967.xml><?xml version="1.0" encoding="utf-8"?>
<formControlPr xmlns="http://schemas.microsoft.com/office/spreadsheetml/2009/9/main" objectType="CheckBox" fmlaLink="NeoBerLab!O23" lockText="1"/>
</file>

<file path=xl/ctrlProps/ctrlProp968.xml><?xml version="1.0" encoding="utf-8"?>
<formControlPr xmlns="http://schemas.microsoft.com/office/spreadsheetml/2009/9/main" objectType="CheckBox" fmlaLink="NeoBerLab!E23" lockText="1"/>
</file>

<file path=xl/ctrlProps/ctrlProp969.xml><?xml version="1.0" encoding="utf-8"?>
<formControlPr xmlns="http://schemas.microsoft.com/office/spreadsheetml/2009/9/main" objectType="CheckBox" fmlaLink="NeoBerLab!C24" lockText="1"/>
</file>

<file path=xl/ctrlProps/ctrlProp970.xml><?xml version="1.0" encoding="utf-8"?>
<formControlPr xmlns="http://schemas.microsoft.com/office/spreadsheetml/2009/9/main" objectType="CheckBox" fmlaLink="NeoBerLab!G24" lockText="1"/>
</file>

<file path=xl/ctrlProps/ctrlProp971.xml><?xml version="1.0" encoding="utf-8"?>
<formControlPr xmlns="http://schemas.microsoft.com/office/spreadsheetml/2009/9/main" objectType="CheckBox" fmlaLink="NeoBerLab!I24" lockText="1"/>
</file>

<file path=xl/ctrlProps/ctrlProp972.xml><?xml version="1.0" encoding="utf-8"?>
<formControlPr xmlns="http://schemas.microsoft.com/office/spreadsheetml/2009/9/main" objectType="CheckBox" fmlaLink="NeoBerLab!O24" lockText="1"/>
</file>

<file path=xl/ctrlProps/ctrlProp973.xml><?xml version="1.0" encoding="utf-8"?>
<formControlPr xmlns="http://schemas.microsoft.com/office/spreadsheetml/2009/9/main" objectType="CheckBox" fmlaLink="NeoBerLab!E24" lockText="1"/>
</file>

<file path=xl/ctrlProps/ctrlProp974.xml><?xml version="1.0" encoding="utf-8"?>
<formControlPr xmlns="http://schemas.microsoft.com/office/spreadsheetml/2009/9/main" objectType="CheckBox" fmlaLink="NeoBerLab!C25" lockText="1"/>
</file>

<file path=xl/ctrlProps/ctrlProp975.xml><?xml version="1.0" encoding="utf-8"?>
<formControlPr xmlns="http://schemas.microsoft.com/office/spreadsheetml/2009/9/main" objectType="CheckBox" fmlaLink="NeoBerLab!G25" lockText="1"/>
</file>

<file path=xl/ctrlProps/ctrlProp976.xml><?xml version="1.0" encoding="utf-8"?>
<formControlPr xmlns="http://schemas.microsoft.com/office/spreadsheetml/2009/9/main" objectType="CheckBox" fmlaLink="NeoBerLab!I25" lockText="1"/>
</file>

<file path=xl/ctrlProps/ctrlProp977.xml><?xml version="1.0" encoding="utf-8"?>
<formControlPr xmlns="http://schemas.microsoft.com/office/spreadsheetml/2009/9/main" objectType="CheckBox" fmlaLink="NeoBerLab!O25" lockText="1"/>
</file>

<file path=xl/ctrlProps/ctrlProp978.xml><?xml version="1.0" encoding="utf-8"?>
<formControlPr xmlns="http://schemas.microsoft.com/office/spreadsheetml/2009/9/main" objectType="CheckBox" fmlaLink="NeoBerLab!E25" lockText="1"/>
</file>

<file path=xl/ctrlProps/ctrlProp979.xml><?xml version="1.0" encoding="utf-8"?>
<formControlPr xmlns="http://schemas.microsoft.com/office/spreadsheetml/2009/9/main" objectType="CheckBox" fmlaLink="NeoBerLab!C26" lockText="1"/>
</file>

<file path=xl/ctrlProps/ctrlProp980.xml><?xml version="1.0" encoding="utf-8"?>
<formControlPr xmlns="http://schemas.microsoft.com/office/spreadsheetml/2009/9/main" objectType="CheckBox" fmlaLink="NeoBerLab!G26" lockText="1"/>
</file>

<file path=xl/ctrlProps/ctrlProp981.xml><?xml version="1.0" encoding="utf-8"?>
<formControlPr xmlns="http://schemas.microsoft.com/office/spreadsheetml/2009/9/main" objectType="CheckBox" fmlaLink="NeoBerLab!I26" lockText="1"/>
</file>

<file path=xl/ctrlProps/ctrlProp982.xml><?xml version="1.0" encoding="utf-8"?>
<formControlPr xmlns="http://schemas.microsoft.com/office/spreadsheetml/2009/9/main" objectType="CheckBox" fmlaLink="NeoBerLab!O26" lockText="1"/>
</file>

<file path=xl/ctrlProps/ctrlProp983.xml><?xml version="1.0" encoding="utf-8"?>
<formControlPr xmlns="http://schemas.microsoft.com/office/spreadsheetml/2009/9/main" objectType="CheckBox" fmlaLink="NeoBerLab!E26" lockText="1"/>
</file>

<file path=xl/ctrlProps/ctrlProp984.xml><?xml version="1.0" encoding="utf-8"?>
<formControlPr xmlns="http://schemas.microsoft.com/office/spreadsheetml/2009/9/main" objectType="CheckBox" fmlaLink="NeoBerLab!C29" lockText="1"/>
</file>

<file path=xl/ctrlProps/ctrlProp985.xml><?xml version="1.0" encoding="utf-8"?>
<formControlPr xmlns="http://schemas.microsoft.com/office/spreadsheetml/2009/9/main" objectType="CheckBox" fmlaLink="NeoBerLab!G29" lockText="1"/>
</file>

<file path=xl/ctrlProps/ctrlProp986.xml><?xml version="1.0" encoding="utf-8"?>
<formControlPr xmlns="http://schemas.microsoft.com/office/spreadsheetml/2009/9/main" objectType="CheckBox" fmlaLink="NeoBerLab!I29" lockText="1"/>
</file>

<file path=xl/ctrlProps/ctrlProp987.xml><?xml version="1.0" encoding="utf-8"?>
<formControlPr xmlns="http://schemas.microsoft.com/office/spreadsheetml/2009/9/main" objectType="CheckBox" fmlaLink="NeoBerLab!O29" lockText="1"/>
</file>

<file path=xl/ctrlProps/ctrlProp988.xml><?xml version="1.0" encoding="utf-8"?>
<formControlPr xmlns="http://schemas.microsoft.com/office/spreadsheetml/2009/9/main" objectType="CheckBox" fmlaLink="NeoBerLab!E29" lockText="1"/>
</file>

<file path=xl/ctrlProps/ctrlProp989.xml><?xml version="1.0" encoding="utf-8"?>
<formControlPr xmlns="http://schemas.microsoft.com/office/spreadsheetml/2009/9/main" objectType="CheckBox" fmlaLink="NeoBerLab!C18" lockText="1"/>
</file>

<file path=xl/ctrlProps/ctrlProp990.xml><?xml version="1.0" encoding="utf-8"?>
<formControlPr xmlns="http://schemas.microsoft.com/office/spreadsheetml/2009/9/main" objectType="CheckBox" fmlaLink="NeoBerLab!G18" lockText="1"/>
</file>

<file path=xl/ctrlProps/ctrlProp991.xml><?xml version="1.0" encoding="utf-8"?>
<formControlPr xmlns="http://schemas.microsoft.com/office/spreadsheetml/2009/9/main" objectType="CheckBox" fmlaLink="NeoBerLab!I18" lockText="1"/>
</file>

<file path=xl/ctrlProps/ctrlProp992.xml><?xml version="1.0" encoding="utf-8"?>
<formControlPr xmlns="http://schemas.microsoft.com/office/spreadsheetml/2009/9/main" objectType="CheckBox" fmlaLink="NeoBerLab!O18" lockText="1"/>
</file>

<file path=xl/ctrlProps/ctrlProp993.xml><?xml version="1.0" encoding="utf-8"?>
<formControlPr xmlns="http://schemas.microsoft.com/office/spreadsheetml/2009/9/main" objectType="CheckBox" fmlaLink="NeoBerLab!E18" lockText="1"/>
</file>

<file path=xl/ctrlProps/ctrlProp994.xml><?xml version="1.0" encoding="utf-8"?>
<formControlPr xmlns="http://schemas.microsoft.com/office/spreadsheetml/2009/9/main" objectType="CheckBox" fmlaLink="NeoBerLab!$K$4" lockText="1"/>
</file>

<file path=xl/ctrlProps/ctrlProp995.xml><?xml version="1.0" encoding="utf-8"?>
<formControlPr xmlns="http://schemas.microsoft.com/office/spreadsheetml/2009/9/main" objectType="CheckBox" fmlaLink="NeoBerLab!K5" lockText="1"/>
</file>

<file path=xl/ctrlProps/ctrlProp996.xml><?xml version="1.0" encoding="utf-8"?>
<formControlPr xmlns="http://schemas.microsoft.com/office/spreadsheetml/2009/9/main" objectType="CheckBox" fmlaLink="NeoBerLab!K7" lockText="1"/>
</file>

<file path=xl/ctrlProps/ctrlProp997.xml><?xml version="1.0" encoding="utf-8"?>
<formControlPr xmlns="http://schemas.microsoft.com/office/spreadsheetml/2009/9/main" objectType="CheckBox" fmlaLink="NeoBerLab!K8" lockText="1"/>
</file>

<file path=xl/ctrlProps/ctrlProp998.xml><?xml version="1.0" encoding="utf-8"?>
<formControlPr xmlns="http://schemas.microsoft.com/office/spreadsheetml/2009/9/main" objectType="CheckBox" fmlaLink="NeoBerLab!K14" lockText="1"/>
</file>

<file path=xl/ctrlProps/ctrlProp999.xml><?xml version="1.0" encoding="utf-8"?>
<formControlPr xmlns="http://schemas.microsoft.com/office/spreadsheetml/2009/9/main" objectType="CheckBox" fmlaLink="NeoBerLab!K13" lockText="1"/>
</file>

<file path=xl/ctrlProps/ctrlProp1000.xml><?xml version="1.0" encoding="utf-8"?>
<formControlPr xmlns="http://schemas.microsoft.com/office/spreadsheetml/2009/9/main" objectType="CheckBox" fmlaLink="NeoBerLab!K30" lockText="1"/>
</file>

<file path=xl/ctrlProps/ctrlProp1001.xml><?xml version="1.0" encoding="utf-8"?>
<formControlPr xmlns="http://schemas.microsoft.com/office/spreadsheetml/2009/9/main" objectType="CheckBox" fmlaLink="NeoBerLab!K16" lockText="1"/>
</file>

<file path=xl/ctrlProps/ctrlProp1002.xml><?xml version="1.0" encoding="utf-8"?>
<formControlPr xmlns="http://schemas.microsoft.com/office/spreadsheetml/2009/9/main" objectType="CheckBox" fmlaLink="NeoBerLab!K19" lockText="1"/>
</file>

<file path=xl/ctrlProps/ctrlProp1003.xml><?xml version="1.0" encoding="utf-8"?>
<formControlPr xmlns="http://schemas.microsoft.com/office/spreadsheetml/2009/9/main" objectType="CheckBox" fmlaLink="NeoBerLab!K20" lockText="1"/>
</file>

<file path=xl/ctrlProps/ctrlProp1004.xml><?xml version="1.0" encoding="utf-8"?>
<formControlPr xmlns="http://schemas.microsoft.com/office/spreadsheetml/2009/9/main" objectType="CheckBox" fmlaLink="NeoBerLab!K21" lockText="1"/>
</file>

<file path=xl/ctrlProps/ctrlProp1005.xml><?xml version="1.0" encoding="utf-8"?>
<formControlPr xmlns="http://schemas.microsoft.com/office/spreadsheetml/2009/9/main" objectType="CheckBox" fmlaLink="NeoBerLab!K12" lockText="1"/>
</file>

<file path=xl/ctrlProps/ctrlProp1006.xml><?xml version="1.0" encoding="utf-8"?>
<formControlPr xmlns="http://schemas.microsoft.com/office/spreadsheetml/2009/9/main" objectType="CheckBox" fmlaLink="NeoBerLab!K28" lockText="1"/>
</file>

<file path=xl/ctrlProps/ctrlProp1007.xml><?xml version="1.0" encoding="utf-8"?>
<formControlPr xmlns="http://schemas.microsoft.com/office/spreadsheetml/2009/9/main" objectType="CheckBox" fmlaLink="NeoBerLab!$M$4" lockText="1"/>
</file>

<file path=xl/ctrlProps/ctrlProp1008.xml><?xml version="1.0" encoding="utf-8"?>
<formControlPr xmlns="http://schemas.microsoft.com/office/spreadsheetml/2009/9/main" objectType="CheckBox" fmlaLink="NeoBerLab!M5" lockText="1"/>
</file>

<file path=xl/ctrlProps/ctrlProp1009.xml><?xml version="1.0" encoding="utf-8"?>
<formControlPr xmlns="http://schemas.microsoft.com/office/spreadsheetml/2009/9/main" objectType="CheckBox" fmlaLink="NeoBerLab!M7" lockText="1"/>
</file>

<file path=xl/ctrlProps/ctrlProp1010.xml><?xml version="1.0" encoding="utf-8"?>
<formControlPr xmlns="http://schemas.microsoft.com/office/spreadsheetml/2009/9/main" objectType="CheckBox" fmlaLink="NeoBerLab!M8" lockText="1"/>
</file>

<file path=xl/ctrlProps/ctrlProp1011.xml><?xml version="1.0" encoding="utf-8"?>
<formControlPr xmlns="http://schemas.microsoft.com/office/spreadsheetml/2009/9/main" objectType="CheckBox" fmlaLink="NeoBerLab!M14" lockText="1"/>
</file>

<file path=xl/ctrlProps/ctrlProp1012.xml><?xml version="1.0" encoding="utf-8"?>
<formControlPr xmlns="http://schemas.microsoft.com/office/spreadsheetml/2009/9/main" objectType="CheckBox" fmlaLink="NeoBerLab!M13" lockText="1"/>
</file>

<file path=xl/ctrlProps/ctrlProp1013.xml><?xml version="1.0" encoding="utf-8"?>
<formControlPr xmlns="http://schemas.microsoft.com/office/spreadsheetml/2009/9/main" objectType="CheckBox" fmlaLink="NeoBerLab!M30" lockText="1"/>
</file>

<file path=xl/ctrlProps/ctrlProp1014.xml><?xml version="1.0" encoding="utf-8"?>
<formControlPr xmlns="http://schemas.microsoft.com/office/spreadsheetml/2009/9/main" objectType="CheckBox" fmlaLink="NeoBerLab!M16" lockText="1"/>
</file>

<file path=xl/ctrlProps/ctrlProp1015.xml><?xml version="1.0" encoding="utf-8"?>
<formControlPr xmlns="http://schemas.microsoft.com/office/spreadsheetml/2009/9/main" objectType="CheckBox" fmlaLink="NeoBerLab!M19" lockText="1"/>
</file>

<file path=xl/ctrlProps/ctrlProp1016.xml><?xml version="1.0" encoding="utf-8"?>
<formControlPr xmlns="http://schemas.microsoft.com/office/spreadsheetml/2009/9/main" objectType="CheckBox" fmlaLink="NeoBerLab!M20" lockText="1"/>
</file>

<file path=xl/ctrlProps/ctrlProp1017.xml><?xml version="1.0" encoding="utf-8"?>
<formControlPr xmlns="http://schemas.microsoft.com/office/spreadsheetml/2009/9/main" objectType="CheckBox" fmlaLink="NeoBerLab!M21" lockText="1"/>
</file>

<file path=xl/ctrlProps/ctrlProp1018.xml><?xml version="1.0" encoding="utf-8"?>
<formControlPr xmlns="http://schemas.microsoft.com/office/spreadsheetml/2009/9/main" objectType="CheckBox" fmlaLink="NeoBerLab!M12" lockText="1"/>
</file>

<file path=xl/ctrlProps/ctrlProp1019.xml><?xml version="1.0" encoding="utf-8"?>
<formControlPr xmlns="http://schemas.microsoft.com/office/spreadsheetml/2009/9/main" objectType="CheckBox" fmlaLink="NeoBerLab!M28" lockText="1"/>
</file>

<file path=xl/ctrlProps/ctrlProp1020.xml><?xml version="1.0" encoding="utf-8"?>
<formControlPr xmlns="http://schemas.microsoft.com/office/spreadsheetml/2009/9/main" objectType="CheckBox" fmlaLink="NeoBerLab!K32" lockText="1"/>
</file>

<file path=xl/ctrlProps/ctrlProp1021.xml><?xml version="1.0" encoding="utf-8"?>
<formControlPr xmlns="http://schemas.microsoft.com/office/spreadsheetml/2009/9/main" objectType="CheckBox" fmlaLink="NeoBerLab!M32" lockText="1"/>
</file>

<file path=xl/ctrlProps/ctrlProp1022.xml><?xml version="1.0" encoding="utf-8"?>
<formControlPr xmlns="http://schemas.microsoft.com/office/spreadsheetml/2009/9/main" objectType="CheckBox" fmlaLink="NeoBerLab!K6" lockText="1"/>
</file>

<file path=xl/ctrlProps/ctrlProp1023.xml><?xml version="1.0" encoding="utf-8"?>
<formControlPr xmlns="http://schemas.microsoft.com/office/spreadsheetml/2009/9/main" objectType="CheckBox" fmlaLink="NeoBerLab!M6" lockText="1"/>
</file>

<file path=xl/ctrlProps/ctrlProp1024.xml><?xml version="1.0" encoding="utf-8"?>
<formControlPr xmlns="http://schemas.microsoft.com/office/spreadsheetml/2009/9/main" objectType="CheckBox" fmlaLink="NeoBerLab!K17" lockText="1"/>
</file>

<file path=xl/ctrlProps/ctrlProp1025.xml><?xml version="1.0" encoding="utf-8"?>
<formControlPr xmlns="http://schemas.microsoft.com/office/spreadsheetml/2009/9/main" objectType="CheckBox" fmlaLink="NeoBerLab!M17" lockText="1"/>
</file>

<file path=xl/ctrlProps/ctrlProp1026.xml><?xml version="1.0" encoding="utf-8"?>
<formControlPr xmlns="http://schemas.microsoft.com/office/spreadsheetml/2009/9/main" objectType="CheckBox" fmlaLink="NeoBerLab!K33" lockText="1"/>
</file>

<file path=xl/ctrlProps/ctrlProp1027.xml><?xml version="1.0" encoding="utf-8"?>
<formControlPr xmlns="http://schemas.microsoft.com/office/spreadsheetml/2009/9/main" objectType="CheckBox" fmlaLink="NeoBerLab!M33" lockText="1"/>
</file>

<file path=xl/ctrlProps/ctrlProp1028.xml><?xml version="1.0" encoding="utf-8"?>
<formControlPr xmlns="http://schemas.microsoft.com/office/spreadsheetml/2009/9/main" objectType="CheckBox" fmlaLink="NeoBerLab!K34" lockText="1"/>
</file>

<file path=xl/ctrlProps/ctrlProp1029.xml><?xml version="1.0" encoding="utf-8"?>
<formControlPr xmlns="http://schemas.microsoft.com/office/spreadsheetml/2009/9/main" objectType="CheckBox" fmlaLink="NeoBerLab!M34" lockText="1"/>
</file>

<file path=xl/ctrlProps/ctrlProp1030.xml><?xml version="1.0" encoding="utf-8"?>
<formControlPr xmlns="http://schemas.microsoft.com/office/spreadsheetml/2009/9/main" objectType="CheckBox" fmlaLink="NeoBerLab!K9" lockText="1"/>
</file>

<file path=xl/ctrlProps/ctrlProp1031.xml><?xml version="1.0" encoding="utf-8"?>
<formControlPr xmlns="http://schemas.microsoft.com/office/spreadsheetml/2009/9/main" objectType="CheckBox" fmlaLink="NeoBerLab!M9" lockText="1"/>
</file>

<file path=xl/ctrlProps/ctrlProp1032.xml><?xml version="1.0" encoding="utf-8"?>
<formControlPr xmlns="http://schemas.microsoft.com/office/spreadsheetml/2009/9/main" objectType="CheckBox" fmlaLink="NeoBerLab!K11" lockText="1"/>
</file>

<file path=xl/ctrlProps/ctrlProp1033.xml><?xml version="1.0" encoding="utf-8"?>
<formControlPr xmlns="http://schemas.microsoft.com/office/spreadsheetml/2009/9/main" objectType="CheckBox" fmlaLink="NeoBerLab!M11" lockText="1"/>
</file>

<file path=xl/ctrlProps/ctrlProp1034.xml><?xml version="1.0" encoding="utf-8"?>
<formControlPr xmlns="http://schemas.microsoft.com/office/spreadsheetml/2009/9/main" objectType="CheckBox" fmlaLink="NeoBerLab!K15" lockText="1"/>
</file>

<file path=xl/ctrlProps/ctrlProp1035.xml><?xml version="1.0" encoding="utf-8"?>
<formControlPr xmlns="http://schemas.microsoft.com/office/spreadsheetml/2009/9/main" objectType="CheckBox" fmlaLink="NeoBerLab!M15" lockText="1"/>
</file>

<file path=xl/ctrlProps/ctrlProp1036.xml><?xml version="1.0" encoding="utf-8"?>
<formControlPr xmlns="http://schemas.microsoft.com/office/spreadsheetml/2009/9/main" objectType="CheckBox" fmlaLink="NeoBerLab!K22" lockText="1"/>
</file>

<file path=xl/ctrlProps/ctrlProp1037.xml><?xml version="1.0" encoding="utf-8"?>
<formControlPr xmlns="http://schemas.microsoft.com/office/spreadsheetml/2009/9/main" objectType="CheckBox" fmlaLink="NeoBerLab!M22" lockText="1"/>
</file>

<file path=xl/ctrlProps/ctrlProp1038.xml><?xml version="1.0" encoding="utf-8"?>
<formControlPr xmlns="http://schemas.microsoft.com/office/spreadsheetml/2009/9/main" objectType="CheckBox" fmlaLink="NeoBerLab!K23" lockText="1"/>
</file>

<file path=xl/ctrlProps/ctrlProp1039.xml><?xml version="1.0" encoding="utf-8"?>
<formControlPr xmlns="http://schemas.microsoft.com/office/spreadsheetml/2009/9/main" objectType="CheckBox" fmlaLink="NeoBerLab!M23" lockText="1"/>
</file>

<file path=xl/ctrlProps/ctrlProp1040.xml><?xml version="1.0" encoding="utf-8"?>
<formControlPr xmlns="http://schemas.microsoft.com/office/spreadsheetml/2009/9/main" objectType="CheckBox" fmlaLink="NeoBerLab!K24" lockText="1"/>
</file>

<file path=xl/ctrlProps/ctrlProp1041.xml><?xml version="1.0" encoding="utf-8"?>
<formControlPr xmlns="http://schemas.microsoft.com/office/spreadsheetml/2009/9/main" objectType="CheckBox" fmlaLink="NeoBerLab!M24" lockText="1"/>
</file>

<file path=xl/ctrlProps/ctrlProp1042.xml><?xml version="1.0" encoding="utf-8"?>
<formControlPr xmlns="http://schemas.microsoft.com/office/spreadsheetml/2009/9/main" objectType="CheckBox" fmlaLink="NeoBerLab!K25" lockText="1"/>
</file>

<file path=xl/ctrlProps/ctrlProp1043.xml><?xml version="1.0" encoding="utf-8"?>
<formControlPr xmlns="http://schemas.microsoft.com/office/spreadsheetml/2009/9/main" objectType="CheckBox" fmlaLink="NeoBerLab!M25" lockText="1"/>
</file>

<file path=xl/ctrlProps/ctrlProp1044.xml><?xml version="1.0" encoding="utf-8"?>
<formControlPr xmlns="http://schemas.microsoft.com/office/spreadsheetml/2009/9/main" objectType="CheckBox" fmlaLink="NeoBerLab!K26" lockText="1"/>
</file>

<file path=xl/ctrlProps/ctrlProp1045.xml><?xml version="1.0" encoding="utf-8"?>
<formControlPr xmlns="http://schemas.microsoft.com/office/spreadsheetml/2009/9/main" objectType="CheckBox" fmlaLink="NeoBerLab!M26" lockText="1"/>
</file>

<file path=xl/ctrlProps/ctrlProp1046.xml><?xml version="1.0" encoding="utf-8"?>
<formControlPr xmlns="http://schemas.microsoft.com/office/spreadsheetml/2009/9/main" objectType="CheckBox" fmlaLink="NeoBerLab!K29" lockText="1"/>
</file>

<file path=xl/ctrlProps/ctrlProp1047.xml><?xml version="1.0" encoding="utf-8"?>
<formControlPr xmlns="http://schemas.microsoft.com/office/spreadsheetml/2009/9/main" objectType="CheckBox" fmlaLink="NeoBerLab!M29" lockText="1"/>
</file>

<file path=xl/ctrlProps/ctrlProp1048.xml><?xml version="1.0" encoding="utf-8"?>
<formControlPr xmlns="http://schemas.microsoft.com/office/spreadsheetml/2009/9/main" objectType="CheckBox" fmlaLink="NeoBerLab!K18" lockText="1"/>
</file>

<file path=xl/ctrlProps/ctrlProp1049.xml><?xml version="1.0" encoding="utf-8"?>
<formControlPr xmlns="http://schemas.microsoft.com/office/spreadsheetml/2009/9/main" objectType="CheckBox" fmlaLink="NeoBerLab!M18" lockText="1"/>
</file>

<file path=xl/ctrlProps/ctrlProp1050.xml><?xml version="1.0" encoding="utf-8"?>
<formControlPr xmlns="http://schemas.microsoft.com/office/spreadsheetml/2009/9/main" objectType="CheckBox" fmlaLink="NeoBerLab!C10" lockText="1"/>
</file>

<file path=xl/ctrlProps/ctrlProp1051.xml><?xml version="1.0" encoding="utf-8"?>
<formControlPr xmlns="http://schemas.microsoft.com/office/spreadsheetml/2009/9/main" objectType="CheckBox" fmlaLink="NeoBerLab!G10" lockText="1"/>
</file>

<file path=xl/ctrlProps/ctrlProp1052.xml><?xml version="1.0" encoding="utf-8"?>
<formControlPr xmlns="http://schemas.microsoft.com/office/spreadsheetml/2009/9/main" objectType="CheckBox" fmlaLink="NeoBerLab!I10" lockText="1"/>
</file>

<file path=xl/ctrlProps/ctrlProp1053.xml><?xml version="1.0" encoding="utf-8"?>
<formControlPr xmlns="http://schemas.microsoft.com/office/spreadsheetml/2009/9/main" objectType="CheckBox" fmlaLink="NeoBerLab!O10" lockText="1"/>
</file>

<file path=xl/ctrlProps/ctrlProp1054.xml><?xml version="1.0" encoding="utf-8"?>
<formControlPr xmlns="http://schemas.microsoft.com/office/spreadsheetml/2009/9/main" objectType="CheckBox" fmlaLink="NeoBerLab!E10" lockText="1"/>
</file>

<file path=xl/ctrlProps/ctrlProp1055.xml><?xml version="1.0" encoding="utf-8"?>
<formControlPr xmlns="http://schemas.microsoft.com/office/spreadsheetml/2009/9/main" objectType="CheckBox" fmlaLink="NeoBerLab!K10" lockText="1"/>
</file>

<file path=xl/ctrlProps/ctrlProp1056.xml><?xml version="1.0" encoding="utf-8"?>
<formControlPr xmlns="http://schemas.microsoft.com/office/spreadsheetml/2009/9/main" objectType="CheckBox" fmlaLink="NeoBerLab!M10" lockText="1"/>
</file>

<file path=xl/ctrlProps/ctrlProp1057.xml><?xml version="1.0" encoding="utf-8"?>
<formControlPr xmlns="http://schemas.microsoft.com/office/spreadsheetml/2009/9/main" objectType="CheckBox" fmlaLink="NeoBerLab!C31" lockText="1"/>
</file>

<file path=xl/ctrlProps/ctrlProp1058.xml><?xml version="1.0" encoding="utf-8"?>
<formControlPr xmlns="http://schemas.microsoft.com/office/spreadsheetml/2009/9/main" objectType="CheckBox" fmlaLink="NeoBerLab!G31" lockText="1"/>
</file>

<file path=xl/ctrlProps/ctrlProp1059.xml><?xml version="1.0" encoding="utf-8"?>
<formControlPr xmlns="http://schemas.microsoft.com/office/spreadsheetml/2009/9/main" objectType="CheckBox" fmlaLink="NeoBerLab!I31" lockText="1"/>
</file>

<file path=xl/ctrlProps/ctrlProp1060.xml><?xml version="1.0" encoding="utf-8"?>
<formControlPr xmlns="http://schemas.microsoft.com/office/spreadsheetml/2009/9/main" objectType="CheckBox" fmlaLink="NeoBerLab!O31" lockText="1"/>
</file>

<file path=xl/ctrlProps/ctrlProp1061.xml><?xml version="1.0" encoding="utf-8"?>
<formControlPr xmlns="http://schemas.microsoft.com/office/spreadsheetml/2009/9/main" objectType="CheckBox" fmlaLink="NeoBerLab!E31" lockText="1"/>
</file>

<file path=xl/ctrlProps/ctrlProp1062.xml><?xml version="1.0" encoding="utf-8"?>
<formControlPr xmlns="http://schemas.microsoft.com/office/spreadsheetml/2009/9/main" objectType="CheckBox" fmlaLink="NeoBerLab!K31" lockText="1"/>
</file>

<file path=xl/ctrlProps/ctrlProp1063.xml><?xml version="1.0" encoding="utf-8"?>
<formControlPr xmlns="http://schemas.microsoft.com/office/spreadsheetml/2009/9/main" objectType="CheckBox" fmlaLink="NeoBerLab!M31" lockText="1"/>
</file>

<file path=xl/ctrlProps/ctrlProp1064.xml><?xml version="1.0" encoding="utf-8"?>
<formControlPr xmlns="http://schemas.microsoft.com/office/spreadsheetml/2009/9/main" objectType="CheckBox" fmlaLink="NeoBerLab!C27" lockText="1"/>
</file>

<file path=xl/ctrlProps/ctrlProp1065.xml><?xml version="1.0" encoding="utf-8"?>
<formControlPr xmlns="http://schemas.microsoft.com/office/spreadsheetml/2009/9/main" objectType="CheckBox" fmlaLink="NeoBerLab!G27" lockText="1"/>
</file>

<file path=xl/ctrlProps/ctrlProp1066.xml><?xml version="1.0" encoding="utf-8"?>
<formControlPr xmlns="http://schemas.microsoft.com/office/spreadsheetml/2009/9/main" objectType="CheckBox" fmlaLink="NeoBerLab!I27" lockText="1"/>
</file>

<file path=xl/ctrlProps/ctrlProp1067.xml><?xml version="1.0" encoding="utf-8"?>
<formControlPr xmlns="http://schemas.microsoft.com/office/spreadsheetml/2009/9/main" objectType="CheckBox" fmlaLink="NeoBerLab!O27" lockText="1"/>
</file>

<file path=xl/ctrlProps/ctrlProp1068.xml><?xml version="1.0" encoding="utf-8"?>
<formControlPr xmlns="http://schemas.microsoft.com/office/spreadsheetml/2009/9/main" objectType="CheckBox" fmlaLink="NeoBerLab!E27" lockText="1"/>
</file>

<file path=xl/ctrlProps/ctrlProp1069.xml><?xml version="1.0" encoding="utf-8"?>
<formControlPr xmlns="http://schemas.microsoft.com/office/spreadsheetml/2009/9/main" objectType="CheckBox" fmlaLink="NeoBerLab!K27" lockText="1"/>
</file>

<file path=xl/ctrlProps/ctrlProp1070.xml><?xml version="1.0" encoding="utf-8"?>
<formControlPr xmlns="http://schemas.microsoft.com/office/spreadsheetml/2009/9/main" objectType="CheckBox" fmlaLink="NeoBerLab!M27" lockText="1"/>
</file>

<file path=xl/ctrlProps/ctrlProp1071.xml><?xml version="1.0" encoding="utf-8"?>
<formControlPr xmlns="http://schemas.microsoft.com/office/spreadsheetml/2009/9/main" objectType="CheckBox" fmlaLink="NeoBerLab!C35" lockText="1"/>
</file>

<file path=xl/ctrlProps/ctrlProp1072.xml><?xml version="1.0" encoding="utf-8"?>
<formControlPr xmlns="http://schemas.microsoft.com/office/spreadsheetml/2009/9/main" objectType="CheckBox" fmlaLink="NeoBerLab!$Q$4" lockText="1"/>
</file>

<file path=xl/ctrlProps/ctrlProp1073.xml><?xml version="1.0" encoding="utf-8"?>
<formControlPr xmlns="http://schemas.microsoft.com/office/spreadsheetml/2009/9/main" objectType="CheckBox" fmlaLink="NeoBerLab!Q5" lockText="1"/>
</file>

<file path=xl/ctrlProps/ctrlProp1074.xml><?xml version="1.0" encoding="utf-8"?>
<formControlPr xmlns="http://schemas.microsoft.com/office/spreadsheetml/2009/9/main" objectType="CheckBox" fmlaLink="NeoBerLab!Q7" lockText="1"/>
</file>

<file path=xl/ctrlProps/ctrlProp1075.xml><?xml version="1.0" encoding="utf-8"?>
<formControlPr xmlns="http://schemas.microsoft.com/office/spreadsheetml/2009/9/main" objectType="CheckBox" fmlaLink="NeoBerLab!Q8" lockText="1"/>
</file>

<file path=xl/ctrlProps/ctrlProp1076.xml><?xml version="1.0" encoding="utf-8"?>
<formControlPr xmlns="http://schemas.microsoft.com/office/spreadsheetml/2009/9/main" objectType="CheckBox" fmlaLink="NeoBerLab!Q14" lockText="1"/>
</file>

<file path=xl/ctrlProps/ctrlProp1077.xml><?xml version="1.0" encoding="utf-8"?>
<formControlPr xmlns="http://schemas.microsoft.com/office/spreadsheetml/2009/9/main" objectType="CheckBox" fmlaLink="NeoBerLab!Q13" lockText="1"/>
</file>

<file path=xl/ctrlProps/ctrlProp1078.xml><?xml version="1.0" encoding="utf-8"?>
<formControlPr xmlns="http://schemas.microsoft.com/office/spreadsheetml/2009/9/main" objectType="CheckBox" fmlaLink="NeoBerLab!Q30" lockText="1"/>
</file>

<file path=xl/ctrlProps/ctrlProp1079.xml><?xml version="1.0" encoding="utf-8"?>
<formControlPr xmlns="http://schemas.microsoft.com/office/spreadsheetml/2009/9/main" objectType="CheckBox" fmlaLink="NeoBerLab!Q16" lockText="1"/>
</file>

<file path=xl/ctrlProps/ctrlProp1080.xml><?xml version="1.0" encoding="utf-8"?>
<formControlPr xmlns="http://schemas.microsoft.com/office/spreadsheetml/2009/9/main" objectType="CheckBox" fmlaLink="NeoBerLab!Q19" lockText="1"/>
</file>

<file path=xl/ctrlProps/ctrlProp1081.xml><?xml version="1.0" encoding="utf-8"?>
<formControlPr xmlns="http://schemas.microsoft.com/office/spreadsheetml/2009/9/main" objectType="CheckBox" fmlaLink="NeoBerLab!Q20" lockText="1"/>
</file>

<file path=xl/ctrlProps/ctrlProp1082.xml><?xml version="1.0" encoding="utf-8"?>
<formControlPr xmlns="http://schemas.microsoft.com/office/spreadsheetml/2009/9/main" objectType="CheckBox" fmlaLink="NeoBerLab!Q21" lockText="1"/>
</file>

<file path=xl/ctrlProps/ctrlProp1083.xml><?xml version="1.0" encoding="utf-8"?>
<formControlPr xmlns="http://schemas.microsoft.com/office/spreadsheetml/2009/9/main" objectType="CheckBox" fmlaLink="NeoBerLab!Q12" lockText="1"/>
</file>

<file path=xl/ctrlProps/ctrlProp1084.xml><?xml version="1.0" encoding="utf-8"?>
<formControlPr xmlns="http://schemas.microsoft.com/office/spreadsheetml/2009/9/main" objectType="CheckBox" fmlaLink="NeoBerLab!Q28" lockText="1"/>
</file>

<file path=xl/ctrlProps/ctrlProp1085.xml><?xml version="1.0" encoding="utf-8"?>
<formControlPr xmlns="http://schemas.microsoft.com/office/spreadsheetml/2009/9/main" objectType="CheckBox" fmlaLink="NeoBerLab!Q32" lockText="1"/>
</file>

<file path=xl/ctrlProps/ctrlProp1086.xml><?xml version="1.0" encoding="utf-8"?>
<formControlPr xmlns="http://schemas.microsoft.com/office/spreadsheetml/2009/9/main" objectType="CheckBox" fmlaLink="NeoBerLab!Q6" lockText="1"/>
</file>

<file path=xl/ctrlProps/ctrlProp1087.xml><?xml version="1.0" encoding="utf-8"?>
<formControlPr xmlns="http://schemas.microsoft.com/office/spreadsheetml/2009/9/main" objectType="CheckBox" fmlaLink="NeoBerLab!Q17" lockText="1"/>
</file>

<file path=xl/ctrlProps/ctrlProp1088.xml><?xml version="1.0" encoding="utf-8"?>
<formControlPr xmlns="http://schemas.microsoft.com/office/spreadsheetml/2009/9/main" objectType="CheckBox" fmlaLink="NeoBerLab!Q33" lockText="1"/>
</file>

<file path=xl/ctrlProps/ctrlProp1089.xml><?xml version="1.0" encoding="utf-8"?>
<formControlPr xmlns="http://schemas.microsoft.com/office/spreadsheetml/2009/9/main" objectType="CheckBox" fmlaLink="NeoBerLab!Q34" lockText="1"/>
</file>

<file path=xl/ctrlProps/ctrlProp1090.xml><?xml version="1.0" encoding="utf-8"?>
<formControlPr xmlns="http://schemas.microsoft.com/office/spreadsheetml/2009/9/main" objectType="CheckBox" fmlaLink="NeoBerLab!Q9" lockText="1"/>
</file>

<file path=xl/ctrlProps/ctrlProp1091.xml><?xml version="1.0" encoding="utf-8"?>
<formControlPr xmlns="http://schemas.microsoft.com/office/spreadsheetml/2009/9/main" objectType="CheckBox" fmlaLink="NeoBerLab!Q11" lockText="1"/>
</file>

<file path=xl/ctrlProps/ctrlProp1092.xml><?xml version="1.0" encoding="utf-8"?>
<formControlPr xmlns="http://schemas.microsoft.com/office/spreadsheetml/2009/9/main" objectType="CheckBox" fmlaLink="NeoBerLab!Q15" lockText="1"/>
</file>

<file path=xl/ctrlProps/ctrlProp1093.xml><?xml version="1.0" encoding="utf-8"?>
<formControlPr xmlns="http://schemas.microsoft.com/office/spreadsheetml/2009/9/main" objectType="CheckBox" fmlaLink="NeoBerLab!Q22" lockText="1"/>
</file>

<file path=xl/ctrlProps/ctrlProp1094.xml><?xml version="1.0" encoding="utf-8"?>
<formControlPr xmlns="http://schemas.microsoft.com/office/spreadsheetml/2009/9/main" objectType="CheckBox" fmlaLink="NeoBerLab!Q23" lockText="1"/>
</file>

<file path=xl/ctrlProps/ctrlProp1095.xml><?xml version="1.0" encoding="utf-8"?>
<formControlPr xmlns="http://schemas.microsoft.com/office/spreadsheetml/2009/9/main" objectType="CheckBox" fmlaLink="NeoBerLab!Q24" lockText="1"/>
</file>

<file path=xl/ctrlProps/ctrlProp1096.xml><?xml version="1.0" encoding="utf-8"?>
<formControlPr xmlns="http://schemas.microsoft.com/office/spreadsheetml/2009/9/main" objectType="CheckBox" fmlaLink="NeoBerLab!Q25" lockText="1"/>
</file>

<file path=xl/ctrlProps/ctrlProp1097.xml><?xml version="1.0" encoding="utf-8"?>
<formControlPr xmlns="http://schemas.microsoft.com/office/spreadsheetml/2009/9/main" objectType="CheckBox" fmlaLink="NeoBerLab!Q26" lockText="1"/>
</file>

<file path=xl/ctrlProps/ctrlProp1098.xml><?xml version="1.0" encoding="utf-8"?>
<formControlPr xmlns="http://schemas.microsoft.com/office/spreadsheetml/2009/9/main" objectType="CheckBox" fmlaLink="NeoBerLab!Q29" lockText="1"/>
</file>

<file path=xl/ctrlProps/ctrlProp1099.xml><?xml version="1.0" encoding="utf-8"?>
<formControlPr xmlns="http://schemas.microsoft.com/office/spreadsheetml/2009/9/main" objectType="CheckBox" fmlaLink="NeoBerLab!Q18" lockText="1"/>
</file>

<file path=xl/ctrlProps/ctrlProp1100.xml><?xml version="1.0" encoding="utf-8"?>
<formControlPr xmlns="http://schemas.microsoft.com/office/spreadsheetml/2009/9/main" objectType="CheckBox" fmlaLink="NeoBerLab!Q10" lockText="1"/>
</file>

<file path=xl/ctrlProps/ctrlProp1101.xml><?xml version="1.0" encoding="utf-8"?>
<formControlPr xmlns="http://schemas.microsoft.com/office/spreadsheetml/2009/9/main" objectType="CheckBox" fmlaLink="NeoBerLab!Q31" lockText="1"/>
</file>

<file path=xl/ctrlProps/ctrlProp1102.xml><?xml version="1.0" encoding="utf-8"?>
<formControlPr xmlns="http://schemas.microsoft.com/office/spreadsheetml/2009/9/main" objectType="CheckBox" fmlaLink="NeoBerLab!Q27" lockText="1"/>
</file>

<file path=xl/ctrlProps/ctrlProp1103.xml><?xml version="1.0" encoding="utf-8"?>
<formControlPr xmlns="http://schemas.microsoft.com/office/spreadsheetml/2009/9/main" objectType="CheckBox" fmlaLink="NeoBerLab!$S$4" lockText="1"/>
</file>

<file path=xl/ctrlProps/ctrlProp1104.xml><?xml version="1.0" encoding="utf-8"?>
<formControlPr xmlns="http://schemas.microsoft.com/office/spreadsheetml/2009/9/main" objectType="CheckBox" fmlaLink="NeoBerLab!S5" lockText="1"/>
</file>

<file path=xl/ctrlProps/ctrlProp1105.xml><?xml version="1.0" encoding="utf-8"?>
<formControlPr xmlns="http://schemas.microsoft.com/office/spreadsheetml/2009/9/main" objectType="CheckBox" fmlaLink="NeoBerLab!S7" lockText="1"/>
</file>

<file path=xl/ctrlProps/ctrlProp1106.xml><?xml version="1.0" encoding="utf-8"?>
<formControlPr xmlns="http://schemas.microsoft.com/office/spreadsheetml/2009/9/main" objectType="CheckBox" fmlaLink="NeoBerLab!S8" lockText="1"/>
</file>

<file path=xl/ctrlProps/ctrlProp1107.xml><?xml version="1.0" encoding="utf-8"?>
<formControlPr xmlns="http://schemas.microsoft.com/office/spreadsheetml/2009/9/main" objectType="CheckBox" fmlaLink="NeoBerLab!S14" lockText="1"/>
</file>

<file path=xl/ctrlProps/ctrlProp1108.xml><?xml version="1.0" encoding="utf-8"?>
<formControlPr xmlns="http://schemas.microsoft.com/office/spreadsheetml/2009/9/main" objectType="CheckBox" fmlaLink="NeoBerLab!S13" lockText="1"/>
</file>

<file path=xl/ctrlProps/ctrlProp1109.xml><?xml version="1.0" encoding="utf-8"?>
<formControlPr xmlns="http://schemas.microsoft.com/office/spreadsheetml/2009/9/main" objectType="CheckBox" fmlaLink="NeoBerLab!S30" lockText="1"/>
</file>

<file path=xl/ctrlProps/ctrlProp1110.xml><?xml version="1.0" encoding="utf-8"?>
<formControlPr xmlns="http://schemas.microsoft.com/office/spreadsheetml/2009/9/main" objectType="CheckBox" fmlaLink="NeoBerLab!S16" lockText="1"/>
</file>

<file path=xl/ctrlProps/ctrlProp1111.xml><?xml version="1.0" encoding="utf-8"?>
<formControlPr xmlns="http://schemas.microsoft.com/office/spreadsheetml/2009/9/main" objectType="CheckBox" fmlaLink="NeoBerLab!S19" lockText="1"/>
</file>

<file path=xl/ctrlProps/ctrlProp1112.xml><?xml version="1.0" encoding="utf-8"?>
<formControlPr xmlns="http://schemas.microsoft.com/office/spreadsheetml/2009/9/main" objectType="CheckBox" fmlaLink="NeoBerLab!S20" lockText="1"/>
</file>

<file path=xl/ctrlProps/ctrlProp1113.xml><?xml version="1.0" encoding="utf-8"?>
<formControlPr xmlns="http://schemas.microsoft.com/office/spreadsheetml/2009/9/main" objectType="CheckBox" fmlaLink="NeoBerLab!S21" lockText="1"/>
</file>

<file path=xl/ctrlProps/ctrlProp1114.xml><?xml version="1.0" encoding="utf-8"?>
<formControlPr xmlns="http://schemas.microsoft.com/office/spreadsheetml/2009/9/main" objectType="CheckBox" fmlaLink="NeoBerLab!S12" lockText="1"/>
</file>

<file path=xl/ctrlProps/ctrlProp1115.xml><?xml version="1.0" encoding="utf-8"?>
<formControlPr xmlns="http://schemas.microsoft.com/office/spreadsheetml/2009/9/main" objectType="CheckBox" fmlaLink="NeoBerLab!S28" lockText="1"/>
</file>

<file path=xl/ctrlProps/ctrlProp1116.xml><?xml version="1.0" encoding="utf-8"?>
<formControlPr xmlns="http://schemas.microsoft.com/office/spreadsheetml/2009/9/main" objectType="CheckBox" fmlaLink="NeoBerLab!S32" lockText="1"/>
</file>

<file path=xl/ctrlProps/ctrlProp1117.xml><?xml version="1.0" encoding="utf-8"?>
<formControlPr xmlns="http://schemas.microsoft.com/office/spreadsheetml/2009/9/main" objectType="CheckBox" fmlaLink="NeoBerLab!S6" lockText="1"/>
</file>

<file path=xl/ctrlProps/ctrlProp1118.xml><?xml version="1.0" encoding="utf-8"?>
<formControlPr xmlns="http://schemas.microsoft.com/office/spreadsheetml/2009/9/main" objectType="CheckBox" fmlaLink="NeoBerLab!S17" lockText="1"/>
</file>

<file path=xl/ctrlProps/ctrlProp1119.xml><?xml version="1.0" encoding="utf-8"?>
<formControlPr xmlns="http://schemas.microsoft.com/office/spreadsheetml/2009/9/main" objectType="CheckBox" fmlaLink="NeoBerLab!S33" lockText="1"/>
</file>

<file path=xl/ctrlProps/ctrlProp1120.xml><?xml version="1.0" encoding="utf-8"?>
<formControlPr xmlns="http://schemas.microsoft.com/office/spreadsheetml/2009/9/main" objectType="CheckBox" fmlaLink="NeoBerLab!S34" lockText="1"/>
</file>

<file path=xl/ctrlProps/ctrlProp1121.xml><?xml version="1.0" encoding="utf-8"?>
<formControlPr xmlns="http://schemas.microsoft.com/office/spreadsheetml/2009/9/main" objectType="CheckBox" fmlaLink="NeoBerLab!S9" lockText="1"/>
</file>

<file path=xl/ctrlProps/ctrlProp1122.xml><?xml version="1.0" encoding="utf-8"?>
<formControlPr xmlns="http://schemas.microsoft.com/office/spreadsheetml/2009/9/main" objectType="CheckBox" fmlaLink="NeoBerLab!S11" lockText="1"/>
</file>

<file path=xl/ctrlProps/ctrlProp1123.xml><?xml version="1.0" encoding="utf-8"?>
<formControlPr xmlns="http://schemas.microsoft.com/office/spreadsheetml/2009/9/main" objectType="CheckBox" fmlaLink="NeoBerLab!S15" lockText="1"/>
</file>

<file path=xl/ctrlProps/ctrlProp1124.xml><?xml version="1.0" encoding="utf-8"?>
<formControlPr xmlns="http://schemas.microsoft.com/office/spreadsheetml/2009/9/main" objectType="CheckBox" fmlaLink="NeoBerLab!S22" lockText="1"/>
</file>

<file path=xl/ctrlProps/ctrlProp1125.xml><?xml version="1.0" encoding="utf-8"?>
<formControlPr xmlns="http://schemas.microsoft.com/office/spreadsheetml/2009/9/main" objectType="CheckBox" fmlaLink="NeoBerLab!S23" lockText="1"/>
</file>

<file path=xl/ctrlProps/ctrlProp1126.xml><?xml version="1.0" encoding="utf-8"?>
<formControlPr xmlns="http://schemas.microsoft.com/office/spreadsheetml/2009/9/main" objectType="CheckBox" fmlaLink="NeoBerLab!S24" lockText="1"/>
</file>

<file path=xl/ctrlProps/ctrlProp1127.xml><?xml version="1.0" encoding="utf-8"?>
<formControlPr xmlns="http://schemas.microsoft.com/office/spreadsheetml/2009/9/main" objectType="CheckBox" fmlaLink="NeoBerLab!S25" lockText="1"/>
</file>

<file path=xl/ctrlProps/ctrlProp1128.xml><?xml version="1.0" encoding="utf-8"?>
<formControlPr xmlns="http://schemas.microsoft.com/office/spreadsheetml/2009/9/main" objectType="CheckBox" fmlaLink="NeoBerLab!S26" lockText="1"/>
</file>

<file path=xl/ctrlProps/ctrlProp1129.xml><?xml version="1.0" encoding="utf-8"?>
<formControlPr xmlns="http://schemas.microsoft.com/office/spreadsheetml/2009/9/main" objectType="CheckBox" fmlaLink="NeoBerLab!S29" lockText="1"/>
</file>

<file path=xl/ctrlProps/ctrlProp1130.xml><?xml version="1.0" encoding="utf-8"?>
<formControlPr xmlns="http://schemas.microsoft.com/office/spreadsheetml/2009/9/main" objectType="CheckBox" fmlaLink="NeoBerLab!S18" lockText="1"/>
</file>

<file path=xl/ctrlProps/ctrlProp1131.xml><?xml version="1.0" encoding="utf-8"?>
<formControlPr xmlns="http://schemas.microsoft.com/office/spreadsheetml/2009/9/main" objectType="CheckBox" fmlaLink="NeoBerLab!S10" lockText="1"/>
</file>

<file path=xl/ctrlProps/ctrlProp1132.xml><?xml version="1.0" encoding="utf-8"?>
<formControlPr xmlns="http://schemas.microsoft.com/office/spreadsheetml/2009/9/main" objectType="CheckBox" fmlaLink="NeoBerLab!S31" lockText="1"/>
</file>

<file path=xl/ctrlProps/ctrlProp113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95"/>
              <a:ext cx="122400" cy="1476375"/>
              <a:chOff x="4495800" y="11192086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086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332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805"/>
              <a:ext cx="1362075" cy="695325"/>
              <a:chOff x="266700" y="4286638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638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7.xml"/><Relationship Id="rId21" Type="http://schemas.openxmlformats.org/officeDocument/2006/relationships/ctrlProp" Target="../ctrlProps/ctrlProp871.xml"/><Relationship Id="rId42" Type="http://schemas.openxmlformats.org/officeDocument/2006/relationships/ctrlProp" Target="../ctrlProps/ctrlProp892.xml"/><Relationship Id="rId63" Type="http://schemas.openxmlformats.org/officeDocument/2006/relationships/ctrlProp" Target="../ctrlProps/ctrlProp913.xml"/><Relationship Id="rId84" Type="http://schemas.openxmlformats.org/officeDocument/2006/relationships/ctrlProp" Target="../ctrlProps/ctrlProp934.xml"/><Relationship Id="rId138" Type="http://schemas.openxmlformats.org/officeDocument/2006/relationships/ctrlProp" Target="../ctrlProps/ctrlProp988.xml"/><Relationship Id="rId159" Type="http://schemas.openxmlformats.org/officeDocument/2006/relationships/ctrlProp" Target="../ctrlProps/ctrlProp1009.xml"/><Relationship Id="rId170" Type="http://schemas.openxmlformats.org/officeDocument/2006/relationships/ctrlProp" Target="../ctrlProps/ctrlProp1020.xml"/><Relationship Id="rId191" Type="http://schemas.openxmlformats.org/officeDocument/2006/relationships/ctrlProp" Target="../ctrlProps/ctrlProp1041.xml"/><Relationship Id="rId205" Type="http://schemas.openxmlformats.org/officeDocument/2006/relationships/ctrlProp" Target="../ctrlProps/ctrlProp1055.xml"/><Relationship Id="rId226" Type="http://schemas.openxmlformats.org/officeDocument/2006/relationships/ctrlProp" Target="../ctrlProps/ctrlProp1076.xml"/><Relationship Id="rId247" Type="http://schemas.openxmlformats.org/officeDocument/2006/relationships/ctrlProp" Target="../ctrlProps/ctrlProp1097.xml"/><Relationship Id="rId107" Type="http://schemas.openxmlformats.org/officeDocument/2006/relationships/ctrlProp" Target="../ctrlProps/ctrlProp957.xml"/><Relationship Id="rId268" Type="http://schemas.openxmlformats.org/officeDocument/2006/relationships/ctrlProp" Target="../ctrlProps/ctrlProp1118.xml"/><Relationship Id="rId11" Type="http://schemas.openxmlformats.org/officeDocument/2006/relationships/ctrlProp" Target="../ctrlProps/ctrlProp861.xml"/><Relationship Id="rId32" Type="http://schemas.openxmlformats.org/officeDocument/2006/relationships/ctrlProp" Target="../ctrlProps/ctrlProp882.xml"/><Relationship Id="rId53" Type="http://schemas.openxmlformats.org/officeDocument/2006/relationships/ctrlProp" Target="../ctrlProps/ctrlProp903.xml"/><Relationship Id="rId74" Type="http://schemas.openxmlformats.org/officeDocument/2006/relationships/ctrlProp" Target="../ctrlProps/ctrlProp924.xml"/><Relationship Id="rId128" Type="http://schemas.openxmlformats.org/officeDocument/2006/relationships/ctrlProp" Target="../ctrlProps/ctrlProp978.xml"/><Relationship Id="rId149" Type="http://schemas.openxmlformats.org/officeDocument/2006/relationships/ctrlProp" Target="../ctrlProps/ctrlProp999.xml"/><Relationship Id="rId5" Type="http://schemas.openxmlformats.org/officeDocument/2006/relationships/ctrlProp" Target="../ctrlProps/ctrlProp855.xml"/><Relationship Id="rId95" Type="http://schemas.openxmlformats.org/officeDocument/2006/relationships/ctrlProp" Target="../ctrlProps/ctrlProp945.xml"/><Relationship Id="rId160" Type="http://schemas.openxmlformats.org/officeDocument/2006/relationships/ctrlProp" Target="../ctrlProps/ctrlProp1010.xml"/><Relationship Id="rId181" Type="http://schemas.openxmlformats.org/officeDocument/2006/relationships/ctrlProp" Target="../ctrlProps/ctrlProp1031.xml"/><Relationship Id="rId216" Type="http://schemas.openxmlformats.org/officeDocument/2006/relationships/ctrlProp" Target="../ctrlProps/ctrlProp1066.xml"/><Relationship Id="rId237" Type="http://schemas.openxmlformats.org/officeDocument/2006/relationships/ctrlProp" Target="../ctrlProps/ctrlProp1087.xml"/><Relationship Id="rId258" Type="http://schemas.openxmlformats.org/officeDocument/2006/relationships/ctrlProp" Target="../ctrlProps/ctrlProp1108.xml"/><Relationship Id="rId279" Type="http://schemas.openxmlformats.org/officeDocument/2006/relationships/ctrlProp" Target="../ctrlProps/ctrlProp1129.xml"/><Relationship Id="rId22" Type="http://schemas.openxmlformats.org/officeDocument/2006/relationships/ctrlProp" Target="../ctrlProps/ctrlProp872.xml"/><Relationship Id="rId43" Type="http://schemas.openxmlformats.org/officeDocument/2006/relationships/ctrlProp" Target="../ctrlProps/ctrlProp893.xml"/><Relationship Id="rId64" Type="http://schemas.openxmlformats.org/officeDocument/2006/relationships/ctrlProp" Target="../ctrlProps/ctrlProp914.xml"/><Relationship Id="rId118" Type="http://schemas.openxmlformats.org/officeDocument/2006/relationships/ctrlProp" Target="../ctrlProps/ctrlProp968.xml"/><Relationship Id="rId139" Type="http://schemas.openxmlformats.org/officeDocument/2006/relationships/ctrlProp" Target="../ctrlProps/ctrlProp989.xml"/><Relationship Id="rId85" Type="http://schemas.openxmlformats.org/officeDocument/2006/relationships/ctrlProp" Target="../ctrlProps/ctrlProp935.xml"/><Relationship Id="rId150" Type="http://schemas.openxmlformats.org/officeDocument/2006/relationships/ctrlProp" Target="../ctrlProps/ctrlProp1000.xml"/><Relationship Id="rId171" Type="http://schemas.openxmlformats.org/officeDocument/2006/relationships/ctrlProp" Target="../ctrlProps/ctrlProp1021.xml"/><Relationship Id="rId192" Type="http://schemas.openxmlformats.org/officeDocument/2006/relationships/ctrlProp" Target="../ctrlProps/ctrlProp1042.xml"/><Relationship Id="rId206" Type="http://schemas.openxmlformats.org/officeDocument/2006/relationships/ctrlProp" Target="../ctrlProps/ctrlProp1056.xml"/><Relationship Id="rId227" Type="http://schemas.openxmlformats.org/officeDocument/2006/relationships/ctrlProp" Target="../ctrlProps/ctrlProp1077.xml"/><Relationship Id="rId248" Type="http://schemas.openxmlformats.org/officeDocument/2006/relationships/ctrlProp" Target="../ctrlProps/ctrlProp1098.xml"/><Relationship Id="rId269" Type="http://schemas.openxmlformats.org/officeDocument/2006/relationships/ctrlProp" Target="../ctrlProps/ctrlProp1119.xml"/><Relationship Id="rId12" Type="http://schemas.openxmlformats.org/officeDocument/2006/relationships/ctrlProp" Target="../ctrlProps/ctrlProp862.xml"/><Relationship Id="rId33" Type="http://schemas.openxmlformats.org/officeDocument/2006/relationships/ctrlProp" Target="../ctrlProps/ctrlProp883.xml"/><Relationship Id="rId108" Type="http://schemas.openxmlformats.org/officeDocument/2006/relationships/ctrlProp" Target="../ctrlProps/ctrlProp958.xml"/><Relationship Id="rId129" Type="http://schemas.openxmlformats.org/officeDocument/2006/relationships/ctrlProp" Target="../ctrlProps/ctrlProp979.xml"/><Relationship Id="rId280" Type="http://schemas.openxmlformats.org/officeDocument/2006/relationships/ctrlProp" Target="../ctrlProps/ctrlProp1130.xml"/><Relationship Id="rId54" Type="http://schemas.openxmlformats.org/officeDocument/2006/relationships/ctrlProp" Target="../ctrlProps/ctrlProp904.xml"/><Relationship Id="rId75" Type="http://schemas.openxmlformats.org/officeDocument/2006/relationships/ctrlProp" Target="../ctrlProps/ctrlProp925.xml"/><Relationship Id="rId96" Type="http://schemas.openxmlformats.org/officeDocument/2006/relationships/ctrlProp" Target="../ctrlProps/ctrlProp946.xml"/><Relationship Id="rId140" Type="http://schemas.openxmlformats.org/officeDocument/2006/relationships/ctrlProp" Target="../ctrlProps/ctrlProp990.xml"/><Relationship Id="rId161" Type="http://schemas.openxmlformats.org/officeDocument/2006/relationships/ctrlProp" Target="../ctrlProps/ctrlProp1011.xml"/><Relationship Id="rId182" Type="http://schemas.openxmlformats.org/officeDocument/2006/relationships/ctrlProp" Target="../ctrlProps/ctrlProp1032.xml"/><Relationship Id="rId217" Type="http://schemas.openxmlformats.org/officeDocument/2006/relationships/ctrlProp" Target="../ctrlProps/ctrlProp1067.xml"/><Relationship Id="rId6" Type="http://schemas.openxmlformats.org/officeDocument/2006/relationships/ctrlProp" Target="../ctrlProps/ctrlProp856.xml"/><Relationship Id="rId238" Type="http://schemas.openxmlformats.org/officeDocument/2006/relationships/ctrlProp" Target="../ctrlProps/ctrlProp1088.xml"/><Relationship Id="rId259" Type="http://schemas.openxmlformats.org/officeDocument/2006/relationships/ctrlProp" Target="../ctrlProps/ctrlProp1109.xml"/><Relationship Id="rId23" Type="http://schemas.openxmlformats.org/officeDocument/2006/relationships/ctrlProp" Target="../ctrlProps/ctrlProp873.xml"/><Relationship Id="rId119" Type="http://schemas.openxmlformats.org/officeDocument/2006/relationships/ctrlProp" Target="../ctrlProps/ctrlProp969.xml"/><Relationship Id="rId270" Type="http://schemas.openxmlformats.org/officeDocument/2006/relationships/ctrlProp" Target="../ctrlProps/ctrlProp1120.xml"/><Relationship Id="rId44" Type="http://schemas.openxmlformats.org/officeDocument/2006/relationships/ctrlProp" Target="../ctrlProps/ctrlProp894.xml"/><Relationship Id="rId65" Type="http://schemas.openxmlformats.org/officeDocument/2006/relationships/ctrlProp" Target="../ctrlProps/ctrlProp915.xml"/><Relationship Id="rId86" Type="http://schemas.openxmlformats.org/officeDocument/2006/relationships/ctrlProp" Target="../ctrlProps/ctrlProp936.xml"/><Relationship Id="rId130" Type="http://schemas.openxmlformats.org/officeDocument/2006/relationships/ctrlProp" Target="../ctrlProps/ctrlProp980.xml"/><Relationship Id="rId151" Type="http://schemas.openxmlformats.org/officeDocument/2006/relationships/ctrlProp" Target="../ctrlProps/ctrlProp1001.xml"/><Relationship Id="rId172" Type="http://schemas.openxmlformats.org/officeDocument/2006/relationships/ctrlProp" Target="../ctrlProps/ctrlProp1022.xml"/><Relationship Id="rId193" Type="http://schemas.openxmlformats.org/officeDocument/2006/relationships/ctrlProp" Target="../ctrlProps/ctrlProp1043.xml"/><Relationship Id="rId207" Type="http://schemas.openxmlformats.org/officeDocument/2006/relationships/ctrlProp" Target="../ctrlProps/ctrlProp1057.xml"/><Relationship Id="rId228" Type="http://schemas.openxmlformats.org/officeDocument/2006/relationships/ctrlProp" Target="../ctrlProps/ctrlProp1078.xml"/><Relationship Id="rId249" Type="http://schemas.openxmlformats.org/officeDocument/2006/relationships/ctrlProp" Target="../ctrlProps/ctrlProp1099.xml"/><Relationship Id="rId13" Type="http://schemas.openxmlformats.org/officeDocument/2006/relationships/ctrlProp" Target="../ctrlProps/ctrlProp863.xml"/><Relationship Id="rId18" Type="http://schemas.openxmlformats.org/officeDocument/2006/relationships/ctrlProp" Target="../ctrlProps/ctrlProp868.xml"/><Relationship Id="rId39" Type="http://schemas.openxmlformats.org/officeDocument/2006/relationships/ctrlProp" Target="../ctrlProps/ctrlProp889.xml"/><Relationship Id="rId109" Type="http://schemas.openxmlformats.org/officeDocument/2006/relationships/ctrlProp" Target="../ctrlProps/ctrlProp959.xml"/><Relationship Id="rId260" Type="http://schemas.openxmlformats.org/officeDocument/2006/relationships/ctrlProp" Target="../ctrlProps/ctrlProp1110.xml"/><Relationship Id="rId265" Type="http://schemas.openxmlformats.org/officeDocument/2006/relationships/ctrlProp" Target="../ctrlProps/ctrlProp1115.xml"/><Relationship Id="rId281" Type="http://schemas.openxmlformats.org/officeDocument/2006/relationships/ctrlProp" Target="../ctrlProps/ctrlProp1131.xml"/><Relationship Id="rId34" Type="http://schemas.openxmlformats.org/officeDocument/2006/relationships/ctrlProp" Target="../ctrlProps/ctrlProp884.xml"/><Relationship Id="rId50" Type="http://schemas.openxmlformats.org/officeDocument/2006/relationships/ctrlProp" Target="../ctrlProps/ctrlProp900.xml"/><Relationship Id="rId55" Type="http://schemas.openxmlformats.org/officeDocument/2006/relationships/ctrlProp" Target="../ctrlProps/ctrlProp905.xml"/><Relationship Id="rId76" Type="http://schemas.openxmlformats.org/officeDocument/2006/relationships/ctrlProp" Target="../ctrlProps/ctrlProp926.xml"/><Relationship Id="rId97" Type="http://schemas.openxmlformats.org/officeDocument/2006/relationships/ctrlProp" Target="../ctrlProps/ctrlProp947.xml"/><Relationship Id="rId104" Type="http://schemas.openxmlformats.org/officeDocument/2006/relationships/ctrlProp" Target="../ctrlProps/ctrlProp954.xml"/><Relationship Id="rId120" Type="http://schemas.openxmlformats.org/officeDocument/2006/relationships/ctrlProp" Target="../ctrlProps/ctrlProp970.xml"/><Relationship Id="rId125" Type="http://schemas.openxmlformats.org/officeDocument/2006/relationships/ctrlProp" Target="../ctrlProps/ctrlProp975.xml"/><Relationship Id="rId141" Type="http://schemas.openxmlformats.org/officeDocument/2006/relationships/ctrlProp" Target="../ctrlProps/ctrlProp991.xml"/><Relationship Id="rId146" Type="http://schemas.openxmlformats.org/officeDocument/2006/relationships/ctrlProp" Target="../ctrlProps/ctrlProp996.xml"/><Relationship Id="rId167" Type="http://schemas.openxmlformats.org/officeDocument/2006/relationships/ctrlProp" Target="../ctrlProps/ctrlProp1017.xml"/><Relationship Id="rId188" Type="http://schemas.openxmlformats.org/officeDocument/2006/relationships/ctrlProp" Target="../ctrlProps/ctrlProp1038.xml"/><Relationship Id="rId7" Type="http://schemas.openxmlformats.org/officeDocument/2006/relationships/ctrlProp" Target="../ctrlProps/ctrlProp857.xml"/><Relationship Id="rId71" Type="http://schemas.openxmlformats.org/officeDocument/2006/relationships/ctrlProp" Target="../ctrlProps/ctrlProp921.xml"/><Relationship Id="rId92" Type="http://schemas.openxmlformats.org/officeDocument/2006/relationships/ctrlProp" Target="../ctrlProps/ctrlProp942.xml"/><Relationship Id="rId162" Type="http://schemas.openxmlformats.org/officeDocument/2006/relationships/ctrlProp" Target="../ctrlProps/ctrlProp1012.xml"/><Relationship Id="rId183" Type="http://schemas.openxmlformats.org/officeDocument/2006/relationships/ctrlProp" Target="../ctrlProps/ctrlProp1033.xml"/><Relationship Id="rId213" Type="http://schemas.openxmlformats.org/officeDocument/2006/relationships/ctrlProp" Target="../ctrlProps/ctrlProp1063.xml"/><Relationship Id="rId218" Type="http://schemas.openxmlformats.org/officeDocument/2006/relationships/ctrlProp" Target="../ctrlProps/ctrlProp1068.xml"/><Relationship Id="rId234" Type="http://schemas.openxmlformats.org/officeDocument/2006/relationships/ctrlProp" Target="../ctrlProps/ctrlProp1084.xml"/><Relationship Id="rId239" Type="http://schemas.openxmlformats.org/officeDocument/2006/relationships/ctrlProp" Target="../ctrlProps/ctrlProp108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79.xml"/><Relationship Id="rId250" Type="http://schemas.openxmlformats.org/officeDocument/2006/relationships/ctrlProp" Target="../ctrlProps/ctrlProp1100.xml"/><Relationship Id="rId255" Type="http://schemas.openxmlformats.org/officeDocument/2006/relationships/ctrlProp" Target="../ctrlProps/ctrlProp1105.xml"/><Relationship Id="rId271" Type="http://schemas.openxmlformats.org/officeDocument/2006/relationships/ctrlProp" Target="../ctrlProps/ctrlProp1121.xml"/><Relationship Id="rId276" Type="http://schemas.openxmlformats.org/officeDocument/2006/relationships/ctrlProp" Target="../ctrlProps/ctrlProp1126.xml"/><Relationship Id="rId24" Type="http://schemas.openxmlformats.org/officeDocument/2006/relationships/ctrlProp" Target="../ctrlProps/ctrlProp874.xml"/><Relationship Id="rId40" Type="http://schemas.openxmlformats.org/officeDocument/2006/relationships/ctrlProp" Target="../ctrlProps/ctrlProp890.xml"/><Relationship Id="rId45" Type="http://schemas.openxmlformats.org/officeDocument/2006/relationships/ctrlProp" Target="../ctrlProps/ctrlProp895.xml"/><Relationship Id="rId66" Type="http://schemas.openxmlformats.org/officeDocument/2006/relationships/ctrlProp" Target="../ctrlProps/ctrlProp916.xml"/><Relationship Id="rId87" Type="http://schemas.openxmlformats.org/officeDocument/2006/relationships/ctrlProp" Target="../ctrlProps/ctrlProp937.xml"/><Relationship Id="rId110" Type="http://schemas.openxmlformats.org/officeDocument/2006/relationships/ctrlProp" Target="../ctrlProps/ctrlProp960.xml"/><Relationship Id="rId115" Type="http://schemas.openxmlformats.org/officeDocument/2006/relationships/ctrlProp" Target="../ctrlProps/ctrlProp965.xml"/><Relationship Id="rId131" Type="http://schemas.openxmlformats.org/officeDocument/2006/relationships/ctrlProp" Target="../ctrlProps/ctrlProp981.xml"/><Relationship Id="rId136" Type="http://schemas.openxmlformats.org/officeDocument/2006/relationships/ctrlProp" Target="../ctrlProps/ctrlProp986.xml"/><Relationship Id="rId157" Type="http://schemas.openxmlformats.org/officeDocument/2006/relationships/ctrlProp" Target="../ctrlProps/ctrlProp1007.xml"/><Relationship Id="rId178" Type="http://schemas.openxmlformats.org/officeDocument/2006/relationships/ctrlProp" Target="../ctrlProps/ctrlProp1028.xml"/><Relationship Id="rId61" Type="http://schemas.openxmlformats.org/officeDocument/2006/relationships/ctrlProp" Target="../ctrlProps/ctrlProp911.xml"/><Relationship Id="rId82" Type="http://schemas.openxmlformats.org/officeDocument/2006/relationships/ctrlProp" Target="../ctrlProps/ctrlProp932.xml"/><Relationship Id="rId152" Type="http://schemas.openxmlformats.org/officeDocument/2006/relationships/ctrlProp" Target="../ctrlProps/ctrlProp1002.xml"/><Relationship Id="rId173" Type="http://schemas.openxmlformats.org/officeDocument/2006/relationships/ctrlProp" Target="../ctrlProps/ctrlProp1023.xml"/><Relationship Id="rId194" Type="http://schemas.openxmlformats.org/officeDocument/2006/relationships/ctrlProp" Target="../ctrlProps/ctrlProp1044.xml"/><Relationship Id="rId199" Type="http://schemas.openxmlformats.org/officeDocument/2006/relationships/ctrlProp" Target="../ctrlProps/ctrlProp1049.xml"/><Relationship Id="rId203" Type="http://schemas.openxmlformats.org/officeDocument/2006/relationships/ctrlProp" Target="../ctrlProps/ctrlProp1053.xml"/><Relationship Id="rId208" Type="http://schemas.openxmlformats.org/officeDocument/2006/relationships/ctrlProp" Target="../ctrlProps/ctrlProp1058.xml"/><Relationship Id="rId229" Type="http://schemas.openxmlformats.org/officeDocument/2006/relationships/ctrlProp" Target="../ctrlProps/ctrlProp1079.xml"/><Relationship Id="rId19" Type="http://schemas.openxmlformats.org/officeDocument/2006/relationships/ctrlProp" Target="../ctrlProps/ctrlProp869.xml"/><Relationship Id="rId224" Type="http://schemas.openxmlformats.org/officeDocument/2006/relationships/ctrlProp" Target="../ctrlProps/ctrlProp1074.xml"/><Relationship Id="rId240" Type="http://schemas.openxmlformats.org/officeDocument/2006/relationships/ctrlProp" Target="../ctrlProps/ctrlProp1090.xml"/><Relationship Id="rId245" Type="http://schemas.openxmlformats.org/officeDocument/2006/relationships/ctrlProp" Target="../ctrlProps/ctrlProp1095.xml"/><Relationship Id="rId261" Type="http://schemas.openxmlformats.org/officeDocument/2006/relationships/ctrlProp" Target="../ctrlProps/ctrlProp1111.xml"/><Relationship Id="rId266" Type="http://schemas.openxmlformats.org/officeDocument/2006/relationships/ctrlProp" Target="../ctrlProps/ctrlProp1116.xml"/><Relationship Id="rId14" Type="http://schemas.openxmlformats.org/officeDocument/2006/relationships/ctrlProp" Target="../ctrlProps/ctrlProp864.xml"/><Relationship Id="rId30" Type="http://schemas.openxmlformats.org/officeDocument/2006/relationships/ctrlProp" Target="../ctrlProps/ctrlProp880.xml"/><Relationship Id="rId35" Type="http://schemas.openxmlformats.org/officeDocument/2006/relationships/ctrlProp" Target="../ctrlProps/ctrlProp885.xml"/><Relationship Id="rId56" Type="http://schemas.openxmlformats.org/officeDocument/2006/relationships/ctrlProp" Target="../ctrlProps/ctrlProp906.xml"/><Relationship Id="rId77" Type="http://schemas.openxmlformats.org/officeDocument/2006/relationships/ctrlProp" Target="../ctrlProps/ctrlProp927.xml"/><Relationship Id="rId100" Type="http://schemas.openxmlformats.org/officeDocument/2006/relationships/ctrlProp" Target="../ctrlProps/ctrlProp950.xml"/><Relationship Id="rId105" Type="http://schemas.openxmlformats.org/officeDocument/2006/relationships/ctrlProp" Target="../ctrlProps/ctrlProp955.xml"/><Relationship Id="rId126" Type="http://schemas.openxmlformats.org/officeDocument/2006/relationships/ctrlProp" Target="../ctrlProps/ctrlProp976.xml"/><Relationship Id="rId147" Type="http://schemas.openxmlformats.org/officeDocument/2006/relationships/ctrlProp" Target="../ctrlProps/ctrlProp997.xml"/><Relationship Id="rId168" Type="http://schemas.openxmlformats.org/officeDocument/2006/relationships/ctrlProp" Target="../ctrlProps/ctrlProp1018.xml"/><Relationship Id="rId282" Type="http://schemas.openxmlformats.org/officeDocument/2006/relationships/ctrlProp" Target="../ctrlProps/ctrlProp1132.xml"/><Relationship Id="rId8" Type="http://schemas.openxmlformats.org/officeDocument/2006/relationships/ctrlProp" Target="../ctrlProps/ctrlProp858.xml"/><Relationship Id="rId51" Type="http://schemas.openxmlformats.org/officeDocument/2006/relationships/ctrlProp" Target="../ctrlProps/ctrlProp901.xml"/><Relationship Id="rId72" Type="http://schemas.openxmlformats.org/officeDocument/2006/relationships/ctrlProp" Target="../ctrlProps/ctrlProp922.xml"/><Relationship Id="rId93" Type="http://schemas.openxmlformats.org/officeDocument/2006/relationships/ctrlProp" Target="../ctrlProps/ctrlProp943.xml"/><Relationship Id="rId98" Type="http://schemas.openxmlformats.org/officeDocument/2006/relationships/ctrlProp" Target="../ctrlProps/ctrlProp948.xml"/><Relationship Id="rId121" Type="http://schemas.openxmlformats.org/officeDocument/2006/relationships/ctrlProp" Target="../ctrlProps/ctrlProp971.xml"/><Relationship Id="rId142" Type="http://schemas.openxmlformats.org/officeDocument/2006/relationships/ctrlProp" Target="../ctrlProps/ctrlProp992.xml"/><Relationship Id="rId163" Type="http://schemas.openxmlformats.org/officeDocument/2006/relationships/ctrlProp" Target="../ctrlProps/ctrlProp1013.xml"/><Relationship Id="rId184" Type="http://schemas.openxmlformats.org/officeDocument/2006/relationships/ctrlProp" Target="../ctrlProps/ctrlProp1034.xml"/><Relationship Id="rId189" Type="http://schemas.openxmlformats.org/officeDocument/2006/relationships/ctrlProp" Target="../ctrlProps/ctrlProp1039.xml"/><Relationship Id="rId219" Type="http://schemas.openxmlformats.org/officeDocument/2006/relationships/ctrlProp" Target="../ctrlProps/ctrlProp106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4.xml"/><Relationship Id="rId230" Type="http://schemas.openxmlformats.org/officeDocument/2006/relationships/ctrlProp" Target="../ctrlProps/ctrlProp1080.xml"/><Relationship Id="rId235" Type="http://schemas.openxmlformats.org/officeDocument/2006/relationships/ctrlProp" Target="../ctrlProps/ctrlProp1085.xml"/><Relationship Id="rId251" Type="http://schemas.openxmlformats.org/officeDocument/2006/relationships/ctrlProp" Target="../ctrlProps/ctrlProp1101.xml"/><Relationship Id="rId256" Type="http://schemas.openxmlformats.org/officeDocument/2006/relationships/ctrlProp" Target="../ctrlProps/ctrlProp1106.xml"/><Relationship Id="rId277" Type="http://schemas.openxmlformats.org/officeDocument/2006/relationships/ctrlProp" Target="../ctrlProps/ctrlProp1127.xml"/><Relationship Id="rId25" Type="http://schemas.openxmlformats.org/officeDocument/2006/relationships/ctrlProp" Target="../ctrlProps/ctrlProp875.xml"/><Relationship Id="rId46" Type="http://schemas.openxmlformats.org/officeDocument/2006/relationships/ctrlProp" Target="../ctrlProps/ctrlProp896.xml"/><Relationship Id="rId67" Type="http://schemas.openxmlformats.org/officeDocument/2006/relationships/ctrlProp" Target="../ctrlProps/ctrlProp917.xml"/><Relationship Id="rId116" Type="http://schemas.openxmlformats.org/officeDocument/2006/relationships/ctrlProp" Target="../ctrlProps/ctrlProp966.xml"/><Relationship Id="rId137" Type="http://schemas.openxmlformats.org/officeDocument/2006/relationships/ctrlProp" Target="../ctrlProps/ctrlProp987.xml"/><Relationship Id="rId158" Type="http://schemas.openxmlformats.org/officeDocument/2006/relationships/ctrlProp" Target="../ctrlProps/ctrlProp1008.xml"/><Relationship Id="rId272" Type="http://schemas.openxmlformats.org/officeDocument/2006/relationships/ctrlProp" Target="../ctrlProps/ctrlProp1122.xml"/><Relationship Id="rId20" Type="http://schemas.openxmlformats.org/officeDocument/2006/relationships/ctrlProp" Target="../ctrlProps/ctrlProp870.xml"/><Relationship Id="rId41" Type="http://schemas.openxmlformats.org/officeDocument/2006/relationships/ctrlProp" Target="../ctrlProps/ctrlProp891.xml"/><Relationship Id="rId62" Type="http://schemas.openxmlformats.org/officeDocument/2006/relationships/ctrlProp" Target="../ctrlProps/ctrlProp912.xml"/><Relationship Id="rId83" Type="http://schemas.openxmlformats.org/officeDocument/2006/relationships/ctrlProp" Target="../ctrlProps/ctrlProp933.xml"/><Relationship Id="rId88" Type="http://schemas.openxmlformats.org/officeDocument/2006/relationships/ctrlProp" Target="../ctrlProps/ctrlProp938.xml"/><Relationship Id="rId111" Type="http://schemas.openxmlformats.org/officeDocument/2006/relationships/ctrlProp" Target="../ctrlProps/ctrlProp961.xml"/><Relationship Id="rId132" Type="http://schemas.openxmlformats.org/officeDocument/2006/relationships/ctrlProp" Target="../ctrlProps/ctrlProp982.xml"/><Relationship Id="rId153" Type="http://schemas.openxmlformats.org/officeDocument/2006/relationships/ctrlProp" Target="../ctrlProps/ctrlProp1003.xml"/><Relationship Id="rId174" Type="http://schemas.openxmlformats.org/officeDocument/2006/relationships/ctrlProp" Target="../ctrlProps/ctrlProp1024.xml"/><Relationship Id="rId179" Type="http://schemas.openxmlformats.org/officeDocument/2006/relationships/ctrlProp" Target="../ctrlProps/ctrlProp1029.xml"/><Relationship Id="rId195" Type="http://schemas.openxmlformats.org/officeDocument/2006/relationships/ctrlProp" Target="../ctrlProps/ctrlProp1045.xml"/><Relationship Id="rId209" Type="http://schemas.openxmlformats.org/officeDocument/2006/relationships/ctrlProp" Target="../ctrlProps/ctrlProp1059.xml"/><Relationship Id="rId190" Type="http://schemas.openxmlformats.org/officeDocument/2006/relationships/ctrlProp" Target="../ctrlProps/ctrlProp1040.xml"/><Relationship Id="rId204" Type="http://schemas.openxmlformats.org/officeDocument/2006/relationships/ctrlProp" Target="../ctrlProps/ctrlProp1054.xml"/><Relationship Id="rId220" Type="http://schemas.openxmlformats.org/officeDocument/2006/relationships/ctrlProp" Target="../ctrlProps/ctrlProp1070.xml"/><Relationship Id="rId225" Type="http://schemas.openxmlformats.org/officeDocument/2006/relationships/ctrlProp" Target="../ctrlProps/ctrlProp1075.xml"/><Relationship Id="rId241" Type="http://schemas.openxmlformats.org/officeDocument/2006/relationships/ctrlProp" Target="../ctrlProps/ctrlProp1091.xml"/><Relationship Id="rId246" Type="http://schemas.openxmlformats.org/officeDocument/2006/relationships/ctrlProp" Target="../ctrlProps/ctrlProp1096.xml"/><Relationship Id="rId267" Type="http://schemas.openxmlformats.org/officeDocument/2006/relationships/ctrlProp" Target="../ctrlProps/ctrlProp1117.xml"/><Relationship Id="rId15" Type="http://schemas.openxmlformats.org/officeDocument/2006/relationships/ctrlProp" Target="../ctrlProps/ctrlProp865.xml"/><Relationship Id="rId36" Type="http://schemas.openxmlformats.org/officeDocument/2006/relationships/ctrlProp" Target="../ctrlProps/ctrlProp886.xml"/><Relationship Id="rId57" Type="http://schemas.openxmlformats.org/officeDocument/2006/relationships/ctrlProp" Target="../ctrlProps/ctrlProp907.xml"/><Relationship Id="rId106" Type="http://schemas.openxmlformats.org/officeDocument/2006/relationships/ctrlProp" Target="../ctrlProps/ctrlProp956.xml"/><Relationship Id="rId127" Type="http://schemas.openxmlformats.org/officeDocument/2006/relationships/ctrlProp" Target="../ctrlProps/ctrlProp977.xml"/><Relationship Id="rId262" Type="http://schemas.openxmlformats.org/officeDocument/2006/relationships/ctrlProp" Target="../ctrlProps/ctrlProp1112.xml"/><Relationship Id="rId283" Type="http://schemas.openxmlformats.org/officeDocument/2006/relationships/ctrlProp" Target="../ctrlProps/ctrlProp1133.xml"/><Relationship Id="rId10" Type="http://schemas.openxmlformats.org/officeDocument/2006/relationships/ctrlProp" Target="../ctrlProps/ctrlProp860.xml"/><Relationship Id="rId31" Type="http://schemas.openxmlformats.org/officeDocument/2006/relationships/ctrlProp" Target="../ctrlProps/ctrlProp881.xml"/><Relationship Id="rId52" Type="http://schemas.openxmlformats.org/officeDocument/2006/relationships/ctrlProp" Target="../ctrlProps/ctrlProp902.xml"/><Relationship Id="rId73" Type="http://schemas.openxmlformats.org/officeDocument/2006/relationships/ctrlProp" Target="../ctrlProps/ctrlProp923.xml"/><Relationship Id="rId78" Type="http://schemas.openxmlformats.org/officeDocument/2006/relationships/ctrlProp" Target="../ctrlProps/ctrlProp928.xml"/><Relationship Id="rId94" Type="http://schemas.openxmlformats.org/officeDocument/2006/relationships/ctrlProp" Target="../ctrlProps/ctrlProp944.xml"/><Relationship Id="rId99" Type="http://schemas.openxmlformats.org/officeDocument/2006/relationships/ctrlProp" Target="../ctrlProps/ctrlProp949.xml"/><Relationship Id="rId101" Type="http://schemas.openxmlformats.org/officeDocument/2006/relationships/ctrlProp" Target="../ctrlProps/ctrlProp951.xml"/><Relationship Id="rId122" Type="http://schemas.openxmlformats.org/officeDocument/2006/relationships/ctrlProp" Target="../ctrlProps/ctrlProp972.xml"/><Relationship Id="rId143" Type="http://schemas.openxmlformats.org/officeDocument/2006/relationships/ctrlProp" Target="../ctrlProps/ctrlProp993.xml"/><Relationship Id="rId148" Type="http://schemas.openxmlformats.org/officeDocument/2006/relationships/ctrlProp" Target="../ctrlProps/ctrlProp998.xml"/><Relationship Id="rId164" Type="http://schemas.openxmlformats.org/officeDocument/2006/relationships/ctrlProp" Target="../ctrlProps/ctrlProp1014.xml"/><Relationship Id="rId169" Type="http://schemas.openxmlformats.org/officeDocument/2006/relationships/ctrlProp" Target="../ctrlProps/ctrlProp1019.xml"/><Relationship Id="rId185" Type="http://schemas.openxmlformats.org/officeDocument/2006/relationships/ctrlProp" Target="../ctrlProps/ctrlProp1035.xml"/><Relationship Id="rId4" Type="http://schemas.openxmlformats.org/officeDocument/2006/relationships/ctrlProp" Target="../ctrlProps/ctrlProp854.xml"/><Relationship Id="rId9" Type="http://schemas.openxmlformats.org/officeDocument/2006/relationships/ctrlProp" Target="../ctrlProps/ctrlProp859.xml"/><Relationship Id="rId180" Type="http://schemas.openxmlformats.org/officeDocument/2006/relationships/ctrlProp" Target="../ctrlProps/ctrlProp1030.xml"/><Relationship Id="rId210" Type="http://schemas.openxmlformats.org/officeDocument/2006/relationships/ctrlProp" Target="../ctrlProps/ctrlProp1060.xml"/><Relationship Id="rId215" Type="http://schemas.openxmlformats.org/officeDocument/2006/relationships/ctrlProp" Target="../ctrlProps/ctrlProp1065.xml"/><Relationship Id="rId236" Type="http://schemas.openxmlformats.org/officeDocument/2006/relationships/ctrlProp" Target="../ctrlProps/ctrlProp1086.xml"/><Relationship Id="rId257" Type="http://schemas.openxmlformats.org/officeDocument/2006/relationships/ctrlProp" Target="../ctrlProps/ctrlProp1107.xml"/><Relationship Id="rId278" Type="http://schemas.openxmlformats.org/officeDocument/2006/relationships/ctrlProp" Target="../ctrlProps/ctrlProp1128.xml"/><Relationship Id="rId26" Type="http://schemas.openxmlformats.org/officeDocument/2006/relationships/ctrlProp" Target="../ctrlProps/ctrlProp876.xml"/><Relationship Id="rId231" Type="http://schemas.openxmlformats.org/officeDocument/2006/relationships/ctrlProp" Target="../ctrlProps/ctrlProp1081.xml"/><Relationship Id="rId252" Type="http://schemas.openxmlformats.org/officeDocument/2006/relationships/ctrlProp" Target="../ctrlProps/ctrlProp1102.xml"/><Relationship Id="rId273" Type="http://schemas.openxmlformats.org/officeDocument/2006/relationships/ctrlProp" Target="../ctrlProps/ctrlProp1123.xml"/><Relationship Id="rId47" Type="http://schemas.openxmlformats.org/officeDocument/2006/relationships/ctrlProp" Target="../ctrlProps/ctrlProp897.xml"/><Relationship Id="rId68" Type="http://schemas.openxmlformats.org/officeDocument/2006/relationships/ctrlProp" Target="../ctrlProps/ctrlProp918.xml"/><Relationship Id="rId89" Type="http://schemas.openxmlformats.org/officeDocument/2006/relationships/ctrlProp" Target="../ctrlProps/ctrlProp939.xml"/><Relationship Id="rId112" Type="http://schemas.openxmlformats.org/officeDocument/2006/relationships/ctrlProp" Target="../ctrlProps/ctrlProp962.xml"/><Relationship Id="rId133" Type="http://schemas.openxmlformats.org/officeDocument/2006/relationships/ctrlProp" Target="../ctrlProps/ctrlProp983.xml"/><Relationship Id="rId154" Type="http://schemas.openxmlformats.org/officeDocument/2006/relationships/ctrlProp" Target="../ctrlProps/ctrlProp1004.xml"/><Relationship Id="rId175" Type="http://schemas.openxmlformats.org/officeDocument/2006/relationships/ctrlProp" Target="../ctrlProps/ctrlProp1025.xml"/><Relationship Id="rId196" Type="http://schemas.openxmlformats.org/officeDocument/2006/relationships/ctrlProp" Target="../ctrlProps/ctrlProp1046.xml"/><Relationship Id="rId200" Type="http://schemas.openxmlformats.org/officeDocument/2006/relationships/ctrlProp" Target="../ctrlProps/ctrlProp1050.xml"/><Relationship Id="rId16" Type="http://schemas.openxmlformats.org/officeDocument/2006/relationships/ctrlProp" Target="../ctrlProps/ctrlProp866.xml"/><Relationship Id="rId221" Type="http://schemas.openxmlformats.org/officeDocument/2006/relationships/ctrlProp" Target="../ctrlProps/ctrlProp1071.xml"/><Relationship Id="rId242" Type="http://schemas.openxmlformats.org/officeDocument/2006/relationships/ctrlProp" Target="../ctrlProps/ctrlProp1092.xml"/><Relationship Id="rId263" Type="http://schemas.openxmlformats.org/officeDocument/2006/relationships/ctrlProp" Target="../ctrlProps/ctrlProp1113.xml"/><Relationship Id="rId37" Type="http://schemas.openxmlformats.org/officeDocument/2006/relationships/ctrlProp" Target="../ctrlProps/ctrlProp887.xml"/><Relationship Id="rId58" Type="http://schemas.openxmlformats.org/officeDocument/2006/relationships/ctrlProp" Target="../ctrlProps/ctrlProp908.xml"/><Relationship Id="rId79" Type="http://schemas.openxmlformats.org/officeDocument/2006/relationships/ctrlProp" Target="../ctrlProps/ctrlProp929.xml"/><Relationship Id="rId102" Type="http://schemas.openxmlformats.org/officeDocument/2006/relationships/ctrlProp" Target="../ctrlProps/ctrlProp952.xml"/><Relationship Id="rId123" Type="http://schemas.openxmlformats.org/officeDocument/2006/relationships/ctrlProp" Target="../ctrlProps/ctrlProp973.xml"/><Relationship Id="rId144" Type="http://schemas.openxmlformats.org/officeDocument/2006/relationships/ctrlProp" Target="../ctrlProps/ctrlProp994.xml"/><Relationship Id="rId90" Type="http://schemas.openxmlformats.org/officeDocument/2006/relationships/ctrlProp" Target="../ctrlProps/ctrlProp940.xml"/><Relationship Id="rId165" Type="http://schemas.openxmlformats.org/officeDocument/2006/relationships/ctrlProp" Target="../ctrlProps/ctrlProp1015.xml"/><Relationship Id="rId186" Type="http://schemas.openxmlformats.org/officeDocument/2006/relationships/ctrlProp" Target="../ctrlProps/ctrlProp1036.xml"/><Relationship Id="rId211" Type="http://schemas.openxmlformats.org/officeDocument/2006/relationships/ctrlProp" Target="../ctrlProps/ctrlProp1061.xml"/><Relationship Id="rId232" Type="http://schemas.openxmlformats.org/officeDocument/2006/relationships/ctrlProp" Target="../ctrlProps/ctrlProp1082.xml"/><Relationship Id="rId253" Type="http://schemas.openxmlformats.org/officeDocument/2006/relationships/ctrlProp" Target="../ctrlProps/ctrlProp1103.xml"/><Relationship Id="rId274" Type="http://schemas.openxmlformats.org/officeDocument/2006/relationships/ctrlProp" Target="../ctrlProps/ctrlProp1124.xml"/><Relationship Id="rId27" Type="http://schemas.openxmlformats.org/officeDocument/2006/relationships/ctrlProp" Target="../ctrlProps/ctrlProp877.xml"/><Relationship Id="rId48" Type="http://schemas.openxmlformats.org/officeDocument/2006/relationships/ctrlProp" Target="../ctrlProps/ctrlProp898.xml"/><Relationship Id="rId69" Type="http://schemas.openxmlformats.org/officeDocument/2006/relationships/ctrlProp" Target="../ctrlProps/ctrlProp919.xml"/><Relationship Id="rId113" Type="http://schemas.openxmlformats.org/officeDocument/2006/relationships/ctrlProp" Target="../ctrlProps/ctrlProp963.xml"/><Relationship Id="rId134" Type="http://schemas.openxmlformats.org/officeDocument/2006/relationships/ctrlProp" Target="../ctrlProps/ctrlProp984.xml"/><Relationship Id="rId80" Type="http://schemas.openxmlformats.org/officeDocument/2006/relationships/ctrlProp" Target="../ctrlProps/ctrlProp930.xml"/><Relationship Id="rId155" Type="http://schemas.openxmlformats.org/officeDocument/2006/relationships/ctrlProp" Target="../ctrlProps/ctrlProp1005.xml"/><Relationship Id="rId176" Type="http://schemas.openxmlformats.org/officeDocument/2006/relationships/ctrlProp" Target="../ctrlProps/ctrlProp1026.xml"/><Relationship Id="rId197" Type="http://schemas.openxmlformats.org/officeDocument/2006/relationships/ctrlProp" Target="../ctrlProps/ctrlProp1047.xml"/><Relationship Id="rId201" Type="http://schemas.openxmlformats.org/officeDocument/2006/relationships/ctrlProp" Target="../ctrlProps/ctrlProp1051.xml"/><Relationship Id="rId222" Type="http://schemas.openxmlformats.org/officeDocument/2006/relationships/ctrlProp" Target="../ctrlProps/ctrlProp1072.xml"/><Relationship Id="rId243" Type="http://schemas.openxmlformats.org/officeDocument/2006/relationships/ctrlProp" Target="../ctrlProps/ctrlProp1093.xml"/><Relationship Id="rId264" Type="http://schemas.openxmlformats.org/officeDocument/2006/relationships/ctrlProp" Target="../ctrlProps/ctrlProp1114.xml"/><Relationship Id="rId17" Type="http://schemas.openxmlformats.org/officeDocument/2006/relationships/ctrlProp" Target="../ctrlProps/ctrlProp867.xml"/><Relationship Id="rId38" Type="http://schemas.openxmlformats.org/officeDocument/2006/relationships/ctrlProp" Target="../ctrlProps/ctrlProp888.xml"/><Relationship Id="rId59" Type="http://schemas.openxmlformats.org/officeDocument/2006/relationships/ctrlProp" Target="../ctrlProps/ctrlProp909.xml"/><Relationship Id="rId103" Type="http://schemas.openxmlformats.org/officeDocument/2006/relationships/ctrlProp" Target="../ctrlProps/ctrlProp953.xml"/><Relationship Id="rId124" Type="http://schemas.openxmlformats.org/officeDocument/2006/relationships/ctrlProp" Target="../ctrlProps/ctrlProp974.xml"/><Relationship Id="rId70" Type="http://schemas.openxmlformats.org/officeDocument/2006/relationships/ctrlProp" Target="../ctrlProps/ctrlProp920.xml"/><Relationship Id="rId91" Type="http://schemas.openxmlformats.org/officeDocument/2006/relationships/ctrlProp" Target="../ctrlProps/ctrlProp941.xml"/><Relationship Id="rId145" Type="http://schemas.openxmlformats.org/officeDocument/2006/relationships/ctrlProp" Target="../ctrlProps/ctrlProp995.xml"/><Relationship Id="rId166" Type="http://schemas.openxmlformats.org/officeDocument/2006/relationships/ctrlProp" Target="../ctrlProps/ctrlProp1016.xml"/><Relationship Id="rId187" Type="http://schemas.openxmlformats.org/officeDocument/2006/relationships/ctrlProp" Target="../ctrlProps/ctrlProp103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62.xml"/><Relationship Id="rId233" Type="http://schemas.openxmlformats.org/officeDocument/2006/relationships/ctrlProp" Target="../ctrlProps/ctrlProp1083.xml"/><Relationship Id="rId254" Type="http://schemas.openxmlformats.org/officeDocument/2006/relationships/ctrlProp" Target="../ctrlProps/ctrlProp1104.xml"/><Relationship Id="rId28" Type="http://schemas.openxmlformats.org/officeDocument/2006/relationships/ctrlProp" Target="../ctrlProps/ctrlProp878.xml"/><Relationship Id="rId49" Type="http://schemas.openxmlformats.org/officeDocument/2006/relationships/ctrlProp" Target="../ctrlProps/ctrlProp899.xml"/><Relationship Id="rId114" Type="http://schemas.openxmlformats.org/officeDocument/2006/relationships/ctrlProp" Target="../ctrlProps/ctrlProp964.xml"/><Relationship Id="rId275" Type="http://schemas.openxmlformats.org/officeDocument/2006/relationships/ctrlProp" Target="../ctrlProps/ctrlProp1125.xml"/><Relationship Id="rId60" Type="http://schemas.openxmlformats.org/officeDocument/2006/relationships/ctrlProp" Target="../ctrlProps/ctrlProp910.xml"/><Relationship Id="rId81" Type="http://schemas.openxmlformats.org/officeDocument/2006/relationships/ctrlProp" Target="../ctrlProps/ctrlProp931.xml"/><Relationship Id="rId135" Type="http://schemas.openxmlformats.org/officeDocument/2006/relationships/ctrlProp" Target="../ctrlProps/ctrlProp985.xml"/><Relationship Id="rId156" Type="http://schemas.openxmlformats.org/officeDocument/2006/relationships/ctrlProp" Target="../ctrlProps/ctrlProp1006.xml"/><Relationship Id="rId177" Type="http://schemas.openxmlformats.org/officeDocument/2006/relationships/ctrlProp" Target="../ctrlProps/ctrlProp1027.xml"/><Relationship Id="rId198" Type="http://schemas.openxmlformats.org/officeDocument/2006/relationships/ctrlProp" Target="../ctrlProps/ctrlProp1048.xml"/><Relationship Id="rId202" Type="http://schemas.openxmlformats.org/officeDocument/2006/relationships/ctrlProp" Target="../ctrlProps/ctrlProp1052.xml"/><Relationship Id="rId223" Type="http://schemas.openxmlformats.org/officeDocument/2006/relationships/ctrlProp" Target="../ctrlProps/ctrlProp1073.xml"/><Relationship Id="rId244" Type="http://schemas.openxmlformats.org/officeDocument/2006/relationships/ctrlProp" Target="../ctrlProps/ctrlProp1094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/>
  <dimension ref="D7:R15"/>
  <sheetViews>
    <sheetView tabSelected="1" workbookViewId="0">
      <selection activeCell="G14" sqref="G14"/>
    </sheetView>
  </sheetViews>
  <sheetFormatPr defaultColWidth="9.140625" defaultRowHeight="12.75" x14ac:dyDescent="0.2"/>
  <cols>
    <col min="1" max="16384" width="9.140625" style="346"/>
  </cols>
  <sheetData>
    <row r="7" spans="4:18" x14ac:dyDescent="0.2">
      <c r="D7" s="499"/>
      <c r="E7" s="499"/>
      <c r="F7" s="499"/>
      <c r="G7" s="499"/>
      <c r="H7" s="499"/>
      <c r="I7" s="499"/>
      <c r="J7" s="499"/>
      <c r="K7" s="499"/>
      <c r="L7" s="499"/>
      <c r="M7" s="499"/>
      <c r="N7" s="499"/>
      <c r="O7" s="499"/>
      <c r="P7" s="499"/>
      <c r="Q7" s="499"/>
      <c r="R7" s="499"/>
    </row>
    <row r="8" spans="4:18" x14ac:dyDescent="0.2">
      <c r="D8" s="500"/>
      <c r="E8" s="500"/>
      <c r="F8" s="500"/>
      <c r="G8" s="500"/>
      <c r="H8" s="500"/>
      <c r="I8" s="500"/>
      <c r="J8" s="500"/>
      <c r="K8" s="500"/>
      <c r="L8" s="500"/>
      <c r="M8" s="500"/>
      <c r="N8" s="500"/>
      <c r="O8" s="500"/>
      <c r="P8" s="500"/>
      <c r="Q8" s="500"/>
      <c r="R8" s="500"/>
    </row>
    <row r="9" spans="4:18" ht="59.25" x14ac:dyDescent="0.75">
      <c r="D9" s="500"/>
      <c r="E9" s="501" t="s">
        <v>4510</v>
      </c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</row>
    <row r="10" spans="4:18" ht="19.5" customHeight="1" x14ac:dyDescent="0.75">
      <c r="D10" s="500"/>
      <c r="E10" s="501"/>
      <c r="F10" s="500"/>
      <c r="G10" s="500"/>
      <c r="H10" s="500"/>
      <c r="I10" s="500"/>
      <c r="J10" s="500"/>
      <c r="K10" s="500"/>
      <c r="L10" s="500"/>
      <c r="M10" s="500"/>
      <c r="N10" s="500"/>
      <c r="O10" s="500"/>
      <c r="P10" s="500"/>
      <c r="Q10" s="500"/>
      <c r="R10" s="500"/>
    </row>
    <row r="11" spans="4:18" ht="59.25" x14ac:dyDescent="0.75">
      <c r="D11" s="500"/>
      <c r="E11" s="501" t="s">
        <v>4509</v>
      </c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</row>
    <row r="12" spans="4:18" ht="59.25" x14ac:dyDescent="0.75">
      <c r="D12" s="500"/>
      <c r="E12" s="501"/>
      <c r="F12" s="500"/>
      <c r="G12" s="500"/>
      <c r="H12" s="500"/>
      <c r="I12" s="500"/>
      <c r="J12" s="500"/>
      <c r="K12" s="500"/>
      <c r="L12" s="500"/>
      <c r="M12" s="500"/>
      <c r="N12" s="500"/>
      <c r="O12" s="500"/>
      <c r="P12" s="500"/>
      <c r="Q12" s="500"/>
      <c r="R12" s="500"/>
    </row>
    <row r="13" spans="4:18" ht="33" x14ac:dyDescent="0.45">
      <c r="D13" s="500"/>
      <c r="E13" s="502" t="s">
        <v>3747</v>
      </c>
      <c r="F13" s="500"/>
      <c r="G13" s="530" t="s">
        <v>7082</v>
      </c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</row>
    <row r="14" spans="4:18" x14ac:dyDescent="0.2"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</row>
    <row r="15" spans="4:18" x14ac:dyDescent="0.2"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</sheetPr>
  <dimension ref="B1:BP39"/>
  <sheetViews>
    <sheetView zoomScaleNormal="100" workbookViewId="0">
      <pane ySplit="7" topLeftCell="A8" activePane="bottomLeft" state="frozen"/>
      <selection pane="bottomLeft" activeCell="W16" sqref="W16"/>
    </sheetView>
  </sheetViews>
  <sheetFormatPr defaultColWidth="9.140625" defaultRowHeight="12.75" x14ac:dyDescent="0.2"/>
  <cols>
    <col min="1" max="1" width="4.7109375" style="377" customWidth="1"/>
    <col min="2" max="3" width="5.42578125" style="377" customWidth="1"/>
    <col min="4" max="4" width="3.140625" style="377" customWidth="1"/>
    <col min="5" max="5" width="23.5703125" style="377" customWidth="1"/>
    <col min="6" max="6" width="9.42578125" style="377" customWidth="1"/>
    <col min="7" max="7" width="9.140625" style="377"/>
    <col min="8" max="8" width="9.5703125" style="377" customWidth="1"/>
    <col min="9" max="9" width="26" style="377" customWidth="1"/>
    <col min="10" max="10" width="14.5703125" style="377" customWidth="1"/>
    <col min="11" max="11" width="10.7109375" style="377" customWidth="1"/>
    <col min="12" max="12" width="9.140625" style="377"/>
    <col min="13" max="13" width="9.28515625" style="377" customWidth="1"/>
    <col min="14" max="14" width="17.5703125" style="377" customWidth="1"/>
    <col min="15" max="15" width="5.28515625" style="377" customWidth="1"/>
    <col min="16" max="16" width="7" style="377" customWidth="1"/>
    <col min="17" max="17" width="11" style="377" customWidth="1"/>
    <col min="18" max="18" width="10.140625" style="377" customWidth="1"/>
    <col min="19" max="19" width="9.140625" style="377"/>
    <col min="20" max="20" width="40.28515625" style="377" customWidth="1"/>
    <col min="21" max="16384" width="9.140625" style="377"/>
  </cols>
  <sheetData>
    <row r="1" spans="2:68" s="374" customFormat="1" ht="17.25" customHeight="1" x14ac:dyDescent="0.2">
      <c r="B1" s="656"/>
      <c r="C1" s="656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  <c r="Q1" s="644"/>
      <c r="R1" s="644"/>
      <c r="S1" s="644"/>
      <c r="T1" s="644"/>
    </row>
    <row r="2" spans="2:68" s="374" customFormat="1" ht="17.25" customHeight="1" x14ac:dyDescent="0.2">
      <c r="B2" s="644"/>
      <c r="C2" s="644"/>
      <c r="D2" s="644"/>
      <c r="E2" s="644"/>
      <c r="F2" s="647" t="s">
        <v>235</v>
      </c>
      <c r="G2" s="644" t="str">
        <f ca="1">Txt_Pat_AfspraakDat</f>
        <v>21-sep-2017</v>
      </c>
      <c r="H2" s="648"/>
      <c r="I2" s="649"/>
      <c r="J2" s="647"/>
      <c r="K2" s="647"/>
      <c r="L2" s="657" t="s">
        <v>242</v>
      </c>
      <c r="M2" s="644"/>
      <c r="N2" s="644" t="str">
        <f ca="1">Txt_Pat_GeboorteDat</f>
        <v/>
      </c>
      <c r="O2" s="647"/>
      <c r="P2" s="644"/>
      <c r="Q2" s="644"/>
      <c r="R2" s="647" t="str">
        <f>Txt_Pat_Gewicht</f>
        <v>Gewicht:</v>
      </c>
      <c r="S2" s="647"/>
      <c r="T2" s="644" t="str">
        <f>Txt_Pat_Bed</f>
        <v/>
      </c>
    </row>
    <row r="3" spans="2:68" s="374" customFormat="1" ht="17.25" customHeight="1" x14ac:dyDescent="0.2">
      <c r="B3" s="644"/>
      <c r="C3" s="644"/>
      <c r="D3" s="644"/>
      <c r="E3" s="644"/>
      <c r="F3" s="647" t="s">
        <v>27</v>
      </c>
      <c r="G3" s="644" t="str">
        <f>Txt_Pat_FullName</f>
        <v/>
      </c>
      <c r="H3" s="652"/>
      <c r="I3" s="652"/>
      <c r="J3" s="647"/>
      <c r="K3" s="647"/>
      <c r="L3" s="658" t="s">
        <v>213</v>
      </c>
      <c r="M3" s="644"/>
      <c r="N3" s="644" t="str">
        <f ca="1">Txt_Pat_Leeftijd</f>
        <v/>
      </c>
      <c r="O3" s="647"/>
      <c r="P3" s="644"/>
      <c r="Q3" s="644"/>
      <c r="R3" s="647" t="str">
        <f>Txt_Pat_Lengte</f>
        <v>Lengte:</v>
      </c>
      <c r="S3" s="644"/>
      <c r="T3" s="644"/>
    </row>
    <row r="4" spans="2:68" s="374" customFormat="1" ht="17.25" customHeight="1" x14ac:dyDescent="0.2">
      <c r="B4" s="644"/>
      <c r="C4" s="644"/>
      <c r="D4" s="644"/>
      <c r="E4" s="644"/>
      <c r="F4" s="653" t="s">
        <v>3493</v>
      </c>
      <c r="G4" s="644" t="str">
        <f>Txt_Pat_PatNo</f>
        <v/>
      </c>
      <c r="H4" s="647"/>
      <c r="I4" s="649"/>
      <c r="J4" s="647"/>
      <c r="K4" s="647"/>
      <c r="L4" s="644" t="s">
        <v>5392</v>
      </c>
      <c r="M4" s="644"/>
      <c r="N4" s="644" t="str">
        <f>Txt_Pat_Geslacht</f>
        <v>onbekend</v>
      </c>
      <c r="O4" s="647"/>
      <c r="P4" s="644"/>
      <c r="Q4" s="647"/>
      <c r="R4" s="647" t="str">
        <f>Txt_Pat_Oppervlak</f>
        <v>Lichamelijk oppervlak:</v>
      </c>
      <c r="S4" s="644"/>
      <c r="T4" s="644"/>
    </row>
    <row r="5" spans="2:68" s="374" customFormat="1" ht="8.1" customHeight="1" x14ac:dyDescent="0.2">
      <c r="B5" s="644"/>
      <c r="C5" s="644"/>
      <c r="D5" s="644"/>
      <c r="E5" s="644"/>
      <c r="F5" s="644"/>
      <c r="G5" s="644"/>
      <c r="H5" s="644"/>
      <c r="I5" s="644"/>
      <c r="J5" s="644"/>
      <c r="K5" s="644"/>
      <c r="L5" s="644"/>
      <c r="M5" s="644"/>
      <c r="N5" s="644"/>
      <c r="O5" s="644"/>
      <c r="P5" s="644"/>
      <c r="Q5" s="644"/>
      <c r="R5" s="644"/>
      <c r="S5" s="644"/>
      <c r="T5" s="644"/>
    </row>
    <row r="6" spans="2:68" s="482" customFormat="1" ht="8.1" customHeight="1" x14ac:dyDescent="0.2"/>
    <row r="7" spans="2:68" s="482" customFormat="1" ht="20.100000000000001" customHeight="1" x14ac:dyDescent="0.2">
      <c r="B7" s="691" t="s">
        <v>3492</v>
      </c>
      <c r="C7" s="691" t="s">
        <v>3324</v>
      </c>
      <c r="D7" s="690"/>
      <c r="E7" s="690" t="s">
        <v>884</v>
      </c>
      <c r="F7" s="689" t="s">
        <v>261</v>
      </c>
      <c r="G7" s="688"/>
      <c r="H7" s="690"/>
      <c r="I7" s="690"/>
      <c r="J7" s="690" t="s">
        <v>157</v>
      </c>
      <c r="K7" s="690" t="s">
        <v>486</v>
      </c>
      <c r="L7" s="690"/>
      <c r="M7" s="690" t="s">
        <v>355</v>
      </c>
      <c r="N7" s="690" t="s">
        <v>262</v>
      </c>
      <c r="O7" s="690" t="s">
        <v>113</v>
      </c>
      <c r="P7" s="690"/>
      <c r="Q7" s="690"/>
      <c r="R7" s="690" t="s">
        <v>3328</v>
      </c>
      <c r="S7" s="690" t="s">
        <v>299</v>
      </c>
      <c r="T7" s="690" t="s">
        <v>184</v>
      </c>
    </row>
    <row r="8" spans="2:68" ht="8.1" customHeight="1" x14ac:dyDescent="0.2">
      <c r="B8" s="363"/>
      <c r="C8" s="363"/>
      <c r="D8" s="363"/>
      <c r="E8" s="363"/>
      <c r="F8" s="375"/>
      <c r="G8" s="376"/>
      <c r="H8" s="363"/>
      <c r="I8" s="363"/>
      <c r="J8" s="363"/>
      <c r="K8" s="363"/>
      <c r="L8" s="363"/>
      <c r="M8" s="363"/>
      <c r="N8" s="363"/>
      <c r="O8" s="363"/>
      <c r="P8" s="363"/>
      <c r="Q8" s="363"/>
      <c r="R8" s="363"/>
      <c r="S8" s="363"/>
      <c r="T8" s="363"/>
      <c r="U8" s="354"/>
      <c r="V8" s="354"/>
      <c r="W8" s="354"/>
      <c r="X8" s="482"/>
      <c r="Y8" s="482"/>
      <c r="Z8" s="482"/>
    </row>
    <row r="9" spans="2:68" ht="20.100000000000001" customHeight="1" thickBot="1" x14ac:dyDescent="0.25">
      <c r="B9" s="534" t="str">
        <f>GlobBerMedDisc!AN2</f>
        <v/>
      </c>
      <c r="C9" s="534" t="str">
        <f>GlobBerMedDisc!AQ2</f>
        <v/>
      </c>
      <c r="D9" s="678">
        <v>1</v>
      </c>
      <c r="E9" s="781" t="str">
        <f>IF(LEN(GlobBerMedDisc!B2)&gt;20, LEFT(GlobBerMedDisc!B2,20)&amp;"…",IF(LEN(GlobBerMedDisc!B2)&gt;0,GlobBerMedDisc!B2,""))</f>
        <v/>
      </c>
      <c r="F9" s="827" t="str">
        <f>GlobBerMedDisc!AR2</f>
        <v/>
      </c>
      <c r="G9" s="827"/>
      <c r="H9" s="827"/>
      <c r="I9" s="827"/>
      <c r="J9" s="781" t="str">
        <f>GlobBerMedDisc!X2</f>
        <v/>
      </c>
      <c r="K9" s="539" t="str">
        <f>IF(GlobBerMedDisc!C2&gt;1,GlobBerMedDisc!H2,"")</f>
        <v/>
      </c>
      <c r="L9" s="540" t="str">
        <f>IF(GlobBerMedDisc!C2&gt;1,GlobBerMedDisc!F2,"")</f>
        <v/>
      </c>
      <c r="M9" s="507" t="str">
        <f>GlobBerMedDisc!Z2</f>
        <v/>
      </c>
      <c r="N9" s="507" t="str">
        <f>GlobBerMedDisc!AO2</f>
        <v/>
      </c>
      <c r="O9" s="507" t="str">
        <f>IF(AND(GlobBerMedDisc!C2&gt;1,GlobBerMedDisc!P2&gt;1),GlobBerMedDisc!O2,"")</f>
        <v/>
      </c>
      <c r="P9" s="507" t="str">
        <f>IF(AND(GlobBerMedDisc!C2&gt;1,O9&lt;&gt;0,GlobBerMedDisc!P2&gt;1),"ml","")</f>
        <v/>
      </c>
      <c r="Q9" s="507"/>
      <c r="R9" s="507" t="str">
        <f>GlobBerMedDisc!AP2</f>
        <v/>
      </c>
      <c r="S9" s="507" t="str">
        <f>IF(AND(O9&lt;&gt;"",GlobBerMedDisc!R2&gt;0),GlobBerMedDisc!R2&amp;" min","")</f>
        <v/>
      </c>
      <c r="T9" s="507" t="str">
        <f>GlobBerMedDisc!AS2</f>
        <v/>
      </c>
      <c r="U9" s="482"/>
      <c r="V9" s="482"/>
      <c r="W9" s="482"/>
      <c r="X9" s="482"/>
      <c r="Y9" s="482"/>
      <c r="Z9" s="482"/>
    </row>
    <row r="10" spans="2:68" ht="20.100000000000001" customHeight="1" thickTop="1" thickBot="1" x14ac:dyDescent="0.25">
      <c r="B10" s="534" t="str">
        <f>GlobBerMedDisc!AN3</f>
        <v/>
      </c>
      <c r="C10" s="534" t="str">
        <f>GlobBerMedDisc!AQ3</f>
        <v/>
      </c>
      <c r="D10" s="678">
        <v>2</v>
      </c>
      <c r="E10" s="485" t="str">
        <f>IF(LEN(GlobBerMedDisc!B3)&gt;20, LEFT(GlobBerMedDisc!B3,20)&amp;"…",IF(LEN(GlobBerMedDisc!B3)&gt;0,GlobBerMedDisc!B3,""))</f>
        <v/>
      </c>
      <c r="F10" s="826" t="str">
        <f>GlobBerMedDisc!AR3</f>
        <v/>
      </c>
      <c r="G10" s="826"/>
      <c r="H10" s="826"/>
      <c r="I10" s="826"/>
      <c r="J10" s="485" t="str">
        <f>GlobBerMedDisc!X3</f>
        <v/>
      </c>
      <c r="K10" s="486" t="str">
        <f>IF(GlobBerMedDisc!C3&gt;1,GlobBerMedDisc!H3,"")</f>
        <v/>
      </c>
      <c r="L10" s="487" t="str">
        <f>IF(GlobBerMedDisc!C3&gt;1,GlobBerMedDisc!F3,"")</f>
        <v/>
      </c>
      <c r="M10" s="488" t="str">
        <f>GlobBerMedDisc!Z3</f>
        <v/>
      </c>
      <c r="N10" s="488" t="str">
        <f>GlobBerMedDisc!AO3</f>
        <v/>
      </c>
      <c r="O10" s="488" t="str">
        <f>IF(AND(GlobBerMedDisc!C3&gt;1,GlobBerMedDisc!P3&gt;1),GlobBerMedDisc!O3,"")</f>
        <v/>
      </c>
      <c r="P10" s="488" t="str">
        <f>IF(AND(GlobBerMedDisc!C3&gt;1,O10&lt;&gt;0,GlobBerMedDisc!P3&gt;1),"ml","")</f>
        <v/>
      </c>
      <c r="Q10" s="488"/>
      <c r="R10" s="488" t="str">
        <f>GlobBerMedDisc!AP3</f>
        <v/>
      </c>
      <c r="S10" s="488" t="str">
        <f>IF(AND(O10&lt;&gt;"",GlobBerMedDisc!R3&gt;0),GlobBerMedDisc!R3&amp;" min","")</f>
        <v/>
      </c>
      <c r="T10" s="488" t="str">
        <f>GlobBerMedDisc!AS3</f>
        <v/>
      </c>
      <c r="U10" s="482"/>
      <c r="V10" s="482"/>
      <c r="W10" s="482"/>
      <c r="X10" s="482"/>
      <c r="Y10" s="482"/>
      <c r="Z10" s="482"/>
    </row>
    <row r="11" spans="2:68" ht="20.100000000000001" customHeight="1" thickTop="1" thickBot="1" x14ac:dyDescent="0.25">
      <c r="B11" s="534" t="str">
        <f>GlobBerMedDisc!AN4</f>
        <v/>
      </c>
      <c r="C11" s="534" t="str">
        <f>GlobBerMedDisc!AQ4</f>
        <v/>
      </c>
      <c r="D11" s="678">
        <v>3</v>
      </c>
      <c r="E11" s="485" t="str">
        <f>IF(LEN(GlobBerMedDisc!B4)&gt;20, LEFT(GlobBerMedDisc!B4,20)&amp;"…",IF(LEN(GlobBerMedDisc!B4)&gt;0,GlobBerMedDisc!B4,""))</f>
        <v/>
      </c>
      <c r="F11" s="826" t="str">
        <f>GlobBerMedDisc!AR4</f>
        <v/>
      </c>
      <c r="G11" s="826"/>
      <c r="H11" s="826"/>
      <c r="I11" s="826"/>
      <c r="J11" s="485" t="str">
        <f>GlobBerMedDisc!X4</f>
        <v/>
      </c>
      <c r="K11" s="486" t="str">
        <f>IF(GlobBerMedDisc!C4&gt;1,GlobBerMedDisc!H4,"")</f>
        <v/>
      </c>
      <c r="L11" s="487" t="str">
        <f>IF(GlobBerMedDisc!C4&gt;1,GlobBerMedDisc!F4,"")</f>
        <v/>
      </c>
      <c r="M11" s="488" t="str">
        <f>GlobBerMedDisc!Z4</f>
        <v/>
      </c>
      <c r="N11" s="488" t="str">
        <f>GlobBerMedDisc!AO4</f>
        <v/>
      </c>
      <c r="O11" s="488" t="str">
        <f>IF(AND(GlobBerMedDisc!C4&gt;1,GlobBerMedDisc!P4&gt;1),GlobBerMedDisc!O4,"")</f>
        <v/>
      </c>
      <c r="P11" s="488" t="str">
        <f>IF(AND(GlobBerMedDisc!C4&gt;1,O11&lt;&gt;0,GlobBerMedDisc!P4&gt;1),"ml","")</f>
        <v/>
      </c>
      <c r="Q11" s="488"/>
      <c r="R11" s="488" t="str">
        <f>GlobBerMedDisc!AP4</f>
        <v/>
      </c>
      <c r="S11" s="488" t="str">
        <f>IF(AND(O11&lt;&gt;"",GlobBerMedDisc!R4&gt;0),GlobBerMedDisc!R4&amp;" min","")</f>
        <v/>
      </c>
      <c r="T11" s="488" t="str">
        <f>GlobBerMedDisc!AS4</f>
        <v/>
      </c>
      <c r="U11" s="482"/>
      <c r="V11" s="482"/>
      <c r="W11" s="482"/>
      <c r="X11" s="482"/>
      <c r="Y11" s="482"/>
      <c r="Z11" s="482"/>
    </row>
    <row r="12" spans="2:68" ht="20.100000000000001" customHeight="1" thickTop="1" thickBot="1" x14ac:dyDescent="0.25">
      <c r="B12" s="534" t="str">
        <f>GlobBerMedDisc!AN5</f>
        <v/>
      </c>
      <c r="C12" s="534" t="str">
        <f>GlobBerMedDisc!AQ5</f>
        <v/>
      </c>
      <c r="D12" s="678">
        <v>4</v>
      </c>
      <c r="E12" s="485" t="str">
        <f>IF(LEN(GlobBerMedDisc!B5)&gt;20, LEFT(GlobBerMedDisc!B5,20)&amp;"…",IF(LEN(GlobBerMedDisc!B5)&gt;0,GlobBerMedDisc!B5,""))</f>
        <v/>
      </c>
      <c r="F12" s="826" t="str">
        <f>GlobBerMedDisc!AR5</f>
        <v/>
      </c>
      <c r="G12" s="826"/>
      <c r="H12" s="826"/>
      <c r="I12" s="826"/>
      <c r="J12" s="485" t="str">
        <f>GlobBerMedDisc!X5</f>
        <v/>
      </c>
      <c r="K12" s="486" t="str">
        <f>IF(GlobBerMedDisc!C5&gt;1,GlobBerMedDisc!H5,"")</f>
        <v/>
      </c>
      <c r="L12" s="487" t="str">
        <f>IF(GlobBerMedDisc!C5&gt;1,GlobBerMedDisc!F5,"")</f>
        <v/>
      </c>
      <c r="M12" s="488" t="str">
        <f>GlobBerMedDisc!Z5</f>
        <v/>
      </c>
      <c r="N12" s="488" t="str">
        <f>GlobBerMedDisc!AO5</f>
        <v/>
      </c>
      <c r="O12" s="488" t="str">
        <f>IF(AND(GlobBerMedDisc!C5&gt;1,GlobBerMedDisc!P5&gt;1),GlobBerMedDisc!O5,"")</f>
        <v/>
      </c>
      <c r="P12" s="488" t="str">
        <f>IF(AND(GlobBerMedDisc!C5&gt;1,O12&lt;&gt;0,GlobBerMedDisc!P5&gt;1),"ml","")</f>
        <v/>
      </c>
      <c r="Q12" s="488"/>
      <c r="R12" s="488" t="str">
        <f>GlobBerMedDisc!AP5</f>
        <v/>
      </c>
      <c r="S12" s="488" t="str">
        <f>IF(AND(O12&lt;&gt;"",GlobBerMedDisc!R5&gt;0),GlobBerMedDisc!R5&amp;" min","")</f>
        <v/>
      </c>
      <c r="T12" s="488" t="str">
        <f>GlobBerMedDisc!AS5</f>
        <v/>
      </c>
      <c r="U12" s="482"/>
      <c r="V12" s="482"/>
      <c r="W12" s="482"/>
      <c r="X12" s="482"/>
      <c r="Y12" s="482"/>
      <c r="Z12" s="482"/>
    </row>
    <row r="13" spans="2:68" s="483" customFormat="1" ht="20.100000000000001" customHeight="1" thickTop="1" thickBot="1" x14ac:dyDescent="0.25">
      <c r="B13" s="534" t="str">
        <f>GlobBerMedDisc!AN6</f>
        <v/>
      </c>
      <c r="C13" s="534" t="str">
        <f>GlobBerMedDisc!AQ6</f>
        <v/>
      </c>
      <c r="D13" s="678">
        <v>5</v>
      </c>
      <c r="E13" s="485" t="str">
        <f>IF(LEN(GlobBerMedDisc!B6)&gt;20, LEFT(GlobBerMedDisc!B6,20)&amp;"…",IF(LEN(GlobBerMedDisc!B6)&gt;0,GlobBerMedDisc!B6,""))</f>
        <v/>
      </c>
      <c r="F13" s="826" t="str">
        <f>GlobBerMedDisc!AR6</f>
        <v/>
      </c>
      <c r="G13" s="826"/>
      <c r="H13" s="826"/>
      <c r="I13" s="826"/>
      <c r="J13" s="485" t="str">
        <f>GlobBerMedDisc!X6</f>
        <v/>
      </c>
      <c r="K13" s="486" t="str">
        <f>IF(GlobBerMedDisc!C6&gt;1,GlobBerMedDisc!H6,"")</f>
        <v/>
      </c>
      <c r="L13" s="487" t="str">
        <f>IF(GlobBerMedDisc!C6&gt;1,GlobBerMedDisc!F6,"")</f>
        <v/>
      </c>
      <c r="M13" s="488" t="str">
        <f>GlobBerMedDisc!Z6</f>
        <v/>
      </c>
      <c r="N13" s="488" t="str">
        <f>GlobBerMedDisc!AO6</f>
        <v/>
      </c>
      <c r="O13" s="488" t="str">
        <f>IF(AND(GlobBerMedDisc!C6&gt;1,GlobBerMedDisc!P6&gt;1),GlobBerMedDisc!O6,"")</f>
        <v/>
      </c>
      <c r="P13" s="488" t="str">
        <f>IF(AND(GlobBerMedDisc!C6&gt;1,O13&lt;&gt;0,GlobBerMedDisc!P6&gt;1),"ml","")</f>
        <v/>
      </c>
      <c r="Q13" s="488"/>
      <c r="R13" s="488" t="str">
        <f>GlobBerMedDisc!AP6</f>
        <v/>
      </c>
      <c r="S13" s="488" t="str">
        <f>IF(AND(O13&lt;&gt;"",GlobBerMedDisc!R6&gt;0),GlobBerMedDisc!R6&amp;" min","")</f>
        <v/>
      </c>
      <c r="T13" s="488" t="str">
        <f>GlobBerMedDisc!AS6</f>
        <v/>
      </c>
      <c r="U13" s="482"/>
      <c r="V13" s="482"/>
      <c r="W13" s="482"/>
      <c r="X13" s="482"/>
      <c r="Y13" s="482"/>
      <c r="Z13" s="482"/>
      <c r="AA13" s="377"/>
      <c r="AB13" s="377"/>
      <c r="AC13" s="377"/>
      <c r="AD13" s="377"/>
      <c r="AE13" s="377"/>
      <c r="AF13" s="377"/>
      <c r="AG13" s="377"/>
      <c r="AH13" s="377"/>
      <c r="AI13" s="377"/>
      <c r="AJ13" s="377"/>
      <c r="AK13" s="377"/>
      <c r="AL13" s="377"/>
      <c r="AM13" s="377"/>
      <c r="AN13" s="377"/>
      <c r="AO13" s="377"/>
      <c r="AP13" s="377"/>
      <c r="AQ13" s="377"/>
      <c r="AR13" s="377"/>
      <c r="AS13" s="377"/>
      <c r="AT13" s="377"/>
      <c r="AU13" s="377"/>
      <c r="AV13" s="377"/>
      <c r="AW13" s="377"/>
      <c r="AX13" s="377"/>
      <c r="AY13" s="377"/>
      <c r="AZ13" s="377"/>
      <c r="BA13" s="377"/>
      <c r="BB13" s="377"/>
      <c r="BC13" s="377"/>
      <c r="BD13" s="377"/>
      <c r="BE13" s="377"/>
      <c r="BF13" s="377"/>
      <c r="BG13" s="377"/>
      <c r="BH13" s="377"/>
      <c r="BI13" s="377"/>
      <c r="BJ13" s="377"/>
      <c r="BK13" s="377"/>
      <c r="BL13" s="377"/>
      <c r="BM13" s="377"/>
      <c r="BN13" s="377"/>
      <c r="BO13" s="377"/>
      <c r="BP13" s="377"/>
    </row>
    <row r="14" spans="2:68" ht="20.100000000000001" customHeight="1" thickTop="1" thickBot="1" x14ac:dyDescent="0.25">
      <c r="B14" s="534" t="str">
        <f>GlobBerMedDisc!AN7</f>
        <v/>
      </c>
      <c r="C14" s="534" t="str">
        <f>GlobBerMedDisc!AQ7</f>
        <v/>
      </c>
      <c r="D14" s="678">
        <v>6</v>
      </c>
      <c r="E14" s="485" t="str">
        <f>IF(LEN(GlobBerMedDisc!B7)&gt;20, LEFT(GlobBerMedDisc!B7,20)&amp;"…",IF(LEN(GlobBerMedDisc!B7)&gt;0,GlobBerMedDisc!B7,""))</f>
        <v/>
      </c>
      <c r="F14" s="826" t="str">
        <f>GlobBerMedDisc!AR7</f>
        <v/>
      </c>
      <c r="G14" s="826"/>
      <c r="H14" s="826"/>
      <c r="I14" s="826"/>
      <c r="J14" s="485" t="str">
        <f>GlobBerMedDisc!X7</f>
        <v/>
      </c>
      <c r="K14" s="486" t="str">
        <f>IF(GlobBerMedDisc!C7&gt;1,GlobBerMedDisc!H7,"")</f>
        <v/>
      </c>
      <c r="L14" s="487" t="str">
        <f>IF(GlobBerMedDisc!C7&gt;1,GlobBerMedDisc!F7,"")</f>
        <v/>
      </c>
      <c r="M14" s="488" t="str">
        <f>GlobBerMedDisc!Z7</f>
        <v/>
      </c>
      <c r="N14" s="488" t="str">
        <f>GlobBerMedDisc!AO7</f>
        <v/>
      </c>
      <c r="O14" s="488" t="str">
        <f>IF(AND(GlobBerMedDisc!C7&gt;1,GlobBerMedDisc!P7&gt;1),GlobBerMedDisc!O7,"")</f>
        <v/>
      </c>
      <c r="P14" s="488" t="str">
        <f>IF(AND(GlobBerMedDisc!C7&gt;1,O14&lt;&gt;0,GlobBerMedDisc!P7&gt;1),"ml","")</f>
        <v/>
      </c>
      <c r="Q14" s="488"/>
      <c r="R14" s="488" t="str">
        <f>GlobBerMedDisc!AP7</f>
        <v/>
      </c>
      <c r="S14" s="488" t="str">
        <f>IF(AND(O14&lt;&gt;"",GlobBerMedDisc!R7&gt;0),GlobBerMedDisc!R7&amp;" min","")</f>
        <v/>
      </c>
      <c r="T14" s="488" t="str">
        <f>GlobBerMedDisc!AS7</f>
        <v/>
      </c>
      <c r="U14" s="482"/>
      <c r="V14" s="482"/>
      <c r="W14" s="482"/>
      <c r="X14" s="482"/>
      <c r="Y14" s="482"/>
      <c r="Z14" s="482"/>
    </row>
    <row r="15" spans="2:68" ht="20.100000000000001" customHeight="1" thickTop="1" thickBot="1" x14ac:dyDescent="0.25">
      <c r="B15" s="534" t="str">
        <f>GlobBerMedDisc!AN8</f>
        <v/>
      </c>
      <c r="C15" s="534" t="str">
        <f>GlobBerMedDisc!AQ8</f>
        <v/>
      </c>
      <c r="D15" s="678">
        <v>7</v>
      </c>
      <c r="E15" s="485" t="str">
        <f>IF(LEN(GlobBerMedDisc!B8)&gt;20, LEFT(GlobBerMedDisc!B8,20)&amp;"…",IF(LEN(GlobBerMedDisc!B8)&gt;0,GlobBerMedDisc!B8,""))</f>
        <v/>
      </c>
      <c r="F15" s="826" t="str">
        <f>GlobBerMedDisc!AR8</f>
        <v/>
      </c>
      <c r="G15" s="826"/>
      <c r="H15" s="826"/>
      <c r="I15" s="826"/>
      <c r="J15" s="485" t="str">
        <f>GlobBerMedDisc!X8</f>
        <v/>
      </c>
      <c r="K15" s="486" t="str">
        <f>IF(GlobBerMedDisc!C8&gt;1,GlobBerMedDisc!H8,"")</f>
        <v/>
      </c>
      <c r="L15" s="487" t="str">
        <f>IF(GlobBerMedDisc!C8&gt;1,GlobBerMedDisc!F8,"")</f>
        <v/>
      </c>
      <c r="M15" s="488" t="str">
        <f>GlobBerMedDisc!Z8</f>
        <v/>
      </c>
      <c r="N15" s="488" t="str">
        <f>GlobBerMedDisc!AO8</f>
        <v/>
      </c>
      <c r="O15" s="488" t="str">
        <f>IF(AND(GlobBerMedDisc!C8&gt;1,GlobBerMedDisc!P8&gt;1),GlobBerMedDisc!O8,"")</f>
        <v/>
      </c>
      <c r="P15" s="488" t="str">
        <f>IF(AND(GlobBerMedDisc!C8&gt;1,O15&lt;&gt;0,GlobBerMedDisc!P8&gt;1),"ml","")</f>
        <v/>
      </c>
      <c r="Q15" s="488"/>
      <c r="R15" s="488" t="str">
        <f>GlobBerMedDisc!AP8</f>
        <v/>
      </c>
      <c r="S15" s="488" t="str">
        <f>IF(AND(O15&lt;&gt;"",GlobBerMedDisc!R8&gt;0),GlobBerMedDisc!R8&amp;" min","")</f>
        <v/>
      </c>
      <c r="T15" s="488" t="str">
        <f>GlobBerMedDisc!AS8</f>
        <v/>
      </c>
      <c r="U15" s="482"/>
      <c r="V15" s="482"/>
      <c r="W15" s="482"/>
      <c r="X15" s="482"/>
      <c r="Y15" s="482"/>
      <c r="Z15" s="482"/>
    </row>
    <row r="16" spans="2:68" ht="20.100000000000001" customHeight="1" thickTop="1" thickBot="1" x14ac:dyDescent="0.25">
      <c r="B16" s="534" t="str">
        <f>GlobBerMedDisc!AN9</f>
        <v/>
      </c>
      <c r="C16" s="534" t="str">
        <f>GlobBerMedDisc!AQ9</f>
        <v/>
      </c>
      <c r="D16" s="678">
        <v>8</v>
      </c>
      <c r="E16" s="485" t="str">
        <f>IF(LEN(GlobBerMedDisc!B9)&gt;20, LEFT(GlobBerMedDisc!B9,20)&amp;"…",IF(LEN(GlobBerMedDisc!B9)&gt;0,GlobBerMedDisc!B9,""))</f>
        <v/>
      </c>
      <c r="F16" s="826" t="str">
        <f>GlobBerMedDisc!AR9</f>
        <v/>
      </c>
      <c r="G16" s="826"/>
      <c r="H16" s="826"/>
      <c r="I16" s="826"/>
      <c r="J16" s="485" t="str">
        <f>GlobBerMedDisc!X9</f>
        <v/>
      </c>
      <c r="K16" s="486" t="str">
        <f>IF(GlobBerMedDisc!C9&gt;1,GlobBerMedDisc!H9,"")</f>
        <v/>
      </c>
      <c r="L16" s="487" t="str">
        <f>IF(GlobBerMedDisc!C9&gt;1,GlobBerMedDisc!F9,"")</f>
        <v/>
      </c>
      <c r="M16" s="488" t="str">
        <f>GlobBerMedDisc!Z9</f>
        <v/>
      </c>
      <c r="N16" s="488" t="str">
        <f>GlobBerMedDisc!AO9</f>
        <v/>
      </c>
      <c r="O16" s="488" t="str">
        <f>IF(AND(GlobBerMedDisc!C9&gt;1,GlobBerMedDisc!P9&gt;1),GlobBerMedDisc!O9,"")</f>
        <v/>
      </c>
      <c r="P16" s="488" t="str">
        <f>IF(AND(GlobBerMedDisc!C9&gt;1,O16&lt;&gt;0,GlobBerMedDisc!P9&gt;1),"ml","")</f>
        <v/>
      </c>
      <c r="Q16" s="488"/>
      <c r="R16" s="488" t="str">
        <f>GlobBerMedDisc!AP9</f>
        <v/>
      </c>
      <c r="S16" s="488" t="str">
        <f>IF(AND(O16&lt;&gt;"",GlobBerMedDisc!R9&gt;0),GlobBerMedDisc!R9&amp;" min","")</f>
        <v/>
      </c>
      <c r="T16" s="488" t="str">
        <f>GlobBerMedDisc!AS9</f>
        <v/>
      </c>
      <c r="U16" s="482"/>
      <c r="V16" s="482"/>
      <c r="W16" s="482"/>
      <c r="X16" s="482"/>
      <c r="Y16" s="482"/>
      <c r="Z16" s="482"/>
    </row>
    <row r="17" spans="2:26" ht="20.100000000000001" customHeight="1" thickTop="1" thickBot="1" x14ac:dyDescent="0.25">
      <c r="B17" s="534" t="str">
        <f>GlobBerMedDisc!AN10</f>
        <v/>
      </c>
      <c r="C17" s="534" t="str">
        <f>GlobBerMedDisc!AQ10</f>
        <v/>
      </c>
      <c r="D17" s="678">
        <v>9</v>
      </c>
      <c r="E17" s="485" t="str">
        <f>IF(LEN(GlobBerMedDisc!B10)&gt;20, LEFT(GlobBerMedDisc!B10,20)&amp;"…",IF(LEN(GlobBerMedDisc!B10)&gt;0,GlobBerMedDisc!B10,""))</f>
        <v/>
      </c>
      <c r="F17" s="826" t="str">
        <f>GlobBerMedDisc!AR10</f>
        <v/>
      </c>
      <c r="G17" s="826"/>
      <c r="H17" s="826"/>
      <c r="I17" s="826"/>
      <c r="J17" s="485" t="str">
        <f>GlobBerMedDisc!X10</f>
        <v/>
      </c>
      <c r="K17" s="486" t="str">
        <f>IF(GlobBerMedDisc!C10&gt;1,GlobBerMedDisc!H10,"")</f>
        <v/>
      </c>
      <c r="L17" s="487" t="str">
        <f>IF(GlobBerMedDisc!C10&gt;1,GlobBerMedDisc!F10,"")</f>
        <v/>
      </c>
      <c r="M17" s="488" t="str">
        <f>GlobBerMedDisc!Z10</f>
        <v/>
      </c>
      <c r="N17" s="488" t="str">
        <f>GlobBerMedDisc!AO10</f>
        <v/>
      </c>
      <c r="O17" s="488" t="str">
        <f>IF(AND(GlobBerMedDisc!C10&gt;1,GlobBerMedDisc!P10&gt;1),GlobBerMedDisc!O10,"")</f>
        <v/>
      </c>
      <c r="P17" s="488" t="str">
        <f>IF(AND(GlobBerMedDisc!C10&gt;1,O17&lt;&gt;0,GlobBerMedDisc!P10&gt;1),"ml","")</f>
        <v/>
      </c>
      <c r="Q17" s="488"/>
      <c r="R17" s="488" t="str">
        <f>GlobBerMedDisc!AP10</f>
        <v/>
      </c>
      <c r="S17" s="488" t="str">
        <f>IF(AND(O17&lt;&gt;"",GlobBerMedDisc!R10&gt;0),GlobBerMedDisc!R10&amp;" min","")</f>
        <v/>
      </c>
      <c r="T17" s="488" t="str">
        <f>GlobBerMedDisc!AS10</f>
        <v/>
      </c>
      <c r="U17" s="482"/>
      <c r="V17" s="482"/>
      <c r="W17" s="482"/>
      <c r="X17" s="482"/>
      <c r="Y17" s="482"/>
      <c r="Z17" s="482"/>
    </row>
    <row r="18" spans="2:26" ht="20.100000000000001" customHeight="1" thickTop="1" thickBot="1" x14ac:dyDescent="0.25">
      <c r="B18" s="534" t="str">
        <f>GlobBerMedDisc!AN11</f>
        <v/>
      </c>
      <c r="C18" s="534" t="str">
        <f>GlobBerMedDisc!AQ11</f>
        <v/>
      </c>
      <c r="D18" s="678">
        <v>10</v>
      </c>
      <c r="E18" s="485" t="str">
        <f>IF(LEN(GlobBerMedDisc!B11)&gt;20, LEFT(GlobBerMedDisc!B11,20)&amp;"…",IF(LEN(GlobBerMedDisc!B11)&gt;0,GlobBerMedDisc!B11,""))</f>
        <v/>
      </c>
      <c r="F18" s="826" t="str">
        <f>GlobBerMedDisc!AR11</f>
        <v/>
      </c>
      <c r="G18" s="826"/>
      <c r="H18" s="826"/>
      <c r="I18" s="826"/>
      <c r="J18" s="485" t="str">
        <f>GlobBerMedDisc!X11</f>
        <v/>
      </c>
      <c r="K18" s="486" t="str">
        <f>IF(GlobBerMedDisc!C11&gt;1,GlobBerMedDisc!H11,"")</f>
        <v/>
      </c>
      <c r="L18" s="487" t="str">
        <f>IF(GlobBerMedDisc!C11&gt;1,GlobBerMedDisc!F11,"")</f>
        <v/>
      </c>
      <c r="M18" s="488" t="str">
        <f>GlobBerMedDisc!Z11</f>
        <v/>
      </c>
      <c r="N18" s="488" t="str">
        <f>GlobBerMedDisc!AO11</f>
        <v/>
      </c>
      <c r="O18" s="488" t="str">
        <f>IF(AND(GlobBerMedDisc!C11&gt;1,GlobBerMedDisc!P11&gt;1),GlobBerMedDisc!O11,"")</f>
        <v/>
      </c>
      <c r="P18" s="488" t="str">
        <f>IF(AND(GlobBerMedDisc!C11&gt;1,O18&lt;&gt;0,GlobBerMedDisc!P11&gt;1),"ml","")</f>
        <v/>
      </c>
      <c r="Q18" s="488"/>
      <c r="R18" s="488" t="str">
        <f>GlobBerMedDisc!AP11</f>
        <v/>
      </c>
      <c r="S18" s="488" t="str">
        <f>IF(AND(O18&lt;&gt;"",GlobBerMedDisc!R11&gt;0),GlobBerMedDisc!R11&amp;" min","")</f>
        <v/>
      </c>
      <c r="T18" s="488" t="str">
        <f>GlobBerMedDisc!AS11</f>
        <v/>
      </c>
      <c r="U18" s="482"/>
      <c r="V18" s="482"/>
      <c r="W18" s="482"/>
      <c r="X18" s="482"/>
      <c r="Y18" s="482"/>
      <c r="Z18" s="482"/>
    </row>
    <row r="19" spans="2:26" ht="20.100000000000001" customHeight="1" thickTop="1" thickBot="1" x14ac:dyDescent="0.25">
      <c r="B19" s="534" t="str">
        <f>GlobBerMedDisc!AN12</f>
        <v/>
      </c>
      <c r="C19" s="534" t="str">
        <f>GlobBerMedDisc!AQ12</f>
        <v/>
      </c>
      <c r="D19" s="678">
        <v>11</v>
      </c>
      <c r="E19" s="485" t="str">
        <f>IF(LEN(GlobBerMedDisc!B12)&gt;20, LEFT(GlobBerMedDisc!B12,20)&amp;"…",IF(LEN(GlobBerMedDisc!B12)&gt;0,GlobBerMedDisc!B12,""))</f>
        <v/>
      </c>
      <c r="F19" s="826" t="str">
        <f>GlobBerMedDisc!AR12</f>
        <v/>
      </c>
      <c r="G19" s="826"/>
      <c r="H19" s="826"/>
      <c r="I19" s="826"/>
      <c r="J19" s="485" t="str">
        <f>GlobBerMedDisc!X12</f>
        <v/>
      </c>
      <c r="K19" s="486" t="str">
        <f>IF(GlobBerMedDisc!C12&gt;1,GlobBerMedDisc!H12,"")</f>
        <v/>
      </c>
      <c r="L19" s="487" t="str">
        <f>IF(GlobBerMedDisc!C12&gt;1,GlobBerMedDisc!F12,"")</f>
        <v/>
      </c>
      <c r="M19" s="488" t="str">
        <f>GlobBerMedDisc!Z12</f>
        <v/>
      </c>
      <c r="N19" s="488" t="str">
        <f>GlobBerMedDisc!AO12</f>
        <v/>
      </c>
      <c r="O19" s="488" t="str">
        <f>IF(AND(GlobBerMedDisc!C12&gt;1,GlobBerMedDisc!P12&gt;1),GlobBerMedDisc!O12,"")</f>
        <v/>
      </c>
      <c r="P19" s="488" t="str">
        <f>IF(AND(GlobBerMedDisc!C12&gt;1,O19&lt;&gt;0,GlobBerMedDisc!P12&gt;1),"ml","")</f>
        <v/>
      </c>
      <c r="Q19" s="488"/>
      <c r="R19" s="488" t="str">
        <f>GlobBerMedDisc!AP12</f>
        <v/>
      </c>
      <c r="S19" s="488" t="str">
        <f>IF(AND(O19&lt;&gt;"",GlobBerMedDisc!R12&gt;0),GlobBerMedDisc!R12&amp;" min","")</f>
        <v/>
      </c>
      <c r="T19" s="488" t="str">
        <f>GlobBerMedDisc!AS12</f>
        <v/>
      </c>
      <c r="U19" s="482"/>
      <c r="V19" s="482"/>
      <c r="W19" s="482"/>
      <c r="X19" s="482"/>
      <c r="Y19" s="482"/>
      <c r="Z19" s="482"/>
    </row>
    <row r="20" spans="2:26" ht="20.100000000000001" customHeight="1" thickTop="1" thickBot="1" x14ac:dyDescent="0.25">
      <c r="B20" s="534" t="str">
        <f>GlobBerMedDisc!AN13</f>
        <v/>
      </c>
      <c r="C20" s="534" t="str">
        <f>GlobBerMedDisc!AQ13</f>
        <v/>
      </c>
      <c r="D20" s="678">
        <v>12</v>
      </c>
      <c r="E20" s="485" t="str">
        <f>IF(LEN(GlobBerMedDisc!B13)&gt;20, LEFT(GlobBerMedDisc!B13,20)&amp;"…",IF(LEN(GlobBerMedDisc!B13)&gt;0,GlobBerMedDisc!B13,""))</f>
        <v/>
      </c>
      <c r="F20" s="826" t="str">
        <f>GlobBerMedDisc!AR13</f>
        <v/>
      </c>
      <c r="G20" s="826"/>
      <c r="H20" s="826"/>
      <c r="I20" s="826"/>
      <c r="J20" s="485" t="str">
        <f>GlobBerMedDisc!X13</f>
        <v/>
      </c>
      <c r="K20" s="486" t="str">
        <f>IF(GlobBerMedDisc!C13&gt;1,GlobBerMedDisc!H13,"")</f>
        <v/>
      </c>
      <c r="L20" s="487" t="str">
        <f>IF(GlobBerMedDisc!C13&gt;1,GlobBerMedDisc!F13,"")</f>
        <v/>
      </c>
      <c r="M20" s="488" t="str">
        <f>GlobBerMedDisc!Z13</f>
        <v/>
      </c>
      <c r="N20" s="488" t="str">
        <f>GlobBerMedDisc!AO13</f>
        <v/>
      </c>
      <c r="O20" s="488" t="str">
        <f>IF(AND(GlobBerMedDisc!C13&gt;1,GlobBerMedDisc!P13&gt;1),GlobBerMedDisc!O13,"")</f>
        <v/>
      </c>
      <c r="P20" s="488" t="str">
        <f>IF(AND(GlobBerMedDisc!C13&gt;1,O20&lt;&gt;0,GlobBerMedDisc!P13&gt;1),"ml","")</f>
        <v/>
      </c>
      <c r="Q20" s="488"/>
      <c r="R20" s="488" t="str">
        <f>GlobBerMedDisc!AP13</f>
        <v/>
      </c>
      <c r="S20" s="488" t="str">
        <f>IF(AND(O20&lt;&gt;"",GlobBerMedDisc!R13&gt;0),GlobBerMedDisc!R13&amp;" min","")</f>
        <v/>
      </c>
      <c r="T20" s="488" t="str">
        <f>GlobBerMedDisc!AS13</f>
        <v/>
      </c>
      <c r="U20" s="482"/>
      <c r="V20" s="482"/>
      <c r="W20" s="482"/>
      <c r="X20" s="482"/>
      <c r="Y20" s="482"/>
      <c r="Z20" s="482"/>
    </row>
    <row r="21" spans="2:26" ht="20.100000000000001" customHeight="1" thickTop="1" thickBot="1" x14ac:dyDescent="0.25">
      <c r="B21" s="534" t="str">
        <f>GlobBerMedDisc!AN14</f>
        <v/>
      </c>
      <c r="C21" s="534" t="str">
        <f>GlobBerMedDisc!AQ14</f>
        <v/>
      </c>
      <c r="D21" s="678">
        <v>13</v>
      </c>
      <c r="E21" s="485" t="str">
        <f>IF(LEN(GlobBerMedDisc!B14)&gt;20, LEFT(GlobBerMedDisc!B14,20)&amp;"…",IF(LEN(GlobBerMedDisc!B14)&gt;0,GlobBerMedDisc!B14,""))</f>
        <v/>
      </c>
      <c r="F21" s="826" t="str">
        <f>GlobBerMedDisc!AR14</f>
        <v/>
      </c>
      <c r="G21" s="826"/>
      <c r="H21" s="826"/>
      <c r="I21" s="826"/>
      <c r="J21" s="485" t="str">
        <f>GlobBerMedDisc!X14</f>
        <v/>
      </c>
      <c r="K21" s="486" t="str">
        <f>IF(GlobBerMedDisc!C14&gt;1,GlobBerMedDisc!H14,"")</f>
        <v/>
      </c>
      <c r="L21" s="487" t="str">
        <f>IF(GlobBerMedDisc!C14&gt;1,GlobBerMedDisc!F14,"")</f>
        <v/>
      </c>
      <c r="M21" s="488" t="str">
        <f>GlobBerMedDisc!Z14</f>
        <v/>
      </c>
      <c r="N21" s="488" t="str">
        <f>GlobBerMedDisc!AO14</f>
        <v/>
      </c>
      <c r="O21" s="488" t="str">
        <f>IF(AND(GlobBerMedDisc!C14&gt;1,GlobBerMedDisc!P14&gt;1),GlobBerMedDisc!O14,"")</f>
        <v/>
      </c>
      <c r="P21" s="488" t="str">
        <f>IF(AND(GlobBerMedDisc!C14&gt;1,O21&lt;&gt;0,GlobBerMedDisc!P14&gt;1),"ml","")</f>
        <v/>
      </c>
      <c r="Q21" s="488"/>
      <c r="R21" s="488" t="str">
        <f>GlobBerMedDisc!AP14</f>
        <v/>
      </c>
      <c r="S21" s="488" t="str">
        <f>IF(AND(O21&lt;&gt;"",GlobBerMedDisc!R14&gt;0),GlobBerMedDisc!R14&amp;" min","")</f>
        <v/>
      </c>
      <c r="T21" s="488" t="str">
        <f>GlobBerMedDisc!AS14</f>
        <v/>
      </c>
      <c r="U21" s="482"/>
      <c r="V21" s="482"/>
      <c r="W21" s="482"/>
      <c r="X21" s="482"/>
      <c r="Y21" s="482"/>
      <c r="Z21" s="482"/>
    </row>
    <row r="22" spans="2:26" ht="20.100000000000001" customHeight="1" thickTop="1" thickBot="1" x14ac:dyDescent="0.25">
      <c r="B22" s="534" t="str">
        <f>GlobBerMedDisc!AN15</f>
        <v/>
      </c>
      <c r="C22" s="534" t="str">
        <f>GlobBerMedDisc!AQ15</f>
        <v/>
      </c>
      <c r="D22" s="678">
        <v>14</v>
      </c>
      <c r="E22" s="485" t="str">
        <f>IF(LEN(GlobBerMedDisc!B15)&gt;20, LEFT(GlobBerMedDisc!B15,20)&amp;"…",IF(LEN(GlobBerMedDisc!B15)&gt;0,GlobBerMedDisc!B15,""))</f>
        <v/>
      </c>
      <c r="F22" s="826" t="str">
        <f>GlobBerMedDisc!AR15</f>
        <v/>
      </c>
      <c r="G22" s="826"/>
      <c r="H22" s="826"/>
      <c r="I22" s="826"/>
      <c r="J22" s="485" t="str">
        <f>GlobBerMedDisc!X15</f>
        <v/>
      </c>
      <c r="K22" s="486" t="str">
        <f>IF(GlobBerMedDisc!C15&gt;1,GlobBerMedDisc!H15,"")</f>
        <v/>
      </c>
      <c r="L22" s="487" t="str">
        <f>IF(GlobBerMedDisc!C15&gt;1,GlobBerMedDisc!F15,"")</f>
        <v/>
      </c>
      <c r="M22" s="488" t="str">
        <f>GlobBerMedDisc!Z15</f>
        <v/>
      </c>
      <c r="N22" s="488" t="str">
        <f>GlobBerMedDisc!AO15</f>
        <v/>
      </c>
      <c r="O22" s="488" t="str">
        <f>IF(AND(GlobBerMedDisc!C15&gt;1,GlobBerMedDisc!P15&gt;1),GlobBerMedDisc!O15,"")</f>
        <v/>
      </c>
      <c r="P22" s="488" t="str">
        <f>IF(AND(GlobBerMedDisc!C15&gt;1,O22&lt;&gt;0,GlobBerMedDisc!P15&gt;1),"ml","")</f>
        <v/>
      </c>
      <c r="Q22" s="488"/>
      <c r="R22" s="488" t="str">
        <f>GlobBerMedDisc!AP15</f>
        <v/>
      </c>
      <c r="S22" s="488" t="str">
        <f>IF(AND(O22&lt;&gt;"",GlobBerMedDisc!R15&gt;0),GlobBerMedDisc!R15&amp;" min","")</f>
        <v/>
      </c>
      <c r="T22" s="488" t="str">
        <f>GlobBerMedDisc!AS15</f>
        <v/>
      </c>
      <c r="U22" s="482"/>
      <c r="V22" s="482"/>
      <c r="W22" s="482"/>
      <c r="X22" s="482"/>
      <c r="Y22" s="482"/>
      <c r="Z22" s="482"/>
    </row>
    <row r="23" spans="2:26" ht="20.100000000000001" customHeight="1" thickTop="1" thickBot="1" x14ac:dyDescent="0.25">
      <c r="B23" s="534" t="str">
        <f>GlobBerMedDisc!AN16</f>
        <v/>
      </c>
      <c r="C23" s="534" t="str">
        <f>GlobBerMedDisc!AQ16</f>
        <v/>
      </c>
      <c r="D23" s="678">
        <v>15</v>
      </c>
      <c r="E23" s="485" t="str">
        <f>IF(LEN(GlobBerMedDisc!B16)&gt;20, LEFT(GlobBerMedDisc!B16,20)&amp;"…",IF(LEN(GlobBerMedDisc!B16)&gt;0,GlobBerMedDisc!B16,""))</f>
        <v/>
      </c>
      <c r="F23" s="826" t="str">
        <f>GlobBerMedDisc!AR16</f>
        <v/>
      </c>
      <c r="G23" s="826"/>
      <c r="H23" s="826"/>
      <c r="I23" s="826"/>
      <c r="J23" s="485" t="str">
        <f>GlobBerMedDisc!X16</f>
        <v/>
      </c>
      <c r="K23" s="486" t="str">
        <f>IF(GlobBerMedDisc!C16&gt;1,GlobBerMedDisc!H16,"")</f>
        <v/>
      </c>
      <c r="L23" s="487" t="str">
        <f>IF(GlobBerMedDisc!C16&gt;1,GlobBerMedDisc!F16,"")</f>
        <v/>
      </c>
      <c r="M23" s="488" t="str">
        <f>GlobBerMedDisc!Z16</f>
        <v/>
      </c>
      <c r="N23" s="488" t="str">
        <f>GlobBerMedDisc!AO16</f>
        <v/>
      </c>
      <c r="O23" s="488" t="str">
        <f>IF(AND(GlobBerMedDisc!C16&gt;1,GlobBerMedDisc!P16&gt;1),GlobBerMedDisc!O16,"")</f>
        <v/>
      </c>
      <c r="P23" s="488" t="str">
        <f>IF(AND(GlobBerMedDisc!C16&gt;1,O23&lt;&gt;0,GlobBerMedDisc!P16&gt;1),"ml","")</f>
        <v/>
      </c>
      <c r="Q23" s="488"/>
      <c r="R23" s="488" t="str">
        <f>GlobBerMedDisc!AP16</f>
        <v/>
      </c>
      <c r="S23" s="488" t="str">
        <f>IF(AND(O23&lt;&gt;"",GlobBerMedDisc!R16&gt;0),GlobBerMedDisc!R16&amp;" min","")</f>
        <v/>
      </c>
      <c r="T23" s="488" t="str">
        <f>GlobBerMedDisc!AS16</f>
        <v/>
      </c>
      <c r="U23" s="482"/>
      <c r="V23" s="482"/>
      <c r="W23" s="482"/>
      <c r="X23" s="482"/>
      <c r="Y23" s="482"/>
      <c r="Z23" s="482"/>
    </row>
    <row r="24" spans="2:26" ht="20.100000000000001" customHeight="1" thickTop="1" thickBot="1" x14ac:dyDescent="0.25">
      <c r="B24" s="534" t="str">
        <f>GlobBerMedDisc!AN17</f>
        <v/>
      </c>
      <c r="C24" s="534" t="str">
        <f>GlobBerMedDisc!AQ17</f>
        <v/>
      </c>
      <c r="D24" s="678">
        <v>16</v>
      </c>
      <c r="E24" s="485" t="str">
        <f>IF(LEN(GlobBerMedDisc!B17)&gt;20, LEFT(GlobBerMedDisc!B17,20)&amp;"…",IF(LEN(GlobBerMedDisc!B17)&gt;0,GlobBerMedDisc!B17,""))</f>
        <v/>
      </c>
      <c r="F24" s="826" t="str">
        <f>GlobBerMedDisc!AR17</f>
        <v/>
      </c>
      <c r="G24" s="826"/>
      <c r="H24" s="826"/>
      <c r="I24" s="826"/>
      <c r="J24" s="485" t="str">
        <f>GlobBerMedDisc!X17</f>
        <v/>
      </c>
      <c r="K24" s="486" t="str">
        <f>IF(GlobBerMedDisc!C17&gt;1,GlobBerMedDisc!H17,"")</f>
        <v/>
      </c>
      <c r="L24" s="487" t="str">
        <f>IF(GlobBerMedDisc!C17&gt;1,GlobBerMedDisc!F17,"")</f>
        <v/>
      </c>
      <c r="M24" s="488" t="str">
        <f>GlobBerMedDisc!Z17</f>
        <v/>
      </c>
      <c r="N24" s="488" t="str">
        <f>GlobBerMedDisc!AO17</f>
        <v/>
      </c>
      <c r="O24" s="488" t="str">
        <f>IF(AND(GlobBerMedDisc!C17&gt;1,GlobBerMedDisc!P17&gt;1),GlobBerMedDisc!O17,"")</f>
        <v/>
      </c>
      <c r="P24" s="488" t="str">
        <f>IF(AND(GlobBerMedDisc!C17&gt;1,O24&lt;&gt;0,GlobBerMedDisc!P17&gt;1),"ml","")</f>
        <v/>
      </c>
      <c r="Q24" s="488"/>
      <c r="R24" s="488" t="str">
        <f>GlobBerMedDisc!AP17</f>
        <v/>
      </c>
      <c r="S24" s="488" t="str">
        <f>IF(AND(O24&lt;&gt;"",GlobBerMedDisc!R17&gt;0),GlobBerMedDisc!R17&amp;" min","")</f>
        <v/>
      </c>
      <c r="T24" s="488" t="str">
        <f>GlobBerMedDisc!AS17</f>
        <v/>
      </c>
      <c r="U24" s="482"/>
      <c r="V24" s="482"/>
      <c r="W24" s="482"/>
      <c r="X24" s="482"/>
      <c r="Y24" s="482"/>
      <c r="Z24" s="482"/>
    </row>
    <row r="25" spans="2:26" ht="20.100000000000001" customHeight="1" thickTop="1" thickBot="1" x14ac:dyDescent="0.25">
      <c r="B25" s="534" t="str">
        <f>GlobBerMedDisc!AN18</f>
        <v/>
      </c>
      <c r="C25" s="534" t="str">
        <f>GlobBerMedDisc!AQ18</f>
        <v/>
      </c>
      <c r="D25" s="678">
        <v>17</v>
      </c>
      <c r="E25" s="485" t="str">
        <f>IF(LEN(GlobBerMedDisc!B18)&gt;20, LEFT(GlobBerMedDisc!B18,20)&amp;"…",IF(LEN(GlobBerMedDisc!B18)&gt;0,GlobBerMedDisc!B18,""))</f>
        <v/>
      </c>
      <c r="F25" s="826" t="str">
        <f>GlobBerMedDisc!AR18</f>
        <v/>
      </c>
      <c r="G25" s="826"/>
      <c r="H25" s="826"/>
      <c r="I25" s="826"/>
      <c r="J25" s="485" t="str">
        <f>GlobBerMedDisc!X18</f>
        <v/>
      </c>
      <c r="K25" s="486" t="str">
        <f>IF(GlobBerMedDisc!C18&gt;1,GlobBerMedDisc!H18,"")</f>
        <v/>
      </c>
      <c r="L25" s="487" t="str">
        <f>IF(GlobBerMedDisc!C18&gt;1,GlobBerMedDisc!F18,"")</f>
        <v/>
      </c>
      <c r="M25" s="488" t="str">
        <f>GlobBerMedDisc!Z18</f>
        <v/>
      </c>
      <c r="N25" s="488" t="str">
        <f>GlobBerMedDisc!AO18</f>
        <v/>
      </c>
      <c r="O25" s="488" t="str">
        <f>IF(AND(GlobBerMedDisc!C18&gt;1,GlobBerMedDisc!P18&gt;1),GlobBerMedDisc!O18,"")</f>
        <v/>
      </c>
      <c r="P25" s="488" t="str">
        <f>IF(AND(GlobBerMedDisc!C18&gt;1,O25&lt;&gt;0,GlobBerMedDisc!P18&gt;1),"ml","")</f>
        <v/>
      </c>
      <c r="Q25" s="488"/>
      <c r="R25" s="488" t="str">
        <f>GlobBerMedDisc!AP18</f>
        <v/>
      </c>
      <c r="S25" s="488" t="str">
        <f>IF(AND(O25&lt;&gt;"",GlobBerMedDisc!R18&gt;0),GlobBerMedDisc!R18&amp;" min","")</f>
        <v/>
      </c>
      <c r="T25" s="488" t="str">
        <f>GlobBerMedDisc!AS18</f>
        <v/>
      </c>
      <c r="U25" s="482"/>
      <c r="V25" s="482"/>
      <c r="W25" s="482"/>
      <c r="X25" s="482"/>
      <c r="Y25" s="482"/>
      <c r="Z25" s="482"/>
    </row>
    <row r="26" spans="2:26" ht="20.100000000000001" customHeight="1" thickTop="1" thickBot="1" x14ac:dyDescent="0.25">
      <c r="B26" s="534" t="str">
        <f>GlobBerMedDisc!AN19</f>
        <v/>
      </c>
      <c r="C26" s="534" t="str">
        <f>GlobBerMedDisc!AQ19</f>
        <v/>
      </c>
      <c r="D26" s="678">
        <v>18</v>
      </c>
      <c r="E26" s="485" t="str">
        <f>IF(LEN(GlobBerMedDisc!B19)&gt;20, LEFT(GlobBerMedDisc!B19,20)&amp;"…",IF(LEN(GlobBerMedDisc!B19)&gt;0,GlobBerMedDisc!B19,""))</f>
        <v/>
      </c>
      <c r="F26" s="826" t="str">
        <f>GlobBerMedDisc!AR19</f>
        <v/>
      </c>
      <c r="G26" s="826"/>
      <c r="H26" s="826"/>
      <c r="I26" s="826"/>
      <c r="J26" s="485" t="str">
        <f>GlobBerMedDisc!X19</f>
        <v/>
      </c>
      <c r="K26" s="486" t="str">
        <f>IF(GlobBerMedDisc!C19&gt;1,GlobBerMedDisc!H19,"")</f>
        <v/>
      </c>
      <c r="L26" s="487" t="str">
        <f>IF(GlobBerMedDisc!C19&gt;1,GlobBerMedDisc!F19,"")</f>
        <v/>
      </c>
      <c r="M26" s="488" t="str">
        <f>GlobBerMedDisc!Z19</f>
        <v/>
      </c>
      <c r="N26" s="488" t="str">
        <f>GlobBerMedDisc!AO19</f>
        <v/>
      </c>
      <c r="O26" s="488" t="str">
        <f>IF(AND(GlobBerMedDisc!C19&gt;1,GlobBerMedDisc!P19&gt;1),GlobBerMedDisc!O19,"")</f>
        <v/>
      </c>
      <c r="P26" s="488" t="str">
        <f>IF(AND(GlobBerMedDisc!C19&gt;1,O26&lt;&gt;0,GlobBerMedDisc!P19&gt;1),"ml","")</f>
        <v/>
      </c>
      <c r="Q26" s="488"/>
      <c r="R26" s="488" t="str">
        <f>GlobBerMedDisc!AP19</f>
        <v/>
      </c>
      <c r="S26" s="488" t="str">
        <f>IF(AND(O26&lt;&gt;"",GlobBerMedDisc!R19&gt;0),GlobBerMedDisc!R19&amp;" min","")</f>
        <v/>
      </c>
      <c r="T26" s="488" t="str">
        <f>GlobBerMedDisc!AS19</f>
        <v/>
      </c>
      <c r="U26" s="482"/>
      <c r="V26" s="482"/>
      <c r="W26" s="482"/>
      <c r="X26" s="482"/>
      <c r="Y26" s="482"/>
      <c r="Z26" s="482"/>
    </row>
    <row r="27" spans="2:26" ht="20.100000000000001" customHeight="1" thickTop="1" thickBot="1" x14ac:dyDescent="0.25">
      <c r="B27" s="534" t="str">
        <f>GlobBerMedDisc!AN20</f>
        <v/>
      </c>
      <c r="C27" s="534" t="str">
        <f>GlobBerMedDisc!AQ20</f>
        <v/>
      </c>
      <c r="D27" s="678">
        <v>19</v>
      </c>
      <c r="E27" s="485" t="str">
        <f>IF(LEN(GlobBerMedDisc!B20)&gt;20, LEFT(GlobBerMedDisc!B20,20)&amp;"…",IF(LEN(GlobBerMedDisc!B20)&gt;0,GlobBerMedDisc!B20,""))</f>
        <v/>
      </c>
      <c r="F27" s="826" t="str">
        <f>GlobBerMedDisc!AR20</f>
        <v/>
      </c>
      <c r="G27" s="826"/>
      <c r="H27" s="826"/>
      <c r="I27" s="826"/>
      <c r="J27" s="485" t="str">
        <f>GlobBerMedDisc!X20</f>
        <v/>
      </c>
      <c r="K27" s="486" t="str">
        <f>IF(GlobBerMedDisc!C20&gt;1,GlobBerMedDisc!H20,"")</f>
        <v/>
      </c>
      <c r="L27" s="487" t="str">
        <f>IF(GlobBerMedDisc!C20&gt;1,GlobBerMedDisc!F20,"")</f>
        <v/>
      </c>
      <c r="M27" s="488" t="str">
        <f>GlobBerMedDisc!Z20</f>
        <v/>
      </c>
      <c r="N27" s="488" t="str">
        <f>GlobBerMedDisc!AO20</f>
        <v/>
      </c>
      <c r="O27" s="488" t="str">
        <f>IF(AND(GlobBerMedDisc!C20&gt;1,GlobBerMedDisc!P20&gt;1),GlobBerMedDisc!O20,"")</f>
        <v/>
      </c>
      <c r="P27" s="488" t="str">
        <f>IF(AND(GlobBerMedDisc!C20&gt;1,O27&lt;&gt;0,GlobBerMedDisc!P20&gt;1),"ml","")</f>
        <v/>
      </c>
      <c r="Q27" s="488"/>
      <c r="R27" s="488" t="str">
        <f>GlobBerMedDisc!AP20</f>
        <v/>
      </c>
      <c r="S27" s="488" t="str">
        <f>IF(AND(O27&lt;&gt;"",GlobBerMedDisc!R20&gt;0),GlobBerMedDisc!R20&amp;" min","")</f>
        <v/>
      </c>
      <c r="T27" s="488" t="str">
        <f>GlobBerMedDisc!AS20</f>
        <v/>
      </c>
      <c r="U27" s="482"/>
      <c r="V27" s="482"/>
      <c r="W27" s="482"/>
      <c r="X27" s="482"/>
      <c r="Y27" s="482"/>
      <c r="Z27" s="482"/>
    </row>
    <row r="28" spans="2:26" ht="20.100000000000001" customHeight="1" thickTop="1" thickBot="1" x14ac:dyDescent="0.25">
      <c r="B28" s="534" t="str">
        <f>GlobBerMedDisc!AN21</f>
        <v/>
      </c>
      <c r="C28" s="534" t="str">
        <f>GlobBerMedDisc!AQ21</f>
        <v/>
      </c>
      <c r="D28" s="678">
        <v>20</v>
      </c>
      <c r="E28" s="485" t="str">
        <f>IF(LEN(GlobBerMedDisc!B21)&gt;20, LEFT(GlobBerMedDisc!B21,20)&amp;"…",IF(LEN(GlobBerMedDisc!B21)&gt;0,GlobBerMedDisc!B21,""))</f>
        <v/>
      </c>
      <c r="F28" s="826" t="str">
        <f>GlobBerMedDisc!AR21</f>
        <v/>
      </c>
      <c r="G28" s="826"/>
      <c r="H28" s="826"/>
      <c r="I28" s="826"/>
      <c r="J28" s="485" t="str">
        <f>GlobBerMedDisc!X21</f>
        <v/>
      </c>
      <c r="K28" s="486" t="str">
        <f>IF(GlobBerMedDisc!C21&gt;1,GlobBerMedDisc!H21,"")</f>
        <v/>
      </c>
      <c r="L28" s="487" t="str">
        <f>IF(GlobBerMedDisc!C21&gt;1,GlobBerMedDisc!F21,"")</f>
        <v/>
      </c>
      <c r="M28" s="744" t="str">
        <f>GlobBerMedDisc!Z21</f>
        <v/>
      </c>
      <c r="N28" s="488" t="str">
        <f>GlobBerMedDisc!AO21</f>
        <v/>
      </c>
      <c r="O28" s="488" t="str">
        <f>IF(AND(GlobBerMedDisc!C21&gt;1,GlobBerMedDisc!P21&gt;1),GlobBerMedDisc!O21,"")</f>
        <v/>
      </c>
      <c r="P28" s="488" t="str">
        <f>IF(AND(GlobBerMedDisc!C21&gt;1,O28&lt;&gt;0,GlobBerMedDisc!P21&gt;1),"ml","")</f>
        <v/>
      </c>
      <c r="Q28" s="488"/>
      <c r="R28" s="488" t="str">
        <f>GlobBerMedDisc!AP21</f>
        <v/>
      </c>
      <c r="S28" s="488" t="str">
        <f>IF(AND(O28&lt;&gt;"",GlobBerMedDisc!R21&gt;0),GlobBerMedDisc!R21&amp;" min","")</f>
        <v/>
      </c>
      <c r="T28" s="488" t="str">
        <f>GlobBerMedDisc!AS21</f>
        <v/>
      </c>
      <c r="U28" s="482"/>
      <c r="V28" s="482"/>
      <c r="W28" s="482"/>
      <c r="X28" s="482"/>
      <c r="Y28" s="482"/>
      <c r="Z28" s="482"/>
    </row>
    <row r="29" spans="2:26" ht="20.100000000000001" customHeight="1" thickTop="1" thickBot="1" x14ac:dyDescent="0.25">
      <c r="B29" s="534" t="str">
        <f>GlobBerMedDisc!AN22</f>
        <v/>
      </c>
      <c r="C29" s="534" t="str">
        <f>GlobBerMedDisc!AQ22</f>
        <v/>
      </c>
      <c r="D29" s="678">
        <v>21</v>
      </c>
      <c r="E29" s="485" t="str">
        <f>IF(LEN(GlobBerMedDisc!B22)&gt;20, LEFT(GlobBerMedDisc!B22,20)&amp;"…",IF(LEN(GlobBerMedDisc!B22)&gt;0,GlobBerMedDisc!B22,""))</f>
        <v/>
      </c>
      <c r="F29" s="826" t="str">
        <f>GlobBerMedDisc!AR22</f>
        <v/>
      </c>
      <c r="G29" s="826"/>
      <c r="H29" s="826"/>
      <c r="I29" s="826"/>
      <c r="J29" s="485" t="str">
        <f>GlobBerMedDisc!X22</f>
        <v/>
      </c>
      <c r="K29" s="486" t="str">
        <f>IF(GlobBerMedDisc!C22&gt;1,GlobBerMedDisc!H22,"")</f>
        <v/>
      </c>
      <c r="L29" s="487" t="str">
        <f>IF(GlobBerMedDisc!C22&gt;1,GlobBerMedDisc!F22,"")</f>
        <v/>
      </c>
      <c r="M29" s="488" t="str">
        <f>GlobBerMedDisc!Z22</f>
        <v/>
      </c>
      <c r="N29" s="488" t="str">
        <f>GlobBerMedDisc!AO22</f>
        <v/>
      </c>
      <c r="O29" s="488" t="str">
        <f>IF(AND(GlobBerMedDisc!C22&gt;1,GlobBerMedDisc!P22&gt;1),GlobBerMedDisc!O22,"")</f>
        <v/>
      </c>
      <c r="P29" s="488" t="str">
        <f>IF(AND(GlobBerMedDisc!C22&gt;1,O29&lt;&gt;0,GlobBerMedDisc!P22&gt;1),"ml","")</f>
        <v/>
      </c>
      <c r="Q29" s="488"/>
      <c r="R29" s="488" t="str">
        <f>GlobBerMedDisc!AP22</f>
        <v/>
      </c>
      <c r="S29" s="488" t="str">
        <f>IF(AND(O29&lt;&gt;"",GlobBerMedDisc!R22&gt;0),GlobBerMedDisc!R22&amp;" min","")</f>
        <v/>
      </c>
      <c r="T29" s="488" t="str">
        <f>GlobBerMedDisc!AS22</f>
        <v/>
      </c>
      <c r="U29" s="482"/>
      <c r="V29" s="482"/>
      <c r="W29" s="482"/>
      <c r="X29" s="482"/>
      <c r="Y29" s="482"/>
      <c r="Z29" s="482"/>
    </row>
    <row r="30" spans="2:26" ht="20.100000000000001" customHeight="1" thickTop="1" thickBot="1" x14ac:dyDescent="0.25">
      <c r="B30" s="534" t="str">
        <f>GlobBerMedDisc!AN23</f>
        <v/>
      </c>
      <c r="C30" s="534" t="str">
        <f>GlobBerMedDisc!AQ23</f>
        <v/>
      </c>
      <c r="D30" s="678">
        <v>22</v>
      </c>
      <c r="E30" s="485" t="str">
        <f>IF(LEN(GlobBerMedDisc!B23)&gt;20, LEFT(GlobBerMedDisc!B23,20)&amp;"…",IF(LEN(GlobBerMedDisc!B23)&gt;0,GlobBerMedDisc!B23,""))</f>
        <v/>
      </c>
      <c r="F30" s="826" t="str">
        <f>GlobBerMedDisc!AR23</f>
        <v/>
      </c>
      <c r="G30" s="826"/>
      <c r="H30" s="826"/>
      <c r="I30" s="826"/>
      <c r="J30" s="485" t="str">
        <f>GlobBerMedDisc!X23</f>
        <v/>
      </c>
      <c r="K30" s="486" t="str">
        <f>IF(GlobBerMedDisc!C23&gt;1,GlobBerMedDisc!H23,"")</f>
        <v/>
      </c>
      <c r="L30" s="487" t="str">
        <f>IF(GlobBerMedDisc!C23&gt;1,GlobBerMedDisc!F23,"")</f>
        <v/>
      </c>
      <c r="M30" s="488" t="str">
        <f>GlobBerMedDisc!Z23</f>
        <v/>
      </c>
      <c r="N30" s="488" t="str">
        <f>GlobBerMedDisc!AO23</f>
        <v/>
      </c>
      <c r="O30" s="488" t="str">
        <f>IF(AND(GlobBerMedDisc!C23&gt;1,GlobBerMedDisc!P23&gt;1),GlobBerMedDisc!O23,"")</f>
        <v/>
      </c>
      <c r="P30" s="488" t="str">
        <f>IF(AND(GlobBerMedDisc!C23&gt;1,O30&lt;&gt;0,GlobBerMedDisc!P23&gt;1),"ml","")</f>
        <v/>
      </c>
      <c r="Q30" s="488"/>
      <c r="R30" s="488" t="str">
        <f>GlobBerMedDisc!AP23</f>
        <v/>
      </c>
      <c r="S30" s="488" t="str">
        <f>IF(AND(O30&lt;&gt;"",GlobBerMedDisc!R23&gt;0),GlobBerMedDisc!R23&amp;" min","")</f>
        <v/>
      </c>
      <c r="T30" s="488" t="str">
        <f>GlobBerMedDisc!AS23</f>
        <v/>
      </c>
      <c r="U30" s="482"/>
      <c r="V30" s="482"/>
      <c r="W30" s="482"/>
      <c r="X30" s="482"/>
      <c r="Y30" s="482"/>
      <c r="Z30" s="482"/>
    </row>
    <row r="31" spans="2:26" ht="20.100000000000001" customHeight="1" thickTop="1" thickBot="1" x14ac:dyDescent="0.25">
      <c r="B31" s="534" t="str">
        <f>GlobBerMedDisc!AN24</f>
        <v/>
      </c>
      <c r="C31" s="534" t="str">
        <f>GlobBerMedDisc!AQ24</f>
        <v/>
      </c>
      <c r="D31" s="678">
        <v>23</v>
      </c>
      <c r="E31" s="485" t="str">
        <f>IF(LEN(GlobBerMedDisc!B24)&gt;20, LEFT(GlobBerMedDisc!B24,20)&amp;"…",IF(LEN(GlobBerMedDisc!B24)&gt;0,GlobBerMedDisc!B24,""))</f>
        <v/>
      </c>
      <c r="F31" s="826" t="str">
        <f>GlobBerMedDisc!AR24</f>
        <v/>
      </c>
      <c r="G31" s="826"/>
      <c r="H31" s="826"/>
      <c r="I31" s="826"/>
      <c r="J31" s="485" t="str">
        <f>GlobBerMedDisc!X24</f>
        <v/>
      </c>
      <c r="K31" s="486" t="str">
        <f>IF(GlobBerMedDisc!C24&gt;1,GlobBerMedDisc!H24,"")</f>
        <v/>
      </c>
      <c r="L31" s="487" t="str">
        <f>IF(GlobBerMedDisc!C24&gt;1,GlobBerMedDisc!F24,"")</f>
        <v/>
      </c>
      <c r="M31" s="488" t="str">
        <f>GlobBerMedDisc!Z24</f>
        <v/>
      </c>
      <c r="N31" s="488" t="str">
        <f>GlobBerMedDisc!AO24</f>
        <v/>
      </c>
      <c r="O31" s="488" t="str">
        <f>IF(AND(GlobBerMedDisc!C24&gt;1,GlobBerMedDisc!P24&gt;1),GlobBerMedDisc!O24,"")</f>
        <v/>
      </c>
      <c r="P31" s="488" t="str">
        <f>IF(AND(GlobBerMedDisc!C24&gt;1,O31&lt;&gt;0,GlobBerMedDisc!P24&gt;1),"ml","")</f>
        <v/>
      </c>
      <c r="Q31" s="488"/>
      <c r="R31" s="488" t="str">
        <f>GlobBerMedDisc!AP24</f>
        <v/>
      </c>
      <c r="S31" s="488" t="str">
        <f>IF(AND(O31&lt;&gt;"",GlobBerMedDisc!R24&gt;0),GlobBerMedDisc!R24&amp;" min","")</f>
        <v/>
      </c>
      <c r="T31" s="488" t="str">
        <f>GlobBerMedDisc!AS24</f>
        <v/>
      </c>
      <c r="U31" s="482"/>
      <c r="V31" s="482"/>
      <c r="W31" s="482"/>
      <c r="X31" s="482"/>
      <c r="Y31" s="482"/>
      <c r="Z31" s="482"/>
    </row>
    <row r="32" spans="2:26" ht="20.100000000000001" customHeight="1" thickTop="1" thickBot="1" x14ac:dyDescent="0.25">
      <c r="B32" s="534" t="str">
        <f>GlobBerMedDisc!AN25</f>
        <v/>
      </c>
      <c r="C32" s="534" t="str">
        <f>GlobBerMedDisc!AQ25</f>
        <v/>
      </c>
      <c r="D32" s="678">
        <v>24</v>
      </c>
      <c r="E32" s="485" t="str">
        <f>IF(LEN(GlobBerMedDisc!B25)&gt;20, LEFT(GlobBerMedDisc!B25,20)&amp;"…",IF(LEN(GlobBerMedDisc!B25)&gt;0,GlobBerMedDisc!B25,""))</f>
        <v/>
      </c>
      <c r="F32" s="826" t="str">
        <f>GlobBerMedDisc!AR25</f>
        <v/>
      </c>
      <c r="G32" s="826"/>
      <c r="H32" s="826"/>
      <c r="I32" s="826"/>
      <c r="J32" s="485" t="str">
        <f>GlobBerMedDisc!X25</f>
        <v/>
      </c>
      <c r="K32" s="486" t="str">
        <f>IF(GlobBerMedDisc!C25&gt;1,GlobBerMedDisc!H25,"")</f>
        <v/>
      </c>
      <c r="L32" s="487" t="str">
        <f>IF(GlobBerMedDisc!C25&gt;1,GlobBerMedDisc!F25,"")</f>
        <v/>
      </c>
      <c r="M32" s="488" t="str">
        <f>GlobBerMedDisc!Z25</f>
        <v/>
      </c>
      <c r="N32" s="488" t="str">
        <f>GlobBerMedDisc!AO25</f>
        <v/>
      </c>
      <c r="O32" s="488" t="str">
        <f>IF(AND(GlobBerMedDisc!C25&gt;1,GlobBerMedDisc!P25&gt;1),GlobBerMedDisc!O25,"")</f>
        <v/>
      </c>
      <c r="P32" s="488" t="str">
        <f>IF(AND(GlobBerMedDisc!C25&gt;1,O32&lt;&gt;0,GlobBerMedDisc!P25&gt;1),"ml","")</f>
        <v/>
      </c>
      <c r="Q32" s="488"/>
      <c r="R32" s="488" t="str">
        <f>GlobBerMedDisc!AP25</f>
        <v/>
      </c>
      <c r="S32" s="488" t="str">
        <f>IF(AND(O32&lt;&gt;"",GlobBerMedDisc!R25&gt;0),GlobBerMedDisc!R25&amp;" min","")</f>
        <v/>
      </c>
      <c r="T32" s="488" t="str">
        <f>GlobBerMedDisc!AS25</f>
        <v/>
      </c>
      <c r="U32" s="482"/>
      <c r="V32" s="482"/>
      <c r="W32" s="482"/>
      <c r="X32" s="482"/>
      <c r="Y32" s="482"/>
      <c r="Z32" s="482"/>
    </row>
    <row r="33" spans="2:26" ht="20.100000000000001" customHeight="1" thickTop="1" thickBot="1" x14ac:dyDescent="0.25">
      <c r="B33" s="534" t="str">
        <f>GlobBerMedDisc!AN26</f>
        <v/>
      </c>
      <c r="C33" s="534" t="str">
        <f>GlobBerMedDisc!AQ26</f>
        <v/>
      </c>
      <c r="D33" s="678">
        <v>25</v>
      </c>
      <c r="E33" s="485" t="str">
        <f>IF(LEN(GlobBerMedDisc!B26)&gt;20, LEFT(GlobBerMedDisc!B26,20)&amp;"…",IF(LEN(GlobBerMedDisc!B26)&gt;0,GlobBerMedDisc!B26,""))</f>
        <v/>
      </c>
      <c r="F33" s="826" t="str">
        <f>GlobBerMedDisc!AR26</f>
        <v/>
      </c>
      <c r="G33" s="826"/>
      <c r="H33" s="826"/>
      <c r="I33" s="826"/>
      <c r="J33" s="485" t="str">
        <f>GlobBerMedDisc!X26</f>
        <v/>
      </c>
      <c r="K33" s="486" t="str">
        <f>IF(GlobBerMedDisc!C26&gt;1,GlobBerMedDisc!H26,"")</f>
        <v/>
      </c>
      <c r="L33" s="487" t="str">
        <f>IF(GlobBerMedDisc!C26&gt;1,GlobBerMedDisc!F26,"")</f>
        <v/>
      </c>
      <c r="M33" s="488" t="str">
        <f>GlobBerMedDisc!Z26</f>
        <v/>
      </c>
      <c r="N33" s="488" t="str">
        <f>GlobBerMedDisc!AO26</f>
        <v/>
      </c>
      <c r="O33" s="488" t="str">
        <f>IF(AND(GlobBerMedDisc!C26&gt;1,GlobBerMedDisc!P26&gt;1),GlobBerMedDisc!O26,"")</f>
        <v/>
      </c>
      <c r="P33" s="488" t="str">
        <f>IF(AND(GlobBerMedDisc!C26&gt;1,O33&lt;&gt;0,GlobBerMedDisc!P26&gt;1),"ml","")</f>
        <v/>
      </c>
      <c r="Q33" s="488"/>
      <c r="R33" s="488" t="str">
        <f>GlobBerMedDisc!AP26</f>
        <v/>
      </c>
      <c r="S33" s="488" t="str">
        <f>IF(AND(O33&lt;&gt;"",GlobBerMedDisc!R26&gt;0),GlobBerMedDisc!R26&amp;" min","")</f>
        <v/>
      </c>
      <c r="T33" s="488" t="str">
        <f>GlobBerMedDisc!AS26</f>
        <v/>
      </c>
      <c r="U33" s="482"/>
      <c r="V33" s="482"/>
      <c r="W33" s="482"/>
      <c r="X33" s="482"/>
      <c r="Y33" s="482"/>
      <c r="Z33" s="482"/>
    </row>
    <row r="34" spans="2:26" ht="20.100000000000001" customHeight="1" thickTop="1" thickBot="1" x14ac:dyDescent="0.25">
      <c r="B34" s="534" t="str">
        <f>GlobBerMedDisc!AN27</f>
        <v/>
      </c>
      <c r="C34" s="534" t="str">
        <f>GlobBerMedDisc!AQ27</f>
        <v/>
      </c>
      <c r="D34" s="678">
        <v>26</v>
      </c>
      <c r="E34" s="485" t="str">
        <f>IF(LEN(GlobBerMedDisc!B27)&gt;20, LEFT(GlobBerMedDisc!B27,20)&amp;"…",IF(LEN(GlobBerMedDisc!B27)&gt;0,GlobBerMedDisc!B27,""))</f>
        <v/>
      </c>
      <c r="F34" s="826" t="str">
        <f>GlobBerMedDisc!AR27</f>
        <v/>
      </c>
      <c r="G34" s="826"/>
      <c r="H34" s="826"/>
      <c r="I34" s="826"/>
      <c r="J34" s="485" t="str">
        <f>GlobBerMedDisc!X27</f>
        <v/>
      </c>
      <c r="K34" s="486" t="str">
        <f>IF(GlobBerMedDisc!C27&gt;1,GlobBerMedDisc!H27,"")</f>
        <v/>
      </c>
      <c r="L34" s="487" t="str">
        <f>IF(GlobBerMedDisc!C27&gt;1,GlobBerMedDisc!F27,"")</f>
        <v/>
      </c>
      <c r="M34" s="488" t="str">
        <f>GlobBerMedDisc!Z27</f>
        <v/>
      </c>
      <c r="N34" s="488" t="str">
        <f>GlobBerMedDisc!AO27</f>
        <v/>
      </c>
      <c r="O34" s="488" t="str">
        <f>IF(AND(GlobBerMedDisc!C27&gt;1,GlobBerMedDisc!P27&gt;1),GlobBerMedDisc!O27,"")</f>
        <v/>
      </c>
      <c r="P34" s="488" t="str">
        <f>IF(AND(GlobBerMedDisc!C27&gt;1,O34&lt;&gt;0,GlobBerMedDisc!P27&gt;1),"ml","")</f>
        <v/>
      </c>
      <c r="Q34" s="488"/>
      <c r="R34" s="488" t="str">
        <f>GlobBerMedDisc!AP27</f>
        <v/>
      </c>
      <c r="S34" s="488" t="str">
        <f>IF(AND(O34&lt;&gt;"",GlobBerMedDisc!R27&gt;0),GlobBerMedDisc!R27&amp;" min","")</f>
        <v/>
      </c>
      <c r="T34" s="488" t="str">
        <f>GlobBerMedDisc!AS27</f>
        <v/>
      </c>
      <c r="U34" s="482"/>
      <c r="V34" s="482"/>
      <c r="W34" s="482"/>
      <c r="X34" s="482"/>
      <c r="Y34" s="482"/>
      <c r="Z34" s="482"/>
    </row>
    <row r="35" spans="2:26" ht="20.100000000000001" customHeight="1" thickTop="1" thickBot="1" x14ac:dyDescent="0.25">
      <c r="B35" s="534" t="str">
        <f>GlobBerMedDisc!AN28</f>
        <v/>
      </c>
      <c r="C35" s="534" t="str">
        <f>GlobBerMedDisc!AQ28</f>
        <v/>
      </c>
      <c r="D35" s="678">
        <v>27</v>
      </c>
      <c r="E35" s="485" t="str">
        <f>IF(LEN(GlobBerMedDisc!B28)&gt;20, LEFT(GlobBerMedDisc!B28,20)&amp;"…",IF(LEN(GlobBerMedDisc!B28)&gt;0,GlobBerMedDisc!B28,""))</f>
        <v/>
      </c>
      <c r="F35" s="826" t="str">
        <f>GlobBerMedDisc!AR28</f>
        <v/>
      </c>
      <c r="G35" s="826"/>
      <c r="H35" s="826"/>
      <c r="I35" s="826"/>
      <c r="J35" s="485" t="str">
        <f>GlobBerMedDisc!X28</f>
        <v/>
      </c>
      <c r="K35" s="486" t="str">
        <f>IF(GlobBerMedDisc!C28&gt;1,GlobBerMedDisc!H28,"")</f>
        <v/>
      </c>
      <c r="L35" s="487" t="str">
        <f>IF(GlobBerMedDisc!C28&gt;1,GlobBerMedDisc!F28,"")</f>
        <v/>
      </c>
      <c r="M35" s="488" t="str">
        <f>GlobBerMedDisc!Z28</f>
        <v/>
      </c>
      <c r="N35" s="488" t="str">
        <f>GlobBerMedDisc!AO28</f>
        <v/>
      </c>
      <c r="O35" s="488" t="str">
        <f>IF(AND(GlobBerMedDisc!C28&gt;1,GlobBerMedDisc!P28&gt;1),GlobBerMedDisc!O28,"")</f>
        <v/>
      </c>
      <c r="P35" s="488" t="str">
        <f>IF(AND(GlobBerMedDisc!C28&gt;1,O35&lt;&gt;0,GlobBerMedDisc!P28&gt;1),"ml","")</f>
        <v/>
      </c>
      <c r="Q35" s="488"/>
      <c r="R35" s="488" t="str">
        <f>GlobBerMedDisc!AP28</f>
        <v/>
      </c>
      <c r="S35" s="488" t="str">
        <f>IF(AND(O35&lt;&gt;"",GlobBerMedDisc!R28&gt;0),GlobBerMedDisc!R28&amp;" min","")</f>
        <v/>
      </c>
      <c r="T35" s="488" t="str">
        <f>GlobBerMedDisc!AS28</f>
        <v/>
      </c>
      <c r="U35" s="482"/>
      <c r="V35" s="482"/>
      <c r="W35" s="482"/>
      <c r="X35" s="482"/>
      <c r="Y35" s="482"/>
      <c r="Z35" s="482"/>
    </row>
    <row r="36" spans="2:26" ht="20.100000000000001" customHeight="1" thickTop="1" thickBot="1" x14ac:dyDescent="0.25">
      <c r="B36" s="534" t="str">
        <f>GlobBerMedDisc!AN29</f>
        <v/>
      </c>
      <c r="C36" s="534" t="str">
        <f>GlobBerMedDisc!AQ29</f>
        <v/>
      </c>
      <c r="D36" s="678">
        <v>28</v>
      </c>
      <c r="E36" s="485" t="str">
        <f>IF(LEN(GlobBerMedDisc!B29)&gt;20, LEFT(GlobBerMedDisc!B29,20)&amp;"…",IF(LEN(GlobBerMedDisc!B29)&gt;0,GlobBerMedDisc!B29,""))</f>
        <v/>
      </c>
      <c r="F36" s="826" t="str">
        <f>GlobBerMedDisc!AR29</f>
        <v/>
      </c>
      <c r="G36" s="826"/>
      <c r="H36" s="826"/>
      <c r="I36" s="826"/>
      <c r="J36" s="485" t="str">
        <f>GlobBerMedDisc!X29</f>
        <v/>
      </c>
      <c r="K36" s="486" t="str">
        <f>IF(GlobBerMedDisc!C29&gt;1,GlobBerMedDisc!H29,"")</f>
        <v/>
      </c>
      <c r="L36" s="487" t="str">
        <f>IF(GlobBerMedDisc!C29&gt;1,GlobBerMedDisc!F29,"")</f>
        <v/>
      </c>
      <c r="M36" s="488" t="str">
        <f>GlobBerMedDisc!Z29</f>
        <v/>
      </c>
      <c r="N36" s="488" t="str">
        <f>GlobBerMedDisc!AO29</f>
        <v/>
      </c>
      <c r="O36" s="488" t="str">
        <f>IF(AND(GlobBerMedDisc!C29&gt;1,GlobBerMedDisc!P29&gt;1),GlobBerMedDisc!O29,"")</f>
        <v/>
      </c>
      <c r="P36" s="488" t="str">
        <f>IF(AND(GlobBerMedDisc!C29&gt;1,O36&lt;&gt;0,GlobBerMedDisc!P29&gt;1),"ml","")</f>
        <v/>
      </c>
      <c r="Q36" s="488"/>
      <c r="R36" s="488" t="str">
        <f>GlobBerMedDisc!AP29</f>
        <v/>
      </c>
      <c r="S36" s="488" t="str">
        <f>IF(AND(O36&lt;&gt;"",GlobBerMedDisc!R29&gt;0),GlobBerMedDisc!R29&amp;" min","")</f>
        <v/>
      </c>
      <c r="T36" s="488" t="str">
        <f>GlobBerMedDisc!AS29</f>
        <v/>
      </c>
      <c r="U36" s="482"/>
      <c r="V36" s="482"/>
      <c r="W36" s="482"/>
      <c r="X36" s="482"/>
      <c r="Y36" s="482"/>
      <c r="Z36" s="482"/>
    </row>
    <row r="37" spans="2:26" ht="20.100000000000001" customHeight="1" thickTop="1" thickBot="1" x14ac:dyDescent="0.25">
      <c r="B37" s="534" t="str">
        <f>GlobBerMedDisc!AN30</f>
        <v/>
      </c>
      <c r="C37" s="534" t="str">
        <f>GlobBerMedDisc!AQ30</f>
        <v/>
      </c>
      <c r="D37" s="678">
        <v>29</v>
      </c>
      <c r="E37" s="485" t="str">
        <f>IF(LEN(GlobBerMedDisc!B30)&gt;20, LEFT(GlobBerMedDisc!B30,20)&amp;"…",IF(LEN(GlobBerMedDisc!B30)&gt;0,GlobBerMedDisc!B30,""))</f>
        <v/>
      </c>
      <c r="F37" s="826" t="str">
        <f>GlobBerMedDisc!AR30</f>
        <v/>
      </c>
      <c r="G37" s="826"/>
      <c r="H37" s="826"/>
      <c r="I37" s="826"/>
      <c r="J37" s="485" t="str">
        <f>GlobBerMedDisc!X30</f>
        <v/>
      </c>
      <c r="K37" s="486" t="str">
        <f>IF(GlobBerMedDisc!C30&gt;1,GlobBerMedDisc!H30,"")</f>
        <v/>
      </c>
      <c r="L37" s="487" t="str">
        <f>IF(GlobBerMedDisc!C30&gt;1,GlobBerMedDisc!F30,"")</f>
        <v/>
      </c>
      <c r="M37" s="488" t="str">
        <f>GlobBerMedDisc!Z30</f>
        <v/>
      </c>
      <c r="N37" s="488" t="str">
        <f>GlobBerMedDisc!AO30</f>
        <v/>
      </c>
      <c r="O37" s="488" t="str">
        <f>IF(AND(GlobBerMedDisc!C30&gt;1,GlobBerMedDisc!P30&gt;1),GlobBerMedDisc!O30,"")</f>
        <v/>
      </c>
      <c r="P37" s="488" t="str">
        <f>IF(AND(GlobBerMedDisc!C30&gt;1,O37&lt;&gt;0,GlobBerMedDisc!P30&gt;1),"ml","")</f>
        <v/>
      </c>
      <c r="Q37" s="488"/>
      <c r="R37" s="488" t="str">
        <f>GlobBerMedDisc!AP30</f>
        <v/>
      </c>
      <c r="S37" s="488" t="str">
        <f>IF(AND(O37&lt;&gt;"",GlobBerMedDisc!R30&gt;0),GlobBerMedDisc!R30&amp;" min","")</f>
        <v/>
      </c>
      <c r="T37" s="488" t="str">
        <f>GlobBerMedDisc!AS30</f>
        <v/>
      </c>
      <c r="U37" s="482"/>
      <c r="V37" s="482"/>
      <c r="W37" s="482"/>
      <c r="X37" s="482"/>
      <c r="Y37" s="482"/>
      <c r="Z37" s="482"/>
    </row>
    <row r="38" spans="2:26" ht="20.100000000000001" customHeight="1" thickTop="1" thickBot="1" x14ac:dyDescent="0.25">
      <c r="B38" s="534" t="str">
        <f>GlobBerMedDisc!AN31</f>
        <v/>
      </c>
      <c r="C38" s="534" t="str">
        <f>GlobBerMedDisc!AQ31</f>
        <v/>
      </c>
      <c r="D38" s="678">
        <v>30</v>
      </c>
      <c r="E38" s="481" t="str">
        <f>IF(LEN(GlobBerMedDisc!B31)&gt;20, LEFT(GlobBerMedDisc!B31,20)&amp;"…",IF(LEN(GlobBerMedDisc!B31)&gt;0,GlobBerMedDisc!B31,""))</f>
        <v/>
      </c>
      <c r="F38" s="828" t="str">
        <f>GlobBerMedDisc!AR31</f>
        <v/>
      </c>
      <c r="G38" s="828"/>
      <c r="H38" s="828"/>
      <c r="I38" s="828"/>
      <c r="J38" s="481" t="str">
        <f>GlobBerMedDisc!X31</f>
        <v/>
      </c>
      <c r="K38" s="484" t="str">
        <f>IF(GlobBerMedDisc!C31&gt;1,GlobBerMedDisc!H31,"")</f>
        <v/>
      </c>
      <c r="L38" s="478" t="str">
        <f>IF(GlobBerMedDisc!C31&gt;1,GlobBerMedDisc!F31,"")</f>
        <v/>
      </c>
      <c r="M38" s="479" t="str">
        <f>GlobBerMedDisc!Z31</f>
        <v/>
      </c>
      <c r="N38" s="479" t="str">
        <f>GlobBerMedDisc!AO31</f>
        <v/>
      </c>
      <c r="O38" s="479" t="str">
        <f>IF(AND(GlobBerMedDisc!C31&gt;1,GlobBerMedDisc!P31&gt;1),GlobBerMedDisc!O31,"")</f>
        <v/>
      </c>
      <c r="P38" s="479" t="str">
        <f>IF(AND(GlobBerMedDisc!C31&gt;1,O38&lt;&gt;0,GlobBerMedDisc!P31&gt;1),"ml","")</f>
        <v/>
      </c>
      <c r="Q38" s="479"/>
      <c r="R38" s="479" t="str">
        <f>GlobBerMedDisc!AP31</f>
        <v/>
      </c>
      <c r="S38" s="479" t="str">
        <f>IF(AND(O38&lt;&gt;"",GlobBerMedDisc!R31&gt;0),GlobBerMedDisc!R31&amp;" min","")</f>
        <v/>
      </c>
      <c r="T38" s="479" t="str">
        <f>GlobBerMedDisc!AS31</f>
        <v/>
      </c>
      <c r="U38" s="482"/>
      <c r="V38" s="482"/>
      <c r="W38" s="482"/>
      <c r="X38" s="482"/>
      <c r="Y38" s="482"/>
      <c r="Z38" s="482"/>
    </row>
    <row r="39" spans="2:26" ht="13.5" thickTop="1" x14ac:dyDescent="0.2"/>
  </sheetData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36:I36"/>
    <mergeCell ref="F37:I37"/>
    <mergeCell ref="F38:I38"/>
    <mergeCell ref="F31:I31"/>
    <mergeCell ref="F32:I32"/>
    <mergeCell ref="F33:I33"/>
    <mergeCell ref="F34:I34"/>
    <mergeCell ref="F35:I35"/>
    <mergeCell ref="F21:I21"/>
    <mergeCell ref="F28:I28"/>
    <mergeCell ref="F24:I24"/>
    <mergeCell ref="F25:I25"/>
    <mergeCell ref="F26:I26"/>
    <mergeCell ref="F27:I27"/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512" stopIfTrue="1" id="{00000000-0000-0000-0000-000000000000}">
            <xm:f>GlobBerMedDisc!BF3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expression" priority="513" stopIfTrue="1" id="{00000000-0000-0000-0000-000000000000}">
            <xm:f>GlobBerMedDisc!BF4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expression" priority="514" stopIfTrue="1" id="{00000000-0000-0000-0000-000000000000}">
            <xm:f>GlobBerMedDisc!BF5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515" stopIfTrue="1" id="{00000000-0000-0000-0000-000000000000}">
            <xm:f>GlobBerMedDisc!BF6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516" stopIfTrue="1" id="{00000000-0000-0000-0000-000000000000}">
            <xm:f>GlobBerMedDisc!BF7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expression" priority="517" stopIfTrue="1" id="{00000000-0000-0000-0000-000000000000}">
            <xm:f>GlobBerMedDisc!BF8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expression" priority="518" stopIfTrue="1" id="{00000000-0000-0000-0000-000000000000}">
            <xm:f>GlobBerMedDisc!BF9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expression" priority="519" stopIfTrue="1" id="{00000000-0000-0000-0000-000000000000}">
            <xm:f>GlobBerMedDisc!BF10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expression" priority="520" stopIfTrue="1" id="{00000000-0000-0000-0000-000000000000}">
            <xm:f>GlobBerMedDisc!BF11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expression" priority="521" stopIfTrue="1" id="{00000000-0000-0000-0000-000000000000}">
            <xm:f>GlobBerMedDisc!BF12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expression" priority="522" stopIfTrue="1" id="{00000000-0000-0000-0000-000000000000}">
            <xm:f>GlobBerMedDisc!BF13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expression" priority="523" stopIfTrue="1" id="{00000000-0000-0000-0000-000000000000}">
            <xm:f>GlobBerMedDisc!BF14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expression" priority="524" stopIfTrue="1" id="{00000000-0000-0000-0000-000000000000}">
            <xm:f>GlobBerMedDisc!BF15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expression" priority="525" stopIfTrue="1" id="{00000000-0000-0000-0000-000000000000}">
            <xm:f>GlobBerMedDisc!BF16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expression" priority="526" stopIfTrue="1" id="{00000000-0000-0000-0000-000000000000}">
            <xm:f>GlobBerMedDisc!BF17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expression" priority="527" stopIfTrue="1" id="{00000000-0000-0000-0000-000000000000}">
            <xm:f>GlobBerMedDisc!BF18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expression" priority="528" stopIfTrue="1" id="{00000000-0000-0000-0000-000000000000}">
            <xm:f>GlobBerMedDisc!BF19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J26</xm:sqref>
        </x14:conditionalFormatting>
        <x14:conditionalFormatting xmlns:xm="http://schemas.microsoft.com/office/excel/2006/main">
          <x14:cfRule type="expression" priority="529" stopIfTrue="1" id="{00000000-0000-0000-0000-000000000000}">
            <xm:f>GlobBerMedDisc!BF20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expression" priority="530" stopIfTrue="1" id="{00000000-0000-0000-0000-000000000000}">
            <xm:f>GlobBerMedDisc!BF21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J28</xm:sqref>
        </x14:conditionalFormatting>
        <x14:conditionalFormatting xmlns:xm="http://schemas.microsoft.com/office/excel/2006/main">
          <x14:cfRule type="expression" priority="531" stopIfTrue="1" id="{00000000-0000-0000-0000-000000000000}">
            <xm:f>GlobBerMedDisc!BF22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expression" priority="532" stopIfTrue="1" id="{00000000-0000-0000-0000-000000000000}">
            <xm:f>GlobBerMedDisc!BF23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expression" priority="533" stopIfTrue="1" id="{00000000-0000-0000-0000-000000000000}">
            <xm:f>GlobBerMedDisc!BF24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J31</xm:sqref>
        </x14:conditionalFormatting>
        <x14:conditionalFormatting xmlns:xm="http://schemas.microsoft.com/office/excel/2006/main">
          <x14:cfRule type="expression" priority="534" stopIfTrue="1" id="{00000000-0000-0000-0000-000000000000}">
            <xm:f>GlobBerMedDisc!BF25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expression" priority="535" stopIfTrue="1" id="{00000000-0000-0000-0000-000000000000}">
            <xm:f>GlobBerMedDisc!BF26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J33</xm:sqref>
        </x14:conditionalFormatting>
        <x14:conditionalFormatting xmlns:xm="http://schemas.microsoft.com/office/excel/2006/main">
          <x14:cfRule type="expression" priority="536" stopIfTrue="1" id="{00000000-0000-0000-0000-000000000000}">
            <xm:f>GlobBerMedDisc!BF27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J34</xm:sqref>
        </x14:conditionalFormatting>
        <x14:conditionalFormatting xmlns:xm="http://schemas.microsoft.com/office/excel/2006/main">
          <x14:cfRule type="expression" priority="537" stopIfTrue="1" id="{00000000-0000-0000-0000-000000000000}">
            <xm:f>GlobBerMedDisc!BF28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expression" priority="538" stopIfTrue="1" id="{00000000-0000-0000-0000-000000000000}">
            <xm:f>GlobBerMedDisc!BF29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expression" priority="539" stopIfTrue="1" id="{00000000-0000-0000-0000-000000000000}">
            <xm:f>GlobBerMedDisc!BF30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expression" priority="540" stopIfTrue="1" id="{00000000-0000-0000-0000-000000000000}">
            <xm:f>GlobBerMedDisc!BF31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</xm:sqref>
        </x14:conditionalFormatting>
        <x14:conditionalFormatting xmlns:xm="http://schemas.microsoft.com/office/excel/2006/main">
          <x14:cfRule type="expression" priority="543" stopIfTrue="1" id="{00000000-0000-0000-0000-000000000000}">
            <xm:f>GlobBerMedDisc!BM3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expression" priority="544" id="{00000000-0000-0000-0000-000000000000}">
            <xm:f>GlobBerMedDisc!BL3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expression" priority="545" stopIfTrue="1" id="{00000000-0000-0000-0000-000000000000}">
            <xm:f>GlobBerMedDisc!BM4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546" id="{00000000-0000-0000-0000-000000000000}">
            <xm:f>GlobBerMedDisc!BL4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547" stopIfTrue="1" id="{00000000-0000-0000-0000-000000000000}">
            <xm:f>GlobBerMedDisc!BM5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548" id="{00000000-0000-0000-0000-000000000000}">
            <xm:f>GlobBerMedDisc!BL5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549" stopIfTrue="1" id="{00000000-0000-0000-0000-000000000000}">
            <xm:f>GlobBerMedDisc!BM6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550" id="{00000000-0000-0000-0000-000000000000}">
            <xm:f>GlobBerMedDisc!BL6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551" stopIfTrue="1" id="{00000000-0000-0000-0000-000000000000}">
            <xm:f>GlobBerMedDisc!BM7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552" id="{00000000-0000-0000-0000-000000000000}">
            <xm:f>GlobBerMedDisc!BL7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553" stopIfTrue="1" id="{00000000-0000-0000-0000-000000000000}">
            <xm:f>GlobBerMedDisc!BM8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554" id="{00000000-0000-0000-0000-000000000000}">
            <xm:f>GlobBerMedDisc!BL8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555" stopIfTrue="1" id="{00000000-0000-0000-0000-000000000000}">
            <xm:f>GlobBerMedDisc!BM9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expression" priority="556" id="{00000000-0000-0000-0000-000000000000}">
            <xm:f>GlobBerMedDisc!BL9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expression" priority="557" stopIfTrue="1" id="{00000000-0000-0000-0000-000000000000}">
            <xm:f>GlobBerMedDisc!BM10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N17</xm:sqref>
        </x14:conditionalFormatting>
        <x14:conditionalFormatting xmlns:xm="http://schemas.microsoft.com/office/excel/2006/main">
          <x14:cfRule type="expression" priority="558" id="{00000000-0000-0000-0000-000000000000}">
            <xm:f>GlobBerMedDisc!BL10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N17</xm:sqref>
        </x14:conditionalFormatting>
        <x14:conditionalFormatting xmlns:xm="http://schemas.microsoft.com/office/excel/2006/main">
          <x14:cfRule type="expression" priority="559" stopIfTrue="1" id="{00000000-0000-0000-0000-000000000000}">
            <xm:f>GlobBerMedDisc!BM11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560" id="{00000000-0000-0000-0000-000000000000}">
            <xm:f>GlobBerMedDisc!BL11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561" stopIfTrue="1" id="{00000000-0000-0000-0000-000000000000}">
            <xm:f>GlobBerMedDisc!BM12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62" id="{00000000-0000-0000-0000-000000000000}">
            <xm:f>GlobBerMedDisc!BL12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63" stopIfTrue="1" id="{00000000-0000-0000-0000-000000000000}">
            <xm:f>GlobBerMedDisc!BM13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64" id="{00000000-0000-0000-0000-000000000000}">
            <xm:f>GlobBerMedDisc!BL13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65" stopIfTrue="1" id="{00000000-0000-0000-0000-000000000000}">
            <xm:f>GlobBerMedDisc!BM14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66" id="{00000000-0000-0000-0000-000000000000}">
            <xm:f>GlobBerMedDisc!BL14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67" stopIfTrue="1" id="{00000000-0000-0000-0000-000000000000}">
            <xm:f>GlobBerMedDisc!BM15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68" id="{00000000-0000-0000-0000-000000000000}">
            <xm:f>GlobBerMedDisc!BL15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69" stopIfTrue="1" id="{00000000-0000-0000-0000-000000000000}">
            <xm:f>GlobBerMedDisc!BM16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570" id="{00000000-0000-0000-0000-000000000000}">
            <xm:f>GlobBerMedDisc!BL16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571" stopIfTrue="1" id="{00000000-0000-0000-0000-000000000000}">
            <xm:f>GlobBerMedDisc!BM17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572" id="{00000000-0000-0000-0000-000000000000}">
            <xm:f>GlobBerMedDisc!BL17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573" stopIfTrue="1" id="{00000000-0000-0000-0000-000000000000}">
            <xm:f>GlobBerMedDisc!BM18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574" id="{00000000-0000-0000-0000-000000000000}">
            <xm:f>GlobBerMedDisc!BL18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575" stopIfTrue="1" id="{00000000-0000-0000-0000-000000000000}">
            <xm:f>GlobBerMedDisc!BM19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576" id="{00000000-0000-0000-0000-000000000000}">
            <xm:f>GlobBerMedDisc!BL19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577" stopIfTrue="1" id="{00000000-0000-0000-0000-000000000000}">
            <xm:f>GlobBerMedDisc!BM20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578" id="{00000000-0000-0000-0000-000000000000}">
            <xm:f>GlobBerMedDisc!BL20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579" stopIfTrue="1" id="{00000000-0000-0000-0000-000000000000}">
            <xm:f>GlobBerMedDisc!BM21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580" id="{00000000-0000-0000-0000-000000000000}">
            <xm:f>GlobBerMedDisc!BL21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581" stopIfTrue="1" id="{00000000-0000-0000-0000-000000000000}">
            <xm:f>GlobBerMedDisc!BM22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582" id="{00000000-0000-0000-0000-000000000000}">
            <xm:f>GlobBerMedDisc!BL22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583" stopIfTrue="1" id="{00000000-0000-0000-0000-000000000000}">
            <xm:f>GlobBerMedDisc!BM23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584" id="{00000000-0000-0000-0000-000000000000}">
            <xm:f>GlobBerMedDisc!BL23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585" stopIfTrue="1" id="{00000000-0000-0000-0000-000000000000}">
            <xm:f>GlobBerMedDisc!BM24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586" id="{00000000-0000-0000-0000-000000000000}">
            <xm:f>GlobBerMedDisc!BL24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587" stopIfTrue="1" id="{00000000-0000-0000-0000-000000000000}">
            <xm:f>GlobBerMedDisc!BM25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588" id="{00000000-0000-0000-0000-000000000000}">
            <xm:f>GlobBerMedDisc!BL25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589" stopIfTrue="1" id="{00000000-0000-0000-0000-000000000000}">
            <xm:f>GlobBerMedDisc!BM26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590" id="{00000000-0000-0000-0000-000000000000}">
            <xm:f>GlobBerMedDisc!BL26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591" stopIfTrue="1" id="{00000000-0000-0000-0000-000000000000}">
            <xm:f>GlobBerMedDisc!BM27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592" id="{00000000-0000-0000-0000-000000000000}">
            <xm:f>GlobBerMedDisc!BL27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593" stopIfTrue="1" id="{00000000-0000-0000-0000-000000000000}">
            <xm:f>GlobBerMedDisc!BM28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594" id="{00000000-0000-0000-0000-000000000000}">
            <xm:f>GlobBerMedDisc!BL28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595" stopIfTrue="1" id="{00000000-0000-0000-0000-000000000000}">
            <xm:f>GlobBerMedDisc!BM29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596" id="{00000000-0000-0000-0000-000000000000}">
            <xm:f>GlobBerMedDisc!BL29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597" stopIfTrue="1" id="{00000000-0000-0000-0000-000000000000}">
            <xm:f>GlobBerMedDisc!BM30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598" id="{00000000-0000-0000-0000-000000000000}">
            <xm:f>GlobBerMedDisc!BL30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599" stopIfTrue="1" id="{00000000-0000-0000-0000-000000000000}">
            <xm:f>GlobBerMedDisc!BM31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600" id="{00000000-0000-0000-0000-000000000000}">
            <xm:f>GlobBerMedDisc!BL31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</xm:sqref>
        </x14:conditionalFormatting>
        <x14:conditionalFormatting xmlns:xm="http://schemas.microsoft.com/office/excel/2006/main">
          <x14:cfRule type="expression" priority="602" stopIfTrue="1" id="{00000000-0000-0000-0000-000000000000}">
            <xm:f>GlobBerMedDisc!BA3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R10</xm:sqref>
        </x14:conditionalFormatting>
        <x14:conditionalFormatting xmlns:xm="http://schemas.microsoft.com/office/excel/2006/main">
          <x14:cfRule type="expression" priority="603" stopIfTrue="1" id="{00000000-0000-0000-0000-000000000000}">
            <xm:f>GlobBerMedDisc!BA4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R11</xm:sqref>
        </x14:conditionalFormatting>
        <x14:conditionalFormatting xmlns:xm="http://schemas.microsoft.com/office/excel/2006/main">
          <x14:cfRule type="expression" priority="604" stopIfTrue="1" id="{00000000-0000-0000-0000-000000000000}">
            <xm:f>GlobBerMedDisc!BA5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R12</xm:sqref>
        </x14:conditionalFormatting>
        <x14:conditionalFormatting xmlns:xm="http://schemas.microsoft.com/office/excel/2006/main">
          <x14:cfRule type="expression" priority="605" stopIfTrue="1" id="{00000000-0000-0000-0000-000000000000}">
            <xm:f>GlobBerMedDisc!BA6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R13</xm:sqref>
        </x14:conditionalFormatting>
        <x14:conditionalFormatting xmlns:xm="http://schemas.microsoft.com/office/excel/2006/main">
          <x14:cfRule type="expression" priority="606" stopIfTrue="1" id="{00000000-0000-0000-0000-000000000000}">
            <xm:f>GlobBerMedDisc!BA7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R14</xm:sqref>
        </x14:conditionalFormatting>
        <x14:conditionalFormatting xmlns:xm="http://schemas.microsoft.com/office/excel/2006/main">
          <x14:cfRule type="expression" priority="607" stopIfTrue="1" id="{00000000-0000-0000-0000-000000000000}">
            <xm:f>GlobBerMedDisc!BA8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R15</xm:sqref>
        </x14:conditionalFormatting>
        <x14:conditionalFormatting xmlns:xm="http://schemas.microsoft.com/office/excel/2006/main">
          <x14:cfRule type="expression" priority="608" stopIfTrue="1" id="{00000000-0000-0000-0000-000000000000}">
            <xm:f>GlobBerMedDisc!BA9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R16</xm:sqref>
        </x14:conditionalFormatting>
        <x14:conditionalFormatting xmlns:xm="http://schemas.microsoft.com/office/excel/2006/main">
          <x14:cfRule type="expression" priority="609" stopIfTrue="1" id="{00000000-0000-0000-0000-000000000000}">
            <xm:f>GlobBerMedDisc!BA10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R17</xm:sqref>
        </x14:conditionalFormatting>
        <x14:conditionalFormatting xmlns:xm="http://schemas.microsoft.com/office/excel/2006/main">
          <x14:cfRule type="expression" priority="610" stopIfTrue="1" id="{00000000-0000-0000-0000-000000000000}">
            <xm:f>GlobBerMedDisc!BA11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R18</xm:sqref>
        </x14:conditionalFormatting>
        <x14:conditionalFormatting xmlns:xm="http://schemas.microsoft.com/office/excel/2006/main">
          <x14:cfRule type="expression" priority="611" stopIfTrue="1" id="{00000000-0000-0000-0000-000000000000}">
            <xm:f>GlobBerMedDisc!BA12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R19</xm:sqref>
        </x14:conditionalFormatting>
        <x14:conditionalFormatting xmlns:xm="http://schemas.microsoft.com/office/excel/2006/main">
          <x14:cfRule type="expression" priority="612" stopIfTrue="1" id="{00000000-0000-0000-0000-000000000000}">
            <xm:f>GlobBerMedDisc!BA13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R20</xm:sqref>
        </x14:conditionalFormatting>
        <x14:conditionalFormatting xmlns:xm="http://schemas.microsoft.com/office/excel/2006/main">
          <x14:cfRule type="expression" priority="613" stopIfTrue="1" id="{00000000-0000-0000-0000-000000000000}">
            <xm:f>GlobBerMedDisc!BA14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R21</xm:sqref>
        </x14:conditionalFormatting>
        <x14:conditionalFormatting xmlns:xm="http://schemas.microsoft.com/office/excel/2006/main">
          <x14:cfRule type="expression" priority="614" stopIfTrue="1" id="{00000000-0000-0000-0000-000000000000}">
            <xm:f>GlobBerMedDisc!BA15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R22</xm:sqref>
        </x14:conditionalFormatting>
        <x14:conditionalFormatting xmlns:xm="http://schemas.microsoft.com/office/excel/2006/main">
          <x14:cfRule type="expression" priority="615" stopIfTrue="1" id="{00000000-0000-0000-0000-000000000000}">
            <xm:f>GlobBerMedDisc!BA16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R23</xm:sqref>
        </x14:conditionalFormatting>
        <x14:conditionalFormatting xmlns:xm="http://schemas.microsoft.com/office/excel/2006/main">
          <x14:cfRule type="expression" priority="616" stopIfTrue="1" id="{00000000-0000-0000-0000-000000000000}">
            <xm:f>GlobBerMedDisc!BA17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R24</xm:sqref>
        </x14:conditionalFormatting>
        <x14:conditionalFormatting xmlns:xm="http://schemas.microsoft.com/office/excel/2006/main">
          <x14:cfRule type="expression" priority="617" stopIfTrue="1" id="{00000000-0000-0000-0000-000000000000}">
            <xm:f>GlobBerMedDisc!BA18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R25</xm:sqref>
        </x14:conditionalFormatting>
        <x14:conditionalFormatting xmlns:xm="http://schemas.microsoft.com/office/excel/2006/main">
          <x14:cfRule type="expression" priority="618" stopIfTrue="1" id="{00000000-0000-0000-0000-000000000000}">
            <xm:f>GlobBerMedDisc!BA19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R26</xm:sqref>
        </x14:conditionalFormatting>
        <x14:conditionalFormatting xmlns:xm="http://schemas.microsoft.com/office/excel/2006/main">
          <x14:cfRule type="expression" priority="619" stopIfTrue="1" id="{00000000-0000-0000-0000-000000000000}">
            <xm:f>GlobBerMedDisc!BA20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R27</xm:sqref>
        </x14:conditionalFormatting>
        <x14:conditionalFormatting xmlns:xm="http://schemas.microsoft.com/office/excel/2006/main">
          <x14:cfRule type="expression" priority="620" stopIfTrue="1" id="{00000000-0000-0000-0000-000000000000}">
            <xm:f>GlobBerMedDisc!BA21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R28</xm:sqref>
        </x14:conditionalFormatting>
        <x14:conditionalFormatting xmlns:xm="http://schemas.microsoft.com/office/excel/2006/main">
          <x14:cfRule type="expression" priority="621" stopIfTrue="1" id="{00000000-0000-0000-0000-000000000000}">
            <xm:f>GlobBerMedDisc!BA22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R29</xm:sqref>
        </x14:conditionalFormatting>
        <x14:conditionalFormatting xmlns:xm="http://schemas.microsoft.com/office/excel/2006/main">
          <x14:cfRule type="expression" priority="622" stopIfTrue="1" id="{00000000-0000-0000-0000-000000000000}">
            <xm:f>GlobBerMedDisc!BA23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R30</xm:sqref>
        </x14:conditionalFormatting>
        <x14:conditionalFormatting xmlns:xm="http://schemas.microsoft.com/office/excel/2006/main">
          <x14:cfRule type="expression" priority="623" stopIfTrue="1" id="{00000000-0000-0000-0000-000000000000}">
            <xm:f>GlobBerMedDisc!BA24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R31</xm:sqref>
        </x14:conditionalFormatting>
        <x14:conditionalFormatting xmlns:xm="http://schemas.microsoft.com/office/excel/2006/main">
          <x14:cfRule type="expression" priority="624" stopIfTrue="1" id="{00000000-0000-0000-0000-000000000000}">
            <xm:f>GlobBerMedDisc!BA25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R32</xm:sqref>
        </x14:conditionalFormatting>
        <x14:conditionalFormatting xmlns:xm="http://schemas.microsoft.com/office/excel/2006/main">
          <x14:cfRule type="expression" priority="625" stopIfTrue="1" id="{00000000-0000-0000-0000-000000000000}">
            <xm:f>GlobBerMedDisc!BA26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R33</xm:sqref>
        </x14:conditionalFormatting>
        <x14:conditionalFormatting xmlns:xm="http://schemas.microsoft.com/office/excel/2006/main">
          <x14:cfRule type="expression" priority="626" stopIfTrue="1" id="{00000000-0000-0000-0000-000000000000}">
            <xm:f>GlobBerMedDisc!BA27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R34</xm:sqref>
        </x14:conditionalFormatting>
        <x14:conditionalFormatting xmlns:xm="http://schemas.microsoft.com/office/excel/2006/main">
          <x14:cfRule type="expression" priority="627" stopIfTrue="1" id="{00000000-0000-0000-0000-000000000000}">
            <xm:f>GlobBerMedDisc!BA28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expression" priority="628" stopIfTrue="1" id="{00000000-0000-0000-0000-000000000000}">
            <xm:f>GlobBerMedDisc!BA29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expression" priority="629" stopIfTrue="1" id="{00000000-0000-0000-0000-000000000000}">
            <xm:f>GlobBerMedDisc!BA30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expression" priority="630" stopIfTrue="1" id="{00000000-0000-0000-0000-000000000000}">
            <xm:f>GlobBerMedDisc!BA31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expression" priority="632" stopIfTrue="1" id="{00000000-0000-0000-0000-000000000000}">
            <xm:f>GlobBerMedDisc!BC3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expression" priority="633" stopIfTrue="1" id="{00000000-0000-0000-0000-000000000000}">
            <xm:f>GlobBerMedDisc!BC4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S11</xm:sqref>
        </x14:conditionalFormatting>
        <x14:conditionalFormatting xmlns:xm="http://schemas.microsoft.com/office/excel/2006/main">
          <x14:cfRule type="expression" priority="634" stopIfTrue="1" id="{00000000-0000-0000-0000-000000000000}">
            <xm:f>GlobBerMedDisc!BC5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S12</xm:sqref>
        </x14:conditionalFormatting>
        <x14:conditionalFormatting xmlns:xm="http://schemas.microsoft.com/office/excel/2006/main">
          <x14:cfRule type="expression" priority="635" stopIfTrue="1" id="{00000000-0000-0000-0000-000000000000}">
            <xm:f>GlobBerMedDisc!BC6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expression" priority="636" stopIfTrue="1" id="{00000000-0000-0000-0000-000000000000}">
            <xm:f>GlobBerMedDisc!BC7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expression" priority="637" stopIfTrue="1" id="{00000000-0000-0000-0000-000000000000}">
            <xm:f>GlobBerMedDisc!BC8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S15</xm:sqref>
        </x14:conditionalFormatting>
        <x14:conditionalFormatting xmlns:xm="http://schemas.microsoft.com/office/excel/2006/main">
          <x14:cfRule type="expression" priority="638" stopIfTrue="1" id="{00000000-0000-0000-0000-000000000000}">
            <xm:f>GlobBerMedDisc!BC9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S16</xm:sqref>
        </x14:conditionalFormatting>
        <x14:conditionalFormatting xmlns:xm="http://schemas.microsoft.com/office/excel/2006/main">
          <x14:cfRule type="expression" priority="639" stopIfTrue="1" id="{00000000-0000-0000-0000-000000000000}">
            <xm:f>GlobBerMedDisc!BC10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S17</xm:sqref>
        </x14:conditionalFormatting>
        <x14:conditionalFormatting xmlns:xm="http://schemas.microsoft.com/office/excel/2006/main">
          <x14:cfRule type="expression" priority="640" stopIfTrue="1" id="{00000000-0000-0000-0000-000000000000}">
            <xm:f>GlobBerMedDisc!BC11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S18</xm:sqref>
        </x14:conditionalFormatting>
        <x14:conditionalFormatting xmlns:xm="http://schemas.microsoft.com/office/excel/2006/main">
          <x14:cfRule type="expression" priority="641" stopIfTrue="1" id="{00000000-0000-0000-0000-000000000000}">
            <xm:f>GlobBerMedDisc!BC12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S19</xm:sqref>
        </x14:conditionalFormatting>
        <x14:conditionalFormatting xmlns:xm="http://schemas.microsoft.com/office/excel/2006/main">
          <x14:cfRule type="expression" priority="642" stopIfTrue="1" id="{00000000-0000-0000-0000-000000000000}">
            <xm:f>GlobBerMedDisc!BC13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S20</xm:sqref>
        </x14:conditionalFormatting>
        <x14:conditionalFormatting xmlns:xm="http://schemas.microsoft.com/office/excel/2006/main">
          <x14:cfRule type="expression" priority="643" stopIfTrue="1" id="{00000000-0000-0000-0000-000000000000}">
            <xm:f>GlobBerMedDisc!BC14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S21</xm:sqref>
        </x14:conditionalFormatting>
        <x14:conditionalFormatting xmlns:xm="http://schemas.microsoft.com/office/excel/2006/main">
          <x14:cfRule type="expression" priority="644" stopIfTrue="1" id="{00000000-0000-0000-0000-000000000000}">
            <xm:f>GlobBerMedDisc!BC15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S22</xm:sqref>
        </x14:conditionalFormatting>
        <x14:conditionalFormatting xmlns:xm="http://schemas.microsoft.com/office/excel/2006/main">
          <x14:cfRule type="expression" priority="645" stopIfTrue="1" id="{00000000-0000-0000-0000-000000000000}">
            <xm:f>GlobBerMedDisc!BC16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S23</xm:sqref>
        </x14:conditionalFormatting>
        <x14:conditionalFormatting xmlns:xm="http://schemas.microsoft.com/office/excel/2006/main">
          <x14:cfRule type="expression" priority="646" stopIfTrue="1" id="{00000000-0000-0000-0000-000000000000}">
            <xm:f>GlobBerMedDisc!BC17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S24</xm:sqref>
        </x14:conditionalFormatting>
        <x14:conditionalFormatting xmlns:xm="http://schemas.microsoft.com/office/excel/2006/main">
          <x14:cfRule type="expression" priority="647" stopIfTrue="1" id="{00000000-0000-0000-0000-000000000000}">
            <xm:f>GlobBerMedDisc!BC18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S25</xm:sqref>
        </x14:conditionalFormatting>
        <x14:conditionalFormatting xmlns:xm="http://schemas.microsoft.com/office/excel/2006/main">
          <x14:cfRule type="expression" priority="648" stopIfTrue="1" id="{00000000-0000-0000-0000-000000000000}">
            <xm:f>GlobBerMedDisc!BC19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S26</xm:sqref>
        </x14:conditionalFormatting>
        <x14:conditionalFormatting xmlns:xm="http://schemas.microsoft.com/office/excel/2006/main">
          <x14:cfRule type="expression" priority="649" stopIfTrue="1" id="{00000000-0000-0000-0000-000000000000}">
            <xm:f>GlobBerMedDisc!BC20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S27</xm:sqref>
        </x14:conditionalFormatting>
        <x14:conditionalFormatting xmlns:xm="http://schemas.microsoft.com/office/excel/2006/main">
          <x14:cfRule type="expression" priority="650" stopIfTrue="1" id="{00000000-0000-0000-0000-000000000000}">
            <xm:f>GlobBerMedDisc!BC21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S28</xm:sqref>
        </x14:conditionalFormatting>
        <x14:conditionalFormatting xmlns:xm="http://schemas.microsoft.com/office/excel/2006/main">
          <x14:cfRule type="expression" priority="651" stopIfTrue="1" id="{00000000-0000-0000-0000-000000000000}">
            <xm:f>GlobBerMedDisc!BC22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S29</xm:sqref>
        </x14:conditionalFormatting>
        <x14:conditionalFormatting xmlns:xm="http://schemas.microsoft.com/office/excel/2006/main">
          <x14:cfRule type="expression" priority="652" stopIfTrue="1" id="{00000000-0000-0000-0000-000000000000}">
            <xm:f>GlobBerMedDisc!BC23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S30</xm:sqref>
        </x14:conditionalFormatting>
        <x14:conditionalFormatting xmlns:xm="http://schemas.microsoft.com/office/excel/2006/main">
          <x14:cfRule type="expression" priority="653" stopIfTrue="1" id="{00000000-0000-0000-0000-000000000000}">
            <xm:f>GlobBerMedDisc!BC24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S31</xm:sqref>
        </x14:conditionalFormatting>
        <x14:conditionalFormatting xmlns:xm="http://schemas.microsoft.com/office/excel/2006/main">
          <x14:cfRule type="expression" priority="654" stopIfTrue="1" id="{00000000-0000-0000-0000-000000000000}">
            <xm:f>GlobBerMedDisc!BC25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S32</xm:sqref>
        </x14:conditionalFormatting>
        <x14:conditionalFormatting xmlns:xm="http://schemas.microsoft.com/office/excel/2006/main">
          <x14:cfRule type="expression" priority="655" stopIfTrue="1" id="{00000000-0000-0000-0000-000000000000}">
            <xm:f>GlobBerMedDisc!BC26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S33</xm:sqref>
        </x14:conditionalFormatting>
        <x14:conditionalFormatting xmlns:xm="http://schemas.microsoft.com/office/excel/2006/main">
          <x14:cfRule type="expression" priority="656" stopIfTrue="1" id="{00000000-0000-0000-0000-000000000000}">
            <xm:f>GlobBerMedDisc!BC27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S34</xm:sqref>
        </x14:conditionalFormatting>
        <x14:conditionalFormatting xmlns:xm="http://schemas.microsoft.com/office/excel/2006/main">
          <x14:cfRule type="expression" priority="657" stopIfTrue="1" id="{00000000-0000-0000-0000-000000000000}">
            <xm:f>GlobBerMedDisc!BC28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expression" priority="658" stopIfTrue="1" id="{00000000-0000-0000-0000-000000000000}">
            <xm:f>GlobBerMedDisc!BC29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expression" priority="659" stopIfTrue="1" id="{00000000-0000-0000-0000-000000000000}">
            <xm:f>GlobBerMedDisc!BC30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expression" priority="660" stopIfTrue="1" id="{00000000-0000-0000-0000-000000000000}">
            <xm:f>GlobBerMedDisc!BC31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662" stopIfTrue="1" id="{00000000-0000-0000-0000-000000000000}">
            <xm:f>GlobBerMedDisc!BN3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663" stopIfTrue="1" id="{00000000-0000-0000-0000-000000000000}">
            <xm:f>GlobBerMedDisc!BN4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664" stopIfTrue="1" id="{00000000-0000-0000-0000-000000000000}">
            <xm:f>GlobBerMedDisc!BN5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665" stopIfTrue="1" id="{00000000-0000-0000-0000-000000000000}">
            <xm:f>GlobBerMedDisc!BN6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666" stopIfTrue="1" id="{00000000-0000-0000-0000-000000000000}">
            <xm:f>GlobBerMedDisc!BN7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667" stopIfTrue="1" id="{00000000-0000-0000-0000-000000000000}">
            <xm:f>GlobBerMedDisc!BN8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668" stopIfTrue="1" id="{00000000-0000-0000-0000-000000000000}">
            <xm:f>GlobBerMedDisc!BN9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669" stopIfTrue="1" id="{00000000-0000-0000-0000-000000000000}">
            <xm:f>GlobBerMedDisc!BN10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670" stopIfTrue="1" id="{00000000-0000-0000-0000-000000000000}">
            <xm:f>GlobBerMedDisc!BN11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F18</xm:sqref>
        </x14:conditionalFormatting>
        <x14:conditionalFormatting xmlns:xm="http://schemas.microsoft.com/office/excel/2006/main">
          <x14:cfRule type="expression" priority="671" stopIfTrue="1" id="{00000000-0000-0000-0000-000000000000}">
            <xm:f>GlobBerMedDisc!BN12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F19</xm:sqref>
        </x14:conditionalFormatting>
        <x14:conditionalFormatting xmlns:xm="http://schemas.microsoft.com/office/excel/2006/main">
          <x14:cfRule type="expression" priority="672" stopIfTrue="1" id="{00000000-0000-0000-0000-000000000000}">
            <xm:f>GlobBerMedDisc!BN13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F20</xm:sqref>
        </x14:conditionalFormatting>
        <x14:conditionalFormatting xmlns:xm="http://schemas.microsoft.com/office/excel/2006/main">
          <x14:cfRule type="expression" priority="673" stopIfTrue="1" id="{00000000-0000-0000-0000-000000000000}">
            <xm:f>GlobBerMedDisc!BN14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F21</xm:sqref>
        </x14:conditionalFormatting>
        <x14:conditionalFormatting xmlns:xm="http://schemas.microsoft.com/office/excel/2006/main">
          <x14:cfRule type="expression" priority="674" stopIfTrue="1" id="{00000000-0000-0000-0000-000000000000}">
            <xm:f>GlobBerMedDisc!BN15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F22</xm:sqref>
        </x14:conditionalFormatting>
        <x14:conditionalFormatting xmlns:xm="http://schemas.microsoft.com/office/excel/2006/main">
          <x14:cfRule type="expression" priority="675" stopIfTrue="1" id="{00000000-0000-0000-0000-000000000000}">
            <xm:f>GlobBerMedDisc!BN16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F23</xm:sqref>
        </x14:conditionalFormatting>
        <x14:conditionalFormatting xmlns:xm="http://schemas.microsoft.com/office/excel/2006/main">
          <x14:cfRule type="expression" priority="676" stopIfTrue="1" id="{00000000-0000-0000-0000-000000000000}">
            <xm:f>GlobBerMedDisc!BN17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F24</xm:sqref>
        </x14:conditionalFormatting>
        <x14:conditionalFormatting xmlns:xm="http://schemas.microsoft.com/office/excel/2006/main">
          <x14:cfRule type="expression" priority="677" stopIfTrue="1" id="{00000000-0000-0000-0000-000000000000}">
            <xm:f>GlobBerMedDisc!BN18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expression" priority="678" stopIfTrue="1" id="{00000000-0000-0000-0000-000000000000}">
            <xm:f>GlobBerMedDisc!BN19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F26</xm:sqref>
        </x14:conditionalFormatting>
        <x14:conditionalFormatting xmlns:xm="http://schemas.microsoft.com/office/excel/2006/main">
          <x14:cfRule type="expression" priority="679" stopIfTrue="1" id="{00000000-0000-0000-0000-000000000000}">
            <xm:f>GlobBerMedDisc!BN20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F27</xm:sqref>
        </x14:conditionalFormatting>
        <x14:conditionalFormatting xmlns:xm="http://schemas.microsoft.com/office/excel/2006/main">
          <x14:cfRule type="expression" priority="680" stopIfTrue="1" id="{00000000-0000-0000-0000-000000000000}">
            <xm:f>GlobBerMedDisc!BN21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F28</xm:sqref>
        </x14:conditionalFormatting>
        <x14:conditionalFormatting xmlns:xm="http://schemas.microsoft.com/office/excel/2006/main">
          <x14:cfRule type="expression" priority="681" stopIfTrue="1" id="{00000000-0000-0000-0000-000000000000}">
            <xm:f>GlobBerMedDisc!BN22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F29</xm:sqref>
        </x14:conditionalFormatting>
        <x14:conditionalFormatting xmlns:xm="http://schemas.microsoft.com/office/excel/2006/main">
          <x14:cfRule type="expression" priority="682" stopIfTrue="1" id="{00000000-0000-0000-0000-000000000000}">
            <xm:f>GlobBerMedDisc!BN23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F30</xm:sqref>
        </x14:conditionalFormatting>
        <x14:conditionalFormatting xmlns:xm="http://schemas.microsoft.com/office/excel/2006/main">
          <x14:cfRule type="expression" priority="683" stopIfTrue="1" id="{00000000-0000-0000-0000-000000000000}">
            <xm:f>GlobBerMedDisc!BN24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F31</xm:sqref>
        </x14:conditionalFormatting>
        <x14:conditionalFormatting xmlns:xm="http://schemas.microsoft.com/office/excel/2006/main">
          <x14:cfRule type="expression" priority="684" stopIfTrue="1" id="{00000000-0000-0000-0000-000000000000}">
            <xm:f>GlobBerMedDisc!BN25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F32</xm:sqref>
        </x14:conditionalFormatting>
        <x14:conditionalFormatting xmlns:xm="http://schemas.microsoft.com/office/excel/2006/main">
          <x14:cfRule type="expression" priority="685" stopIfTrue="1" id="{00000000-0000-0000-0000-000000000000}">
            <xm:f>GlobBerMedDisc!BN26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F33</xm:sqref>
        </x14:conditionalFormatting>
        <x14:conditionalFormatting xmlns:xm="http://schemas.microsoft.com/office/excel/2006/main">
          <x14:cfRule type="expression" priority="686" stopIfTrue="1" id="{00000000-0000-0000-0000-000000000000}">
            <xm:f>GlobBerMedDisc!BN27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F34</xm:sqref>
        </x14:conditionalFormatting>
        <x14:conditionalFormatting xmlns:xm="http://schemas.microsoft.com/office/excel/2006/main">
          <x14:cfRule type="expression" priority="687" stopIfTrue="1" id="{00000000-0000-0000-0000-000000000000}">
            <xm:f>GlobBerMedDisc!BN28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F35</xm:sqref>
        </x14:conditionalFormatting>
        <x14:conditionalFormatting xmlns:xm="http://schemas.microsoft.com/office/excel/2006/main">
          <x14:cfRule type="expression" priority="688" stopIfTrue="1" id="{00000000-0000-0000-0000-000000000000}">
            <xm:f>GlobBerMedDisc!BN29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F36</xm:sqref>
        </x14:conditionalFormatting>
        <x14:conditionalFormatting xmlns:xm="http://schemas.microsoft.com/office/excel/2006/main">
          <x14:cfRule type="expression" priority="689" stopIfTrue="1" id="{00000000-0000-0000-0000-000000000000}">
            <xm:f>GlobBerMedDisc!BN30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F37</xm:sqref>
        </x14:conditionalFormatting>
        <x14:conditionalFormatting xmlns:xm="http://schemas.microsoft.com/office/excel/2006/main">
          <x14:cfRule type="expression" priority="690" stopIfTrue="1" id="{00000000-0000-0000-0000-000000000000}">
            <xm:f>GlobBerMedDisc!BN31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O48"/>
  <sheetViews>
    <sheetView showZeros="0" showOutlineSymbols="0" zoomScaleNormal="100" workbookViewId="0">
      <pane xSplit="1" ySplit="1" topLeftCell="BB2" activePane="bottomRight" state="frozen"/>
      <selection pane="topRight" activeCell="B1" sqref="B1"/>
      <selection pane="bottomLeft" activeCell="A2" sqref="A2"/>
      <selection pane="bottomRight" activeCell="BN2" sqref="BN2:BN31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10.7109375" style="208" customWidth="1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</cols>
  <sheetData>
    <row r="1" spans="1:67" x14ac:dyDescent="0.2">
      <c r="A1" s="236"/>
      <c r="B1" s="209" t="s">
        <v>884</v>
      </c>
      <c r="C1" s="209" t="s">
        <v>3460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4576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4875</v>
      </c>
      <c r="Z1" t="s">
        <v>355</v>
      </c>
      <c r="AA1" s="209" t="s">
        <v>5304</v>
      </c>
      <c r="AB1" s="209" t="s">
        <v>5264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3324</v>
      </c>
      <c r="AI1" s="209" t="s">
        <v>3325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3320</v>
      </c>
      <c r="AO1" s="209" t="s">
        <v>3326</v>
      </c>
      <c r="AP1" s="209" t="s">
        <v>113</v>
      </c>
      <c r="AQ1" s="209" t="s">
        <v>3329</v>
      </c>
      <c r="AR1" s="209" t="s">
        <v>3491</v>
      </c>
      <c r="AS1" s="209" t="s">
        <v>4540</v>
      </c>
      <c r="AT1" s="209" t="s">
        <v>5439</v>
      </c>
      <c r="AU1" s="209" t="s">
        <v>5440</v>
      </c>
      <c r="AV1" s="209" t="s">
        <v>5441</v>
      </c>
      <c r="AW1" s="209" t="s">
        <v>5442</v>
      </c>
      <c r="AX1" s="209" t="s">
        <v>5443</v>
      </c>
      <c r="AY1" s="209" t="s">
        <v>5444</v>
      </c>
      <c r="AZ1" s="209" t="s">
        <v>5445</v>
      </c>
      <c r="BA1" s="209" t="s">
        <v>5446</v>
      </c>
      <c r="BB1" s="209" t="s">
        <v>5447</v>
      </c>
      <c r="BC1" s="209" t="s">
        <v>5448</v>
      </c>
      <c r="BD1" s="209" t="s">
        <v>3328</v>
      </c>
      <c r="BE1" s="209" t="s">
        <v>157</v>
      </c>
      <c r="BF1" s="209" t="s">
        <v>5822</v>
      </c>
      <c r="BG1" s="209" t="s">
        <v>5823</v>
      </c>
      <c r="BH1" s="209" t="s">
        <v>5824</v>
      </c>
      <c r="BI1" s="209" t="s">
        <v>5825</v>
      </c>
      <c r="BJ1" s="209" t="s">
        <v>5826</v>
      </c>
      <c r="BK1" s="209" t="s">
        <v>6128</v>
      </c>
      <c r="BL1" s="209" t="s">
        <v>6129</v>
      </c>
      <c r="BM1" s="209" t="s">
        <v>6130</v>
      </c>
      <c r="BN1" s="209" t="s">
        <v>7078</v>
      </c>
      <c r="BO1" s="209" t="s">
        <v>7079</v>
      </c>
    </row>
    <row r="2" spans="1:67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208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IF(C2&gt;1,N2&amp;"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s="208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209" t="b">
        <f>AND(OR(AT2=0,AT2=""),BG2&lt;&gt;0,BG2&lt;&gt;"",M2&lt;0.9*BG2)</f>
        <v>0</v>
      </c>
      <c r="BI2" s="209" t="b">
        <f>AND(OR(AU2=0,AU2=""),BG2&lt;&gt;0,BG2&lt;&gt;"",M2&gt;(1.1*BG2))</f>
        <v>0</v>
      </c>
      <c r="BK2" t="b">
        <f t="shared" ref="BK2:BK31" si="16">AND(BJ2&lt;&gt;0,BJ2&lt;&gt;"",BJ2&lt;M2*_Pat_Gewicht/10)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</row>
    <row r="3" spans="1:67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8">IF(_Pat_Gewicht&gt;0,IF(ROUND(10*K3/_Pat_Gewicht,1) = 0,ROUND(10*K3/_Pat_Gewicht,2),ROUND(10*K3/_Pat_Gewicht,1) ),0)</f>
        <v>0</v>
      </c>
      <c r="N3" s="7">
        <f t="shared" ref="N3:N31" si="19">FixPrecision(M3, 2)</f>
        <v>0</v>
      </c>
      <c r="O3">
        <v>0</v>
      </c>
      <c r="P3">
        <v>1</v>
      </c>
      <c r="Q3">
        <f t="shared" ref="Q3:Q21" si="20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21">IF(D3="","",IF(V3=-1,C3,D3))</f>
        <v/>
      </c>
      <c r="X3" s="208" t="str">
        <f t="shared" si="6"/>
        <v/>
      </c>
      <c r="Y3" s="208" t="str">
        <f t="shared" ref="Y3:Y31" si="22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B3" s="209">
        <f t="shared" si="8"/>
        <v>0</v>
      </c>
      <c r="AC3" t="str">
        <f t="shared" si="9"/>
        <v/>
      </c>
      <c r="AE3" s="208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208">
        <f t="shared" si="10"/>
        <v>0</v>
      </c>
      <c r="AH3" s="208" t="b">
        <v>0</v>
      </c>
      <c r="AK3">
        <v>0</v>
      </c>
      <c r="AN3" s="208" t="str">
        <f t="shared" si="11"/>
        <v/>
      </c>
      <c r="AO3" s="208" t="str">
        <f t="shared" si="12"/>
        <v/>
      </c>
      <c r="AP3" s="208" t="str">
        <f t="shared" si="13"/>
        <v/>
      </c>
      <c r="AQ3" s="208" t="str">
        <f t="shared" ref="AQ3:AQ31" si="24">IF(AH3,"PRN","")</f>
        <v/>
      </c>
      <c r="AR3" s="208" t="str">
        <f t="shared" si="14"/>
        <v/>
      </c>
      <c r="AS3" s="208" t="str">
        <f t="shared" ref="AS3:AS31" si="25">IF(AH3,"PRN: "&amp;AI3&amp;" "&amp;AD3,IF(AD3="","",AD3))</f>
        <v/>
      </c>
      <c r="AV3" s="208" t="b">
        <f t="shared" ref="AV3:AV31" si="26">AND(AT3&lt;&gt;0,$M3&lt;AT3)</f>
        <v>0</v>
      </c>
      <c r="AW3" s="208" t="b">
        <f t="shared" ref="AW3:AW31" si="27">AND(AU3&lt;&gt;0,$M3&gt;AU3)</f>
        <v>0</v>
      </c>
      <c r="BA3" s="208" t="b">
        <f t="shared" ref="BA3:BA31" si="28">AND(AX3&lt;&gt;0,OR(BD3 =0,BD3&gt;AX3))</f>
        <v>0</v>
      </c>
      <c r="BB3" s="208" t="b">
        <f>AND(AY3&lt;&gt;"",AY3&lt;&gt;0,NOT(ContainsCaseInsensitive(AB3,AY3)))</f>
        <v>0</v>
      </c>
      <c r="BC3" s="209" t="b">
        <f t="shared" ref="BC3:BC31" si="29">AND(AZ3&lt;&gt;"",AZ3&lt;&gt;0,R3&lt;AZ3)</f>
        <v>0</v>
      </c>
      <c r="BD3" s="208">
        <f t="shared" ref="BD3:BD31" si="30">IF(AND(C3&gt;1,P3&gt;1,O3&gt;0),ROUND(H3/O3,2),0)</f>
        <v>0</v>
      </c>
      <c r="BF3" s="208" t="b">
        <f t="shared" ref="BF3:BF31" si="31">AND(BE3&lt;&gt;"",BE3&lt;&gt;0,NOT(ContainsCaseInsensitive(BE3,X3)))</f>
        <v>0</v>
      </c>
      <c r="BH3" s="209" t="b">
        <f t="shared" ref="BH3:BH31" si="32">AND(OR(AT3=0,AT3=""),BG3&lt;&gt;0,BG3&lt;&gt;"",M3&lt;0.9*BG3)</f>
        <v>0</v>
      </c>
      <c r="BI3" s="209" t="b">
        <f t="shared" ref="BI3:BI31" si="33">AND(OR(AU3=0,AU3=""),BG3&lt;&gt;0,BG3&lt;&gt;"",M3&gt;(1.1*BG3))</f>
        <v>0</v>
      </c>
      <c r="BK3" s="208" t="b">
        <f t="shared" si="16"/>
        <v>0</v>
      </c>
      <c r="BL3" s="208" t="b">
        <f t="shared" ref="BL3:BL31" si="34">OR(BH3,BI3)</f>
        <v>0</v>
      </c>
      <c r="BM3" s="208" t="b">
        <f t="shared" ref="BM3:BM31" si="35">OR(AV3,AW3,BK3)</f>
        <v>0</v>
      </c>
      <c r="BN3" s="208" t="b">
        <f t="shared" si="17"/>
        <v>0</v>
      </c>
      <c r="BO3" s="208" t="str">
        <f t="shared" ref="BO3:BO31" si="36">UPPER( TRIM(D3&amp;" "&amp;L3))</f>
        <v/>
      </c>
    </row>
    <row r="4" spans="1:67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8"/>
        <v>0</v>
      </c>
      <c r="N4" s="7">
        <f t="shared" si="19"/>
        <v>0</v>
      </c>
      <c r="O4">
        <v>0</v>
      </c>
      <c r="P4">
        <v>1</v>
      </c>
      <c r="Q4">
        <f t="shared" si="20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21"/>
        <v/>
      </c>
      <c r="X4" s="208" t="str">
        <f t="shared" si="6"/>
        <v/>
      </c>
      <c r="Y4" s="208" t="str">
        <f t="shared" si="22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B4" s="209">
        <f t="shared" si="8"/>
        <v>0</v>
      </c>
      <c r="AC4" t="str">
        <f t="shared" si="9"/>
        <v/>
      </c>
      <c r="AE4" s="208" t="str">
        <f>IF(OR(W4="",W4=0),"",ConcatenateRange((W4,X4,Y4,Z4,AA4,AC4,AD4,V4,B4,AH4,AI4,AJ4,AK4,AL4,AM4,AO4), "||"))</f>
        <v/>
      </c>
      <c r="AF4">
        <f t="shared" si="23"/>
        <v>2</v>
      </c>
      <c r="AG4" s="208">
        <f t="shared" si="10"/>
        <v>0</v>
      </c>
      <c r="AH4" s="208" t="b">
        <v>0</v>
      </c>
      <c r="AK4">
        <v>0</v>
      </c>
      <c r="AN4" s="208" t="str">
        <f t="shared" si="11"/>
        <v/>
      </c>
      <c r="AO4" s="208" t="str">
        <f t="shared" si="12"/>
        <v/>
      </c>
      <c r="AP4" s="208" t="str">
        <f t="shared" si="13"/>
        <v/>
      </c>
      <c r="AQ4" s="208" t="str">
        <f t="shared" si="24"/>
        <v/>
      </c>
      <c r="AR4" s="208" t="str">
        <f t="shared" si="14"/>
        <v/>
      </c>
      <c r="AS4" s="208" t="str">
        <f t="shared" si="25"/>
        <v/>
      </c>
      <c r="AV4" s="208" t="b">
        <f t="shared" si="26"/>
        <v>0</v>
      </c>
      <c r="AW4" s="208" t="b">
        <f t="shared" si="27"/>
        <v>0</v>
      </c>
      <c r="BA4" s="208" t="b">
        <f t="shared" si="28"/>
        <v>0</v>
      </c>
      <c r="BB4" s="208" t="b">
        <f t="shared" si="15"/>
        <v>0</v>
      </c>
      <c r="BC4" s="209" t="b">
        <f t="shared" si="29"/>
        <v>0</v>
      </c>
      <c r="BD4" s="208">
        <f t="shared" si="30"/>
        <v>0</v>
      </c>
      <c r="BF4" s="208" t="b">
        <f t="shared" si="31"/>
        <v>0</v>
      </c>
      <c r="BH4" s="209" t="b">
        <f t="shared" si="32"/>
        <v>0</v>
      </c>
      <c r="BI4" s="209" t="b">
        <f t="shared" si="33"/>
        <v>0</v>
      </c>
      <c r="BK4" s="208" t="b">
        <f t="shared" si="16"/>
        <v>0</v>
      </c>
      <c r="BL4" s="208" t="b">
        <f t="shared" si="34"/>
        <v>0</v>
      </c>
      <c r="BM4" s="208" t="b">
        <f t="shared" si="35"/>
        <v>0</v>
      </c>
      <c r="BN4" s="208" t="b">
        <f t="shared" si="17"/>
        <v>0</v>
      </c>
      <c r="BO4" s="208" t="str">
        <f t="shared" si="36"/>
        <v/>
      </c>
    </row>
    <row r="5" spans="1:67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8"/>
        <v>0</v>
      </c>
      <c r="N5" s="7">
        <f t="shared" si="19"/>
        <v>0</v>
      </c>
      <c r="O5">
        <v>0</v>
      </c>
      <c r="P5">
        <v>1</v>
      </c>
      <c r="Q5">
        <f t="shared" si="20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21"/>
        <v/>
      </c>
      <c r="X5" s="208" t="str">
        <f t="shared" si="6"/>
        <v/>
      </c>
      <c r="Y5" s="208" t="str">
        <f t="shared" si="22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B5" s="209">
        <f t="shared" si="8"/>
        <v>0</v>
      </c>
      <c r="AC5" t="str">
        <f t="shared" si="9"/>
        <v/>
      </c>
      <c r="AE5" s="208" t="str">
        <f>IF(OR(W5="",W5=0),"",ConcatenateRange((W5,X5,Y5,Z5,AA5,AC5,AD5,V5,B5,AH5,AI5,AJ5,AK5,AL5,AM5,AO5), "||"))</f>
        <v/>
      </c>
      <c r="AF5">
        <f t="shared" si="23"/>
        <v>2</v>
      </c>
      <c r="AG5" s="208">
        <f t="shared" si="10"/>
        <v>0</v>
      </c>
      <c r="AH5" s="208" t="b">
        <v>0</v>
      </c>
      <c r="AK5">
        <v>0</v>
      </c>
      <c r="AN5" s="208" t="str">
        <f t="shared" si="11"/>
        <v/>
      </c>
      <c r="AO5" s="208" t="str">
        <f t="shared" si="12"/>
        <v/>
      </c>
      <c r="AP5" s="208" t="str">
        <f t="shared" si="13"/>
        <v/>
      </c>
      <c r="AQ5" s="208" t="str">
        <f t="shared" si="24"/>
        <v/>
      </c>
      <c r="AR5" s="208" t="str">
        <f t="shared" si="14"/>
        <v/>
      </c>
      <c r="AS5" s="208" t="str">
        <f t="shared" si="25"/>
        <v/>
      </c>
      <c r="AV5" s="208" t="b">
        <f t="shared" si="26"/>
        <v>0</v>
      </c>
      <c r="AW5" s="208" t="b">
        <f t="shared" si="27"/>
        <v>0</v>
      </c>
      <c r="BA5" s="208" t="b">
        <f t="shared" si="28"/>
        <v>0</v>
      </c>
      <c r="BB5" s="208" t="b">
        <f t="shared" si="15"/>
        <v>0</v>
      </c>
      <c r="BC5" s="209" t="b">
        <f t="shared" si="29"/>
        <v>0</v>
      </c>
      <c r="BD5" s="208">
        <f t="shared" si="30"/>
        <v>0</v>
      </c>
      <c r="BF5" s="208" t="b">
        <f t="shared" si="31"/>
        <v>0</v>
      </c>
      <c r="BH5" s="209" t="b">
        <f t="shared" si="32"/>
        <v>0</v>
      </c>
      <c r="BI5" s="209" t="b">
        <f t="shared" si="33"/>
        <v>0</v>
      </c>
      <c r="BK5" s="208" t="b">
        <f t="shared" si="16"/>
        <v>0</v>
      </c>
      <c r="BL5" s="208" t="b">
        <f t="shared" si="34"/>
        <v>0</v>
      </c>
      <c r="BM5" s="208" t="b">
        <f t="shared" si="35"/>
        <v>0</v>
      </c>
      <c r="BN5" s="208" t="b">
        <f t="shared" si="17"/>
        <v>0</v>
      </c>
      <c r="BO5" s="208" t="str">
        <f t="shared" si="36"/>
        <v/>
      </c>
    </row>
    <row r="6" spans="1:67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8"/>
        <v>0</v>
      </c>
      <c r="N6" s="7">
        <f t="shared" si="19"/>
        <v>0</v>
      </c>
      <c r="O6">
        <v>0</v>
      </c>
      <c r="P6">
        <v>1</v>
      </c>
      <c r="Q6">
        <f t="shared" si="20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21"/>
        <v/>
      </c>
      <c r="X6" s="208" t="str">
        <f t="shared" si="6"/>
        <v/>
      </c>
      <c r="Y6" s="208" t="str">
        <f t="shared" si="22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B6" s="209">
        <f t="shared" si="8"/>
        <v>0</v>
      </c>
      <c r="AC6" t="str">
        <f t="shared" si="9"/>
        <v/>
      </c>
      <c r="AE6" s="208" t="str">
        <f>IF(OR(W6="",W6=0),"",ConcatenateRange((W6,X6,Y6,Z6,AA6,AC6,AD6,V6,B6,AH6,AI6,AJ6,AK6,AL6,AM6,AO6), "||"))</f>
        <v/>
      </c>
      <c r="AF6">
        <f t="shared" si="23"/>
        <v>2</v>
      </c>
      <c r="AG6" s="208">
        <f t="shared" si="10"/>
        <v>0</v>
      </c>
      <c r="AH6" s="208" t="b">
        <v>0</v>
      </c>
      <c r="AK6">
        <v>0</v>
      </c>
      <c r="AN6" s="208" t="str">
        <f t="shared" si="11"/>
        <v/>
      </c>
      <c r="AO6" s="208" t="str">
        <f t="shared" si="12"/>
        <v/>
      </c>
      <c r="AP6" s="208" t="str">
        <f t="shared" si="13"/>
        <v/>
      </c>
      <c r="AQ6" s="208" t="str">
        <f t="shared" si="24"/>
        <v/>
      </c>
      <c r="AR6" s="208" t="str">
        <f t="shared" si="14"/>
        <v/>
      </c>
      <c r="AS6" s="208" t="str">
        <f t="shared" si="25"/>
        <v/>
      </c>
      <c r="AV6" s="208" t="b">
        <f t="shared" si="26"/>
        <v>0</v>
      </c>
      <c r="AW6" s="208" t="b">
        <f t="shared" si="27"/>
        <v>0</v>
      </c>
      <c r="BA6" s="208" t="b">
        <f t="shared" si="28"/>
        <v>0</v>
      </c>
      <c r="BB6" s="208" t="b">
        <f t="shared" si="15"/>
        <v>0</v>
      </c>
      <c r="BC6" s="209" t="b">
        <f t="shared" si="29"/>
        <v>0</v>
      </c>
      <c r="BD6" s="208">
        <f t="shared" si="30"/>
        <v>0</v>
      </c>
      <c r="BF6" s="208" t="b">
        <f t="shared" si="31"/>
        <v>0</v>
      </c>
      <c r="BH6" s="209" t="b">
        <f t="shared" si="32"/>
        <v>0</v>
      </c>
      <c r="BI6" s="209" t="b">
        <f t="shared" si="33"/>
        <v>0</v>
      </c>
      <c r="BK6" s="208" t="b">
        <f t="shared" si="16"/>
        <v>0</v>
      </c>
      <c r="BL6" s="208" t="b">
        <f t="shared" si="34"/>
        <v>0</v>
      </c>
      <c r="BM6" s="208" t="b">
        <f t="shared" si="35"/>
        <v>0</v>
      </c>
      <c r="BN6" s="208" t="b">
        <f t="shared" si="17"/>
        <v>0</v>
      </c>
      <c r="BO6" s="208" t="str">
        <f t="shared" si="36"/>
        <v/>
      </c>
    </row>
    <row r="7" spans="1:67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8"/>
        <v>0</v>
      </c>
      <c r="N7" s="7">
        <f t="shared" si="19"/>
        <v>0</v>
      </c>
      <c r="O7">
        <v>0</v>
      </c>
      <c r="P7">
        <v>1</v>
      </c>
      <c r="Q7">
        <f t="shared" si="20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21"/>
        <v/>
      </c>
      <c r="X7" s="208" t="str">
        <f t="shared" si="6"/>
        <v/>
      </c>
      <c r="Y7" s="208" t="str">
        <f t="shared" si="22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B7" s="209">
        <f t="shared" si="8"/>
        <v>0</v>
      </c>
      <c r="AC7" t="str">
        <f t="shared" si="9"/>
        <v/>
      </c>
      <c r="AE7" s="208" t="str">
        <f>IF(OR(W7="",W7=0),"",ConcatenateRange((W7,X7,Y7,Z7,AA7,AC7,AD7,V7,B7,AH7,AI7,AJ7,AK7,AL7,AM7,AO7), "||"))</f>
        <v/>
      </c>
      <c r="AF7">
        <f t="shared" si="23"/>
        <v>2</v>
      </c>
      <c r="AG7" s="208">
        <f t="shared" si="10"/>
        <v>0</v>
      </c>
      <c r="AH7" s="208" t="b">
        <v>0</v>
      </c>
      <c r="AK7">
        <v>0</v>
      </c>
      <c r="AN7" s="208" t="str">
        <f t="shared" si="11"/>
        <v/>
      </c>
      <c r="AO7" s="208" t="str">
        <f t="shared" si="12"/>
        <v/>
      </c>
      <c r="AP7" s="208" t="str">
        <f t="shared" si="13"/>
        <v/>
      </c>
      <c r="AQ7" s="208" t="str">
        <f t="shared" si="24"/>
        <v/>
      </c>
      <c r="AR7" s="208" t="str">
        <f t="shared" si="14"/>
        <v/>
      </c>
      <c r="AS7" s="208" t="str">
        <f t="shared" si="25"/>
        <v/>
      </c>
      <c r="AV7" s="208" t="b">
        <f t="shared" si="26"/>
        <v>0</v>
      </c>
      <c r="AW7" s="208" t="b">
        <f t="shared" si="27"/>
        <v>0</v>
      </c>
      <c r="BA7" s="208" t="b">
        <f t="shared" si="28"/>
        <v>0</v>
      </c>
      <c r="BB7" s="208" t="b">
        <f t="shared" si="15"/>
        <v>0</v>
      </c>
      <c r="BC7" s="209" t="b">
        <f t="shared" si="29"/>
        <v>0</v>
      </c>
      <c r="BD7" s="208">
        <f t="shared" si="30"/>
        <v>0</v>
      </c>
      <c r="BF7" s="208" t="b">
        <f t="shared" si="31"/>
        <v>0</v>
      </c>
      <c r="BH7" s="209" t="b">
        <f t="shared" si="32"/>
        <v>0</v>
      </c>
      <c r="BI7" s="209" t="b">
        <f t="shared" si="33"/>
        <v>0</v>
      </c>
      <c r="BK7" s="208" t="b">
        <f t="shared" si="16"/>
        <v>0</v>
      </c>
      <c r="BL7" s="208" t="b">
        <f t="shared" si="34"/>
        <v>0</v>
      </c>
      <c r="BM7" s="208" t="b">
        <f t="shared" si="35"/>
        <v>0</v>
      </c>
      <c r="BN7" s="208" t="b">
        <f t="shared" si="17"/>
        <v>0</v>
      </c>
      <c r="BO7" s="208" t="str">
        <f t="shared" si="36"/>
        <v/>
      </c>
    </row>
    <row r="8" spans="1:67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8"/>
        <v>0</v>
      </c>
      <c r="N8" s="7">
        <f t="shared" si="19"/>
        <v>0</v>
      </c>
      <c r="O8">
        <v>0</v>
      </c>
      <c r="P8">
        <v>1</v>
      </c>
      <c r="Q8">
        <f t="shared" si="20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21"/>
        <v/>
      </c>
      <c r="X8" s="208" t="str">
        <f t="shared" si="6"/>
        <v/>
      </c>
      <c r="Y8" s="208" t="str">
        <f t="shared" si="22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B8" s="209">
        <f t="shared" si="8"/>
        <v>0</v>
      </c>
      <c r="AC8" t="str">
        <f t="shared" si="9"/>
        <v/>
      </c>
      <c r="AE8" s="208" t="str">
        <f>IF(OR(W8="",W8=0),"",ConcatenateRange((W8,X8,Y8,Z8,AA8,AC8,AD8,V8,B8,AH8,AI8,AJ8,AK8,AL8,AM8,AO8), "||"))</f>
        <v/>
      </c>
      <c r="AF8">
        <f t="shared" si="23"/>
        <v>2</v>
      </c>
      <c r="AG8" s="208">
        <f t="shared" si="10"/>
        <v>0</v>
      </c>
      <c r="AH8" s="208" t="b">
        <v>0</v>
      </c>
      <c r="AK8">
        <v>0</v>
      </c>
      <c r="AN8" s="208" t="str">
        <f t="shared" si="11"/>
        <v/>
      </c>
      <c r="AO8" s="208" t="str">
        <f t="shared" si="12"/>
        <v/>
      </c>
      <c r="AP8" s="208" t="str">
        <f t="shared" si="13"/>
        <v/>
      </c>
      <c r="AQ8" s="208" t="str">
        <f t="shared" si="24"/>
        <v/>
      </c>
      <c r="AR8" s="208" t="str">
        <f t="shared" si="14"/>
        <v/>
      </c>
      <c r="AS8" s="208" t="str">
        <f t="shared" si="25"/>
        <v/>
      </c>
      <c r="AV8" s="208" t="b">
        <f t="shared" si="26"/>
        <v>0</v>
      </c>
      <c r="AW8" s="208" t="b">
        <f t="shared" si="27"/>
        <v>0</v>
      </c>
      <c r="BA8" s="208" t="b">
        <f t="shared" si="28"/>
        <v>0</v>
      </c>
      <c r="BB8" s="208" t="b">
        <f t="shared" si="15"/>
        <v>0</v>
      </c>
      <c r="BC8" s="209" t="b">
        <f t="shared" si="29"/>
        <v>0</v>
      </c>
      <c r="BD8" s="208">
        <f t="shared" si="30"/>
        <v>0</v>
      </c>
      <c r="BF8" s="208" t="b">
        <f t="shared" si="31"/>
        <v>0</v>
      </c>
      <c r="BH8" s="209" t="b">
        <f t="shared" si="32"/>
        <v>0</v>
      </c>
      <c r="BI8" s="209" t="b">
        <f t="shared" si="33"/>
        <v>0</v>
      </c>
      <c r="BK8" s="208" t="b">
        <f t="shared" si="16"/>
        <v>0</v>
      </c>
      <c r="BL8" s="208" t="b">
        <f t="shared" si="34"/>
        <v>0</v>
      </c>
      <c r="BM8" s="208" t="b">
        <f t="shared" si="35"/>
        <v>0</v>
      </c>
      <c r="BN8" s="208" t="b">
        <f t="shared" si="17"/>
        <v>0</v>
      </c>
      <c r="BO8" s="208" t="str">
        <f t="shared" si="36"/>
        <v/>
      </c>
    </row>
    <row r="9" spans="1:67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8"/>
        <v>0</v>
      </c>
      <c r="N9" s="7">
        <f t="shared" si="19"/>
        <v>0</v>
      </c>
      <c r="O9">
        <v>0</v>
      </c>
      <c r="P9">
        <v>1</v>
      </c>
      <c r="Q9">
        <f t="shared" si="20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21"/>
        <v/>
      </c>
      <c r="X9" s="208" t="str">
        <f t="shared" si="6"/>
        <v/>
      </c>
      <c r="Y9" s="208" t="str">
        <f t="shared" si="22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B9" s="209">
        <f t="shared" si="8"/>
        <v>0</v>
      </c>
      <c r="AC9" t="str">
        <f t="shared" si="9"/>
        <v/>
      </c>
      <c r="AE9" s="208" t="str">
        <f>IF(OR(W9="",W9=0),"",ConcatenateRange((W9,X9,Y9,Z9,AA9,AC9,AD9,V9,B9,AH9,AI9,AJ9,AK9,AL9,AM9,AO9), "||"))</f>
        <v/>
      </c>
      <c r="AF9">
        <f t="shared" si="23"/>
        <v>2</v>
      </c>
      <c r="AG9" s="208">
        <f t="shared" si="10"/>
        <v>0</v>
      </c>
      <c r="AH9" s="208" t="b">
        <v>0</v>
      </c>
      <c r="AK9">
        <v>0</v>
      </c>
      <c r="AN9" s="208" t="str">
        <f t="shared" si="11"/>
        <v/>
      </c>
      <c r="AO9" s="208" t="str">
        <f t="shared" si="12"/>
        <v/>
      </c>
      <c r="AP9" s="208" t="str">
        <f t="shared" si="13"/>
        <v/>
      </c>
      <c r="AQ9" s="208" t="str">
        <f t="shared" si="24"/>
        <v/>
      </c>
      <c r="AR9" s="208" t="str">
        <f t="shared" si="14"/>
        <v/>
      </c>
      <c r="AS9" s="208" t="str">
        <f t="shared" si="25"/>
        <v/>
      </c>
      <c r="AV9" s="208" t="b">
        <f t="shared" si="26"/>
        <v>0</v>
      </c>
      <c r="AW9" s="208" t="b">
        <f t="shared" si="27"/>
        <v>0</v>
      </c>
      <c r="BA9" s="208" t="b">
        <f t="shared" si="28"/>
        <v>0</v>
      </c>
      <c r="BB9" s="208" t="b">
        <f t="shared" si="15"/>
        <v>0</v>
      </c>
      <c r="BC9" s="209" t="b">
        <f t="shared" si="29"/>
        <v>0</v>
      </c>
      <c r="BD9" s="208">
        <f t="shared" si="30"/>
        <v>0</v>
      </c>
      <c r="BF9" s="208" t="b">
        <f t="shared" si="31"/>
        <v>0</v>
      </c>
      <c r="BH9" s="209" t="b">
        <f t="shared" si="32"/>
        <v>0</v>
      </c>
      <c r="BI9" s="209" t="b">
        <f t="shared" si="33"/>
        <v>0</v>
      </c>
      <c r="BK9" s="208" t="b">
        <f t="shared" si="16"/>
        <v>0</v>
      </c>
      <c r="BL9" s="208" t="b">
        <f t="shared" si="34"/>
        <v>0</v>
      </c>
      <c r="BM9" s="208" t="b">
        <f t="shared" si="35"/>
        <v>0</v>
      </c>
      <c r="BN9" s="208" t="b">
        <f t="shared" si="17"/>
        <v>0</v>
      </c>
      <c r="BO9" s="208" t="str">
        <f t="shared" si="36"/>
        <v/>
      </c>
    </row>
    <row r="10" spans="1:67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8"/>
        <v>0</v>
      </c>
      <c r="N10" s="7">
        <f t="shared" si="19"/>
        <v>0</v>
      </c>
      <c r="O10">
        <v>0</v>
      </c>
      <c r="P10">
        <v>1</v>
      </c>
      <c r="Q10">
        <f t="shared" si="20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21"/>
        <v/>
      </c>
      <c r="X10" s="208" t="str">
        <f t="shared" si="6"/>
        <v/>
      </c>
      <c r="Y10" s="208" t="str">
        <f t="shared" si="22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B10" s="209">
        <f t="shared" si="8"/>
        <v>0</v>
      </c>
      <c r="AC10" t="str">
        <f t="shared" si="9"/>
        <v/>
      </c>
      <c r="AE10" s="208" t="str">
        <f>IF(OR(W10="",W10=0),"",ConcatenateRange((W10,X10,Y10,Z10,AA10,AC10,AD10,V10,B10,AH10,AI10,AJ10,AK10,AL10,AM10,AO10), "||"))</f>
        <v/>
      </c>
      <c r="AF10">
        <f t="shared" si="23"/>
        <v>2</v>
      </c>
      <c r="AG10" s="208">
        <f t="shared" si="10"/>
        <v>0</v>
      </c>
      <c r="AH10" s="208" t="b">
        <v>0</v>
      </c>
      <c r="AK10">
        <v>0</v>
      </c>
      <c r="AN10" s="208" t="str">
        <f t="shared" si="11"/>
        <v/>
      </c>
      <c r="AO10" s="208" t="str">
        <f t="shared" si="12"/>
        <v/>
      </c>
      <c r="AP10" s="208" t="str">
        <f t="shared" si="13"/>
        <v/>
      </c>
      <c r="AQ10" s="208" t="str">
        <f t="shared" si="24"/>
        <v/>
      </c>
      <c r="AR10" s="208" t="str">
        <f t="shared" si="14"/>
        <v/>
      </c>
      <c r="AS10" s="208" t="str">
        <f t="shared" si="25"/>
        <v/>
      </c>
      <c r="AV10" s="208" t="b">
        <f t="shared" si="26"/>
        <v>0</v>
      </c>
      <c r="AW10" s="208" t="b">
        <f t="shared" si="27"/>
        <v>0</v>
      </c>
      <c r="BA10" s="208" t="b">
        <f t="shared" si="28"/>
        <v>0</v>
      </c>
      <c r="BB10" s="208" t="b">
        <f t="shared" si="15"/>
        <v>0</v>
      </c>
      <c r="BC10" s="209" t="b">
        <f t="shared" si="29"/>
        <v>0</v>
      </c>
      <c r="BD10" s="208">
        <f t="shared" si="30"/>
        <v>0</v>
      </c>
      <c r="BF10" s="208" t="b">
        <f t="shared" si="31"/>
        <v>0</v>
      </c>
      <c r="BH10" s="209" t="b">
        <f t="shared" si="32"/>
        <v>0</v>
      </c>
      <c r="BI10" s="209" t="b">
        <f t="shared" si="33"/>
        <v>0</v>
      </c>
      <c r="BK10" s="208" t="b">
        <f t="shared" si="16"/>
        <v>0</v>
      </c>
      <c r="BL10" s="208" t="b">
        <f t="shared" si="34"/>
        <v>0</v>
      </c>
      <c r="BM10" s="208" t="b">
        <f t="shared" si="35"/>
        <v>0</v>
      </c>
      <c r="BN10" s="208" t="b">
        <f t="shared" si="17"/>
        <v>0</v>
      </c>
      <c r="BO10" s="208" t="str">
        <f t="shared" si="36"/>
        <v/>
      </c>
    </row>
    <row r="11" spans="1:67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8"/>
        <v>0</v>
      </c>
      <c r="N11" s="7">
        <f t="shared" si="19"/>
        <v>0</v>
      </c>
      <c r="O11">
        <v>0</v>
      </c>
      <c r="P11">
        <v>1</v>
      </c>
      <c r="Q11">
        <f t="shared" si="20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21"/>
        <v/>
      </c>
      <c r="X11" s="208" t="str">
        <f t="shared" si="6"/>
        <v/>
      </c>
      <c r="Y11" s="208" t="str">
        <f t="shared" si="22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B11" s="209">
        <f t="shared" si="8"/>
        <v>0</v>
      </c>
      <c r="AC11" t="str">
        <f t="shared" si="9"/>
        <v/>
      </c>
      <c r="AE11" s="208" t="str">
        <f>IF(OR(W11="",W11=0),"",ConcatenateRange((W11,X11,Y11,Z11,AA11,AC11,AD11,V11,B11,AH11,AI11,AJ11,AK11,AL11,AM11,AO11), "||"))</f>
        <v/>
      </c>
      <c r="AF11">
        <f t="shared" si="23"/>
        <v>2</v>
      </c>
      <c r="AG11" s="208">
        <f t="shared" si="10"/>
        <v>0</v>
      </c>
      <c r="AH11" s="208" t="b">
        <v>0</v>
      </c>
      <c r="AK11">
        <v>0</v>
      </c>
      <c r="AN11" s="208" t="str">
        <f t="shared" si="11"/>
        <v/>
      </c>
      <c r="AO11" s="208" t="str">
        <f t="shared" si="12"/>
        <v/>
      </c>
      <c r="AP11" s="208" t="str">
        <f t="shared" si="13"/>
        <v/>
      </c>
      <c r="AQ11" s="208" t="str">
        <f t="shared" si="24"/>
        <v/>
      </c>
      <c r="AR11" s="208" t="str">
        <f t="shared" si="14"/>
        <v/>
      </c>
      <c r="AS11" s="208" t="str">
        <f t="shared" si="25"/>
        <v/>
      </c>
      <c r="AV11" s="208" t="b">
        <f t="shared" si="26"/>
        <v>0</v>
      </c>
      <c r="AW11" s="208" t="b">
        <f t="shared" si="27"/>
        <v>0</v>
      </c>
      <c r="BA11" s="208" t="b">
        <f t="shared" si="28"/>
        <v>0</v>
      </c>
      <c r="BB11" s="208" t="b">
        <f t="shared" si="15"/>
        <v>0</v>
      </c>
      <c r="BC11" s="209" t="b">
        <f t="shared" si="29"/>
        <v>0</v>
      </c>
      <c r="BD11" s="208">
        <f t="shared" si="30"/>
        <v>0</v>
      </c>
      <c r="BF11" s="208" t="b">
        <f t="shared" si="31"/>
        <v>0</v>
      </c>
      <c r="BH11" s="209" t="b">
        <f t="shared" si="32"/>
        <v>0</v>
      </c>
      <c r="BI11" s="209" t="b">
        <f t="shared" si="33"/>
        <v>0</v>
      </c>
      <c r="BK11" s="208" t="b">
        <f t="shared" si="16"/>
        <v>0</v>
      </c>
      <c r="BL11" s="208" t="b">
        <f t="shared" si="34"/>
        <v>0</v>
      </c>
      <c r="BM11" s="208" t="b">
        <f t="shared" si="35"/>
        <v>0</v>
      </c>
      <c r="BN11" s="208" t="b">
        <f t="shared" si="17"/>
        <v>0</v>
      </c>
      <c r="BO11" s="208" t="str">
        <f t="shared" si="36"/>
        <v/>
      </c>
    </row>
    <row r="12" spans="1:67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8"/>
        <v>0</v>
      </c>
      <c r="N12" s="7">
        <f t="shared" si="19"/>
        <v>0</v>
      </c>
      <c r="O12">
        <v>0</v>
      </c>
      <c r="P12">
        <v>1</v>
      </c>
      <c r="Q12">
        <f t="shared" si="20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21"/>
        <v/>
      </c>
      <c r="X12" s="208" t="str">
        <f t="shared" si="6"/>
        <v/>
      </c>
      <c r="Y12" s="208" t="str">
        <f t="shared" si="22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B12" s="209">
        <f t="shared" si="8"/>
        <v>0</v>
      </c>
      <c r="AC12" t="str">
        <f t="shared" si="9"/>
        <v/>
      </c>
      <c r="AE12" s="208" t="str">
        <f>IF(OR(W12="",W12=0),"",ConcatenateRange((W12,X12,Y12,Z12,AA12,AC12,AD12,V12,B12,AH12,AI12,AJ12,AK12,AL12,AM12,AO12), "||"))</f>
        <v/>
      </c>
      <c r="AF12">
        <f t="shared" si="23"/>
        <v>2</v>
      </c>
      <c r="AG12" s="208">
        <f t="shared" si="10"/>
        <v>0</v>
      </c>
      <c r="AH12" s="208" t="b">
        <v>0</v>
      </c>
      <c r="AK12">
        <v>0</v>
      </c>
      <c r="AN12" s="208" t="str">
        <f t="shared" si="11"/>
        <v/>
      </c>
      <c r="AO12" s="208" t="str">
        <f t="shared" si="12"/>
        <v/>
      </c>
      <c r="AP12" s="208" t="str">
        <f t="shared" si="13"/>
        <v/>
      </c>
      <c r="AQ12" s="208" t="str">
        <f t="shared" si="24"/>
        <v/>
      </c>
      <c r="AR12" s="208" t="str">
        <f t="shared" si="14"/>
        <v/>
      </c>
      <c r="AS12" s="208" t="str">
        <f t="shared" si="25"/>
        <v/>
      </c>
      <c r="AV12" s="208" t="b">
        <f t="shared" si="26"/>
        <v>0</v>
      </c>
      <c r="AW12" s="208" t="b">
        <f t="shared" si="27"/>
        <v>0</v>
      </c>
      <c r="BA12" s="208" t="b">
        <f t="shared" si="28"/>
        <v>0</v>
      </c>
      <c r="BB12" s="208" t="b">
        <f t="shared" si="15"/>
        <v>0</v>
      </c>
      <c r="BC12" s="209" t="b">
        <f t="shared" si="29"/>
        <v>0</v>
      </c>
      <c r="BD12" s="208">
        <f t="shared" si="30"/>
        <v>0</v>
      </c>
      <c r="BF12" s="208" t="b">
        <f t="shared" si="31"/>
        <v>0</v>
      </c>
      <c r="BH12" s="209" t="b">
        <f t="shared" si="32"/>
        <v>0</v>
      </c>
      <c r="BI12" s="209" t="b">
        <f t="shared" si="33"/>
        <v>0</v>
      </c>
      <c r="BK12" s="208" t="b">
        <f t="shared" si="16"/>
        <v>0</v>
      </c>
      <c r="BL12" s="208" t="b">
        <f t="shared" si="34"/>
        <v>0</v>
      </c>
      <c r="BM12" s="208" t="b">
        <f t="shared" si="35"/>
        <v>0</v>
      </c>
      <c r="BN12" s="208" t="b">
        <f t="shared" si="17"/>
        <v>0</v>
      </c>
      <c r="BO12" s="208" t="str">
        <f t="shared" si="36"/>
        <v/>
      </c>
    </row>
    <row r="13" spans="1:67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8"/>
        <v>0</v>
      </c>
      <c r="N13" s="7">
        <f t="shared" si="19"/>
        <v>0</v>
      </c>
      <c r="O13">
        <v>0</v>
      </c>
      <c r="P13">
        <v>1</v>
      </c>
      <c r="Q13">
        <f t="shared" si="20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21"/>
        <v/>
      </c>
      <c r="X13" s="208" t="str">
        <f t="shared" si="6"/>
        <v/>
      </c>
      <c r="Y13" s="208" t="str">
        <f t="shared" si="22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B13" s="209">
        <f t="shared" si="8"/>
        <v>0</v>
      </c>
      <c r="AC13" t="str">
        <f t="shared" si="9"/>
        <v/>
      </c>
      <c r="AE13" s="208" t="str">
        <f>IF(OR(W13="",W13=0),"",ConcatenateRange((W13,X13,Y13,Z13,AA13,AC13,AD13,V13,B13,AH13,AI13,AJ13,AK13,AL13,AM13,AO13), "||"))</f>
        <v/>
      </c>
      <c r="AF13">
        <f t="shared" si="23"/>
        <v>2</v>
      </c>
      <c r="AG13" s="208">
        <f t="shared" si="10"/>
        <v>0</v>
      </c>
      <c r="AH13" s="208" t="b">
        <v>0</v>
      </c>
      <c r="AK13">
        <v>0</v>
      </c>
      <c r="AN13" s="208" t="str">
        <f t="shared" si="11"/>
        <v/>
      </c>
      <c r="AO13" s="208" t="str">
        <f t="shared" si="12"/>
        <v/>
      </c>
      <c r="AP13" s="208" t="str">
        <f t="shared" si="13"/>
        <v/>
      </c>
      <c r="AQ13" s="208" t="str">
        <f t="shared" si="24"/>
        <v/>
      </c>
      <c r="AR13" s="208" t="str">
        <f t="shared" si="14"/>
        <v/>
      </c>
      <c r="AS13" s="208" t="str">
        <f t="shared" si="25"/>
        <v/>
      </c>
      <c r="AV13" s="208" t="b">
        <f t="shared" si="26"/>
        <v>0</v>
      </c>
      <c r="AW13" s="208" t="b">
        <f t="shared" si="27"/>
        <v>0</v>
      </c>
      <c r="BA13" s="208" t="b">
        <f t="shared" si="28"/>
        <v>0</v>
      </c>
      <c r="BB13" s="208" t="b">
        <f t="shared" si="15"/>
        <v>0</v>
      </c>
      <c r="BC13" s="209" t="b">
        <f t="shared" si="29"/>
        <v>0</v>
      </c>
      <c r="BD13" s="208">
        <f t="shared" si="30"/>
        <v>0</v>
      </c>
      <c r="BF13" s="208" t="b">
        <f t="shared" si="31"/>
        <v>0</v>
      </c>
      <c r="BH13" s="209" t="b">
        <f t="shared" si="32"/>
        <v>0</v>
      </c>
      <c r="BI13" s="209" t="b">
        <f t="shared" si="33"/>
        <v>0</v>
      </c>
      <c r="BK13" s="208" t="b">
        <f t="shared" si="16"/>
        <v>0</v>
      </c>
      <c r="BL13" s="208" t="b">
        <f t="shared" si="34"/>
        <v>0</v>
      </c>
      <c r="BM13" s="208" t="b">
        <f t="shared" si="35"/>
        <v>0</v>
      </c>
      <c r="BN13" s="208" t="b">
        <f t="shared" si="17"/>
        <v>0</v>
      </c>
      <c r="BO13" s="208" t="str">
        <f t="shared" si="36"/>
        <v/>
      </c>
    </row>
    <row r="14" spans="1:67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8"/>
        <v>0</v>
      </c>
      <c r="N14" s="7">
        <f t="shared" si="19"/>
        <v>0</v>
      </c>
      <c r="O14">
        <v>0</v>
      </c>
      <c r="P14">
        <v>1</v>
      </c>
      <c r="Q14">
        <f t="shared" si="20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21"/>
        <v/>
      </c>
      <c r="X14" s="208" t="str">
        <f t="shared" si="6"/>
        <v/>
      </c>
      <c r="Y14" s="208" t="str">
        <f t="shared" si="22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B14" s="209">
        <f t="shared" si="8"/>
        <v>0</v>
      </c>
      <c r="AC14" t="str">
        <f t="shared" si="9"/>
        <v/>
      </c>
      <c r="AE14" s="208" t="str">
        <f>IF(OR(W14="",W14=0),"",ConcatenateRange((W14,X14,Y14,Z14,AA14,AC14,AD14,V14,B14,AH14,AI14,AJ14,AK14,AL14,AM14,AO14), "||"))</f>
        <v/>
      </c>
      <c r="AF14">
        <f t="shared" si="23"/>
        <v>2</v>
      </c>
      <c r="AG14" s="208">
        <f t="shared" si="10"/>
        <v>0</v>
      </c>
      <c r="AH14" s="208" t="b">
        <v>0</v>
      </c>
      <c r="AK14">
        <v>0</v>
      </c>
      <c r="AN14" s="208" t="str">
        <f t="shared" si="11"/>
        <v/>
      </c>
      <c r="AO14" s="208" t="str">
        <f t="shared" si="12"/>
        <v/>
      </c>
      <c r="AP14" s="208" t="str">
        <f t="shared" si="13"/>
        <v/>
      </c>
      <c r="AQ14" s="208" t="str">
        <f t="shared" si="24"/>
        <v/>
      </c>
      <c r="AR14" s="208" t="str">
        <f t="shared" si="14"/>
        <v/>
      </c>
      <c r="AS14" s="208" t="str">
        <f t="shared" si="25"/>
        <v/>
      </c>
      <c r="AV14" s="208" t="b">
        <f t="shared" si="26"/>
        <v>0</v>
      </c>
      <c r="AW14" s="208" t="b">
        <f t="shared" si="27"/>
        <v>0</v>
      </c>
      <c r="BA14" s="208" t="b">
        <f t="shared" si="28"/>
        <v>0</v>
      </c>
      <c r="BB14" s="208" t="b">
        <f t="shared" si="15"/>
        <v>0</v>
      </c>
      <c r="BC14" s="209" t="b">
        <f t="shared" si="29"/>
        <v>0</v>
      </c>
      <c r="BD14" s="208">
        <f t="shared" si="30"/>
        <v>0</v>
      </c>
      <c r="BF14" s="208" t="b">
        <f t="shared" si="31"/>
        <v>0</v>
      </c>
      <c r="BH14" s="209" t="b">
        <f t="shared" si="32"/>
        <v>0</v>
      </c>
      <c r="BI14" s="209" t="b">
        <f t="shared" si="33"/>
        <v>0</v>
      </c>
      <c r="BK14" s="208" t="b">
        <f t="shared" si="16"/>
        <v>0</v>
      </c>
      <c r="BL14" s="208" t="b">
        <f t="shared" si="34"/>
        <v>0</v>
      </c>
      <c r="BM14" s="208" t="b">
        <f t="shared" si="35"/>
        <v>0</v>
      </c>
      <c r="BN14" s="208" t="b">
        <f t="shared" si="17"/>
        <v>0</v>
      </c>
      <c r="BO14" s="208" t="str">
        <f t="shared" si="36"/>
        <v/>
      </c>
    </row>
    <row r="15" spans="1:67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8"/>
        <v>0</v>
      </c>
      <c r="N15" s="7">
        <f t="shared" si="19"/>
        <v>0</v>
      </c>
      <c r="O15">
        <v>0</v>
      </c>
      <c r="P15">
        <v>1</v>
      </c>
      <c r="Q15">
        <f t="shared" si="20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21"/>
        <v/>
      </c>
      <c r="X15" s="208" t="str">
        <f t="shared" si="6"/>
        <v/>
      </c>
      <c r="Y15" s="208" t="str">
        <f t="shared" si="22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B15" s="209">
        <f t="shared" si="8"/>
        <v>0</v>
      </c>
      <c r="AC15" t="str">
        <f t="shared" si="9"/>
        <v/>
      </c>
      <c r="AE15" s="208" t="str">
        <f>IF(OR(W15="",W15=0),"",ConcatenateRange((W15,X15,Y15,Z15,AA15,AC15,AD15,V15,B15,AH15,AI15,AJ15,AK15,AL15,AM15,AO15), "||"))</f>
        <v/>
      </c>
      <c r="AF15">
        <f t="shared" si="23"/>
        <v>2</v>
      </c>
      <c r="AG15" s="208">
        <f t="shared" si="10"/>
        <v>0</v>
      </c>
      <c r="AH15" s="208" t="b">
        <v>0</v>
      </c>
      <c r="AK15">
        <v>0</v>
      </c>
      <c r="AN15" s="208" t="str">
        <f t="shared" si="11"/>
        <v/>
      </c>
      <c r="AO15" s="208" t="str">
        <f t="shared" si="12"/>
        <v/>
      </c>
      <c r="AP15" s="208" t="str">
        <f t="shared" si="13"/>
        <v/>
      </c>
      <c r="AQ15" s="208" t="str">
        <f t="shared" si="24"/>
        <v/>
      </c>
      <c r="AR15" s="208" t="str">
        <f t="shared" si="14"/>
        <v/>
      </c>
      <c r="AS15" s="208" t="str">
        <f t="shared" si="25"/>
        <v/>
      </c>
      <c r="AV15" s="208" t="b">
        <f t="shared" si="26"/>
        <v>0</v>
      </c>
      <c r="AW15" s="208" t="b">
        <f t="shared" si="27"/>
        <v>0</v>
      </c>
      <c r="BA15" s="208" t="b">
        <f t="shared" si="28"/>
        <v>0</v>
      </c>
      <c r="BB15" s="208" t="b">
        <f t="shared" si="15"/>
        <v>0</v>
      </c>
      <c r="BC15" s="209" t="b">
        <f t="shared" si="29"/>
        <v>0</v>
      </c>
      <c r="BD15" s="208">
        <f t="shared" si="30"/>
        <v>0</v>
      </c>
      <c r="BF15" s="208" t="b">
        <f t="shared" si="31"/>
        <v>0</v>
      </c>
      <c r="BH15" s="209" t="b">
        <f t="shared" si="32"/>
        <v>0</v>
      </c>
      <c r="BI15" s="209" t="b">
        <f t="shared" si="33"/>
        <v>0</v>
      </c>
      <c r="BK15" s="208" t="b">
        <f t="shared" si="16"/>
        <v>0</v>
      </c>
      <c r="BL15" s="208" t="b">
        <f t="shared" si="34"/>
        <v>0</v>
      </c>
      <c r="BM15" s="208" t="b">
        <f t="shared" si="35"/>
        <v>0</v>
      </c>
      <c r="BN15" s="208" t="b">
        <f t="shared" si="17"/>
        <v>0</v>
      </c>
      <c r="BO15" s="208" t="str">
        <f t="shared" si="36"/>
        <v/>
      </c>
    </row>
    <row r="16" spans="1:67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8"/>
        <v>0</v>
      </c>
      <c r="N16" s="7">
        <f t="shared" si="19"/>
        <v>0</v>
      </c>
      <c r="O16">
        <v>0</v>
      </c>
      <c r="P16">
        <v>1</v>
      </c>
      <c r="Q16">
        <f t="shared" si="20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21"/>
        <v/>
      </c>
      <c r="X16" s="208" t="str">
        <f t="shared" si="6"/>
        <v/>
      </c>
      <c r="Y16" s="208" t="str">
        <f t="shared" si="22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B16" s="209">
        <f t="shared" si="8"/>
        <v>0</v>
      </c>
      <c r="AC16" t="str">
        <f t="shared" si="9"/>
        <v/>
      </c>
      <c r="AE16" s="208" t="str">
        <f>IF(OR(W16="",W16=0),"",ConcatenateRange((W16,X16,Y16,Z16,AA16,AC16,AD16,V16,B16,AH16,AI16,AJ16,AK16,AL16,AM16,AO16), "||"))</f>
        <v/>
      </c>
      <c r="AF16">
        <f t="shared" si="23"/>
        <v>2</v>
      </c>
      <c r="AG16" s="208">
        <f t="shared" si="10"/>
        <v>0</v>
      </c>
      <c r="AH16" s="208" t="b">
        <v>0</v>
      </c>
      <c r="AK16">
        <v>0</v>
      </c>
      <c r="AN16" s="208" t="str">
        <f t="shared" si="11"/>
        <v/>
      </c>
      <c r="AO16" s="208" t="str">
        <f t="shared" si="12"/>
        <v/>
      </c>
      <c r="AP16" s="208" t="str">
        <f t="shared" si="13"/>
        <v/>
      </c>
      <c r="AQ16" s="208" t="str">
        <f t="shared" si="24"/>
        <v/>
      </c>
      <c r="AR16" s="208" t="str">
        <f t="shared" si="14"/>
        <v/>
      </c>
      <c r="AS16" s="208" t="str">
        <f t="shared" si="25"/>
        <v/>
      </c>
      <c r="AV16" s="208" t="b">
        <f t="shared" si="26"/>
        <v>0</v>
      </c>
      <c r="AW16" s="208" t="b">
        <f t="shared" si="27"/>
        <v>0</v>
      </c>
      <c r="BA16" s="208" t="b">
        <f t="shared" si="28"/>
        <v>0</v>
      </c>
      <c r="BB16" s="208" t="b">
        <f t="shared" si="15"/>
        <v>0</v>
      </c>
      <c r="BC16" s="209" t="b">
        <f t="shared" si="29"/>
        <v>0</v>
      </c>
      <c r="BD16" s="208">
        <f t="shared" si="30"/>
        <v>0</v>
      </c>
      <c r="BF16" s="208" t="b">
        <f t="shared" si="31"/>
        <v>0</v>
      </c>
      <c r="BH16" s="209" t="b">
        <f t="shared" si="32"/>
        <v>0</v>
      </c>
      <c r="BI16" s="209" t="b">
        <f t="shared" si="33"/>
        <v>0</v>
      </c>
      <c r="BK16" s="208" t="b">
        <f t="shared" si="16"/>
        <v>0</v>
      </c>
      <c r="BL16" s="208" t="b">
        <f t="shared" si="34"/>
        <v>0</v>
      </c>
      <c r="BM16" s="208" t="b">
        <f t="shared" si="35"/>
        <v>0</v>
      </c>
      <c r="BN16" s="208" t="b">
        <f t="shared" si="17"/>
        <v>0</v>
      </c>
      <c r="BO16" s="208" t="str">
        <f t="shared" si="36"/>
        <v/>
      </c>
    </row>
    <row r="17" spans="1:67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8"/>
        <v>0</v>
      </c>
      <c r="N17" s="7">
        <f t="shared" si="19"/>
        <v>0</v>
      </c>
      <c r="O17">
        <v>0</v>
      </c>
      <c r="P17">
        <v>1</v>
      </c>
      <c r="Q17">
        <f t="shared" si="20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21"/>
        <v/>
      </c>
      <c r="X17" s="208" t="str">
        <f t="shared" si="6"/>
        <v/>
      </c>
      <c r="Y17" s="208" t="str">
        <f t="shared" si="22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B17" s="209">
        <f t="shared" si="8"/>
        <v>0</v>
      </c>
      <c r="AC17" t="str">
        <f t="shared" si="9"/>
        <v/>
      </c>
      <c r="AE17" s="208" t="str">
        <f>IF(OR(W17="",W17=0),"",ConcatenateRange((W17,X17,Y17,Z17,AA17,AC17,AD17,V17,B17,AH17,AI17,AJ17,AK17,AL17,AM17,AO17), "||"))</f>
        <v/>
      </c>
      <c r="AF17">
        <f t="shared" si="23"/>
        <v>2</v>
      </c>
      <c r="AG17" s="208">
        <f t="shared" si="10"/>
        <v>0</v>
      </c>
      <c r="AH17" s="208" t="b">
        <v>0</v>
      </c>
      <c r="AK17">
        <v>0</v>
      </c>
      <c r="AN17" s="208" t="str">
        <f t="shared" si="11"/>
        <v/>
      </c>
      <c r="AO17" s="208" t="str">
        <f t="shared" si="12"/>
        <v/>
      </c>
      <c r="AP17" s="208" t="str">
        <f t="shared" si="13"/>
        <v/>
      </c>
      <c r="AQ17" s="208" t="str">
        <f t="shared" si="24"/>
        <v/>
      </c>
      <c r="AR17" s="208" t="str">
        <f t="shared" si="14"/>
        <v/>
      </c>
      <c r="AS17" s="208" t="str">
        <f t="shared" si="25"/>
        <v/>
      </c>
      <c r="AV17" s="208" t="b">
        <f t="shared" si="26"/>
        <v>0</v>
      </c>
      <c r="AW17" s="208" t="b">
        <f t="shared" si="27"/>
        <v>0</v>
      </c>
      <c r="BA17" s="208" t="b">
        <f t="shared" si="28"/>
        <v>0</v>
      </c>
      <c r="BB17" s="208" t="b">
        <f t="shared" si="15"/>
        <v>0</v>
      </c>
      <c r="BC17" s="209" t="b">
        <f t="shared" si="29"/>
        <v>0</v>
      </c>
      <c r="BD17" s="208">
        <f t="shared" si="30"/>
        <v>0</v>
      </c>
      <c r="BF17" s="208" t="b">
        <f t="shared" si="31"/>
        <v>0</v>
      </c>
      <c r="BH17" s="209" t="b">
        <f t="shared" si="32"/>
        <v>0</v>
      </c>
      <c r="BI17" s="209" t="b">
        <f t="shared" si="33"/>
        <v>0</v>
      </c>
      <c r="BK17" s="208" t="b">
        <f t="shared" si="16"/>
        <v>0</v>
      </c>
      <c r="BL17" s="208" t="b">
        <f t="shared" si="34"/>
        <v>0</v>
      </c>
      <c r="BM17" s="208" t="b">
        <f t="shared" si="35"/>
        <v>0</v>
      </c>
      <c r="BN17" s="208" t="b">
        <f t="shared" si="17"/>
        <v>0</v>
      </c>
      <c r="BO17" s="208" t="str">
        <f t="shared" si="36"/>
        <v/>
      </c>
    </row>
    <row r="18" spans="1:67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8"/>
        <v>0</v>
      </c>
      <c r="N18" s="7">
        <f t="shared" si="19"/>
        <v>0</v>
      </c>
      <c r="O18">
        <v>0</v>
      </c>
      <c r="P18">
        <v>1</v>
      </c>
      <c r="Q18">
        <f t="shared" si="20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21"/>
        <v/>
      </c>
      <c r="X18" s="208" t="str">
        <f t="shared" si="6"/>
        <v/>
      </c>
      <c r="Y18" s="208" t="str">
        <f t="shared" si="22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B18" s="209">
        <f t="shared" si="8"/>
        <v>0</v>
      </c>
      <c r="AC18" t="str">
        <f t="shared" si="9"/>
        <v/>
      </c>
      <c r="AE18" s="208" t="str">
        <f>IF(OR(W18="",W18=0),"",ConcatenateRange((W18,X18,Y18,Z18,AA18,AC18,AD18,V18,B18,AH18,AI18,AJ18,AK18,AL18,AM18,AO18), "||"))</f>
        <v/>
      </c>
      <c r="AF18">
        <f t="shared" si="23"/>
        <v>2</v>
      </c>
      <c r="AG18" s="208">
        <f t="shared" si="10"/>
        <v>0</v>
      </c>
      <c r="AH18" s="208" t="b">
        <v>0</v>
      </c>
      <c r="AK18">
        <v>0</v>
      </c>
      <c r="AN18" s="208" t="str">
        <f t="shared" si="11"/>
        <v/>
      </c>
      <c r="AO18" s="208" t="str">
        <f t="shared" si="12"/>
        <v/>
      </c>
      <c r="AP18" s="208" t="str">
        <f t="shared" si="13"/>
        <v/>
      </c>
      <c r="AQ18" s="208" t="str">
        <f t="shared" si="24"/>
        <v/>
      </c>
      <c r="AR18" s="208" t="str">
        <f t="shared" si="14"/>
        <v/>
      </c>
      <c r="AS18" s="208" t="str">
        <f t="shared" si="25"/>
        <v/>
      </c>
      <c r="AV18" s="208" t="b">
        <f t="shared" si="26"/>
        <v>0</v>
      </c>
      <c r="AW18" s="208" t="b">
        <f t="shared" si="27"/>
        <v>0</v>
      </c>
      <c r="BA18" s="208" t="b">
        <f t="shared" si="28"/>
        <v>0</v>
      </c>
      <c r="BB18" s="208" t="b">
        <f t="shared" si="15"/>
        <v>0</v>
      </c>
      <c r="BC18" s="209" t="b">
        <f t="shared" si="29"/>
        <v>0</v>
      </c>
      <c r="BD18" s="208">
        <f t="shared" si="30"/>
        <v>0</v>
      </c>
      <c r="BF18" s="208" t="b">
        <f t="shared" si="31"/>
        <v>0</v>
      </c>
      <c r="BH18" s="209" t="b">
        <f t="shared" si="32"/>
        <v>0</v>
      </c>
      <c r="BI18" s="209" t="b">
        <f t="shared" si="33"/>
        <v>0</v>
      </c>
      <c r="BK18" s="208" t="b">
        <f t="shared" si="16"/>
        <v>0</v>
      </c>
      <c r="BL18" s="208" t="b">
        <f t="shared" si="34"/>
        <v>0</v>
      </c>
      <c r="BM18" s="208" t="b">
        <f t="shared" si="35"/>
        <v>0</v>
      </c>
      <c r="BN18" s="208" t="b">
        <f t="shared" si="17"/>
        <v>0</v>
      </c>
      <c r="BO18" s="208" t="str">
        <f t="shared" si="36"/>
        <v/>
      </c>
    </row>
    <row r="19" spans="1:67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8"/>
        <v>0</v>
      </c>
      <c r="N19" s="7">
        <f t="shared" si="19"/>
        <v>0</v>
      </c>
      <c r="O19">
        <v>0</v>
      </c>
      <c r="P19">
        <v>1</v>
      </c>
      <c r="Q19">
        <f t="shared" si="20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21"/>
        <v/>
      </c>
      <c r="X19" s="208" t="str">
        <f t="shared" si="6"/>
        <v/>
      </c>
      <c r="Y19" s="208" t="str">
        <f t="shared" si="22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B19" s="209">
        <f t="shared" si="8"/>
        <v>0</v>
      </c>
      <c r="AC19" t="str">
        <f t="shared" si="9"/>
        <v/>
      </c>
      <c r="AE19" s="208" t="str">
        <f>IF(OR(W19="",W19=0),"",ConcatenateRange((W19,X19,Y19,Z19,AA19,AC19,AD19,V19,B19,AH19,AI19,AJ19,AK19,AL19,AM19,AO19), "||"))</f>
        <v/>
      </c>
      <c r="AF19">
        <f t="shared" si="23"/>
        <v>2</v>
      </c>
      <c r="AG19" s="208">
        <f t="shared" si="10"/>
        <v>0</v>
      </c>
      <c r="AH19" s="208" t="b">
        <v>0</v>
      </c>
      <c r="AK19">
        <v>0</v>
      </c>
      <c r="AN19" s="208" t="str">
        <f t="shared" si="11"/>
        <v/>
      </c>
      <c r="AO19" s="208" t="str">
        <f t="shared" si="12"/>
        <v/>
      </c>
      <c r="AP19" s="208" t="str">
        <f t="shared" si="13"/>
        <v/>
      </c>
      <c r="AQ19" s="208" t="str">
        <f t="shared" si="24"/>
        <v/>
      </c>
      <c r="AR19" s="208" t="str">
        <f t="shared" si="14"/>
        <v/>
      </c>
      <c r="AS19" s="208" t="str">
        <f t="shared" si="25"/>
        <v/>
      </c>
      <c r="AV19" s="208" t="b">
        <f t="shared" si="26"/>
        <v>0</v>
      </c>
      <c r="AW19" s="208" t="b">
        <f t="shared" si="27"/>
        <v>0</v>
      </c>
      <c r="BA19" s="208" t="b">
        <f t="shared" si="28"/>
        <v>0</v>
      </c>
      <c r="BB19" s="208" t="b">
        <f t="shared" si="15"/>
        <v>0</v>
      </c>
      <c r="BC19" s="209" t="b">
        <f t="shared" si="29"/>
        <v>0</v>
      </c>
      <c r="BD19" s="208">
        <f t="shared" si="30"/>
        <v>0</v>
      </c>
      <c r="BF19" s="208" t="b">
        <f t="shared" si="31"/>
        <v>0</v>
      </c>
      <c r="BH19" s="209" t="b">
        <f t="shared" si="32"/>
        <v>0</v>
      </c>
      <c r="BI19" s="209" t="b">
        <f t="shared" si="33"/>
        <v>0</v>
      </c>
      <c r="BK19" s="208" t="b">
        <f t="shared" si="16"/>
        <v>0</v>
      </c>
      <c r="BL19" s="208" t="b">
        <f t="shared" si="34"/>
        <v>0</v>
      </c>
      <c r="BM19" s="208" t="b">
        <f t="shared" si="35"/>
        <v>0</v>
      </c>
      <c r="BN19" s="208" t="b">
        <f t="shared" si="17"/>
        <v>0</v>
      </c>
      <c r="BO19" s="208" t="str">
        <f t="shared" si="36"/>
        <v/>
      </c>
    </row>
    <row r="20" spans="1:67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8"/>
        <v>0</v>
      </c>
      <c r="N20" s="7">
        <f t="shared" si="19"/>
        <v>0</v>
      </c>
      <c r="O20">
        <v>0</v>
      </c>
      <c r="P20">
        <v>1</v>
      </c>
      <c r="Q20">
        <f t="shared" si="20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21"/>
        <v/>
      </c>
      <c r="X20" s="208" t="str">
        <f t="shared" si="6"/>
        <v/>
      </c>
      <c r="Y20" s="208" t="str">
        <f t="shared" si="22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B20" s="209">
        <f t="shared" si="8"/>
        <v>0</v>
      </c>
      <c r="AC20" t="str">
        <f t="shared" si="9"/>
        <v/>
      </c>
      <c r="AE20" s="208" t="str">
        <f>IF(OR(W20="",W20=0),"",ConcatenateRange((W20,X20,Y20,Z20,AA20,AC20,AD20,V20,B20,AH20,AI20,AJ20,AK20,AL20,AM20,AO20), "||"))</f>
        <v/>
      </c>
      <c r="AF20">
        <f t="shared" si="23"/>
        <v>2</v>
      </c>
      <c r="AG20" s="208">
        <f t="shared" si="10"/>
        <v>0</v>
      </c>
      <c r="AH20" s="208" t="b">
        <v>0</v>
      </c>
      <c r="AK20">
        <v>0</v>
      </c>
      <c r="AN20" s="208" t="str">
        <f t="shared" si="11"/>
        <v/>
      </c>
      <c r="AO20" s="208" t="str">
        <f t="shared" si="12"/>
        <v/>
      </c>
      <c r="AP20" s="208" t="str">
        <f t="shared" si="13"/>
        <v/>
      </c>
      <c r="AQ20" s="208" t="str">
        <f t="shared" si="24"/>
        <v/>
      </c>
      <c r="AR20" s="208" t="str">
        <f t="shared" si="14"/>
        <v/>
      </c>
      <c r="AS20" s="208" t="str">
        <f t="shared" si="25"/>
        <v/>
      </c>
      <c r="AV20" s="208" t="b">
        <f t="shared" si="26"/>
        <v>0</v>
      </c>
      <c r="AW20" s="208" t="b">
        <f t="shared" si="27"/>
        <v>0</v>
      </c>
      <c r="BA20" s="208" t="b">
        <f t="shared" si="28"/>
        <v>0</v>
      </c>
      <c r="BB20" s="208" t="b">
        <f t="shared" si="15"/>
        <v>0</v>
      </c>
      <c r="BC20" s="209" t="b">
        <f t="shared" si="29"/>
        <v>0</v>
      </c>
      <c r="BD20" s="208">
        <f t="shared" si="30"/>
        <v>0</v>
      </c>
      <c r="BF20" s="208" t="b">
        <f t="shared" si="31"/>
        <v>0</v>
      </c>
      <c r="BH20" s="209" t="b">
        <f t="shared" si="32"/>
        <v>0</v>
      </c>
      <c r="BI20" s="209" t="b">
        <f t="shared" si="33"/>
        <v>0</v>
      </c>
      <c r="BK20" s="208" t="b">
        <f t="shared" si="16"/>
        <v>0</v>
      </c>
      <c r="BL20" s="208" t="b">
        <f t="shared" si="34"/>
        <v>0</v>
      </c>
      <c r="BM20" s="208" t="b">
        <f t="shared" si="35"/>
        <v>0</v>
      </c>
      <c r="BN20" s="208" t="b">
        <f t="shared" si="17"/>
        <v>0</v>
      </c>
      <c r="BO20" s="208" t="str">
        <f t="shared" si="36"/>
        <v/>
      </c>
    </row>
    <row r="21" spans="1:67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8"/>
        <v>0</v>
      </c>
      <c r="N21" s="7">
        <f t="shared" si="19"/>
        <v>0</v>
      </c>
      <c r="O21">
        <v>0</v>
      </c>
      <c r="P21">
        <v>1</v>
      </c>
      <c r="Q21">
        <f t="shared" si="20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21"/>
        <v/>
      </c>
      <c r="X21" s="208" t="str">
        <f t="shared" si="6"/>
        <v/>
      </c>
      <c r="Y21" s="208" t="str">
        <f t="shared" si="22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B21" s="209">
        <f t="shared" si="8"/>
        <v>0</v>
      </c>
      <c r="AC21" t="str">
        <f t="shared" si="9"/>
        <v/>
      </c>
      <c r="AE21" s="208" t="str">
        <f>IF(OR(W21="",W21=0),"",ConcatenateRange((W21,X21,Y21,Z21,AA21,AC21,AD21,V21,B21,AH21,AI21,AJ21,AK21,AL21,AM21,AO21), "||"))</f>
        <v/>
      </c>
      <c r="AF21">
        <f t="shared" si="23"/>
        <v>2</v>
      </c>
      <c r="AG21" s="208">
        <f t="shared" si="10"/>
        <v>0</v>
      </c>
      <c r="AH21" s="208" t="b">
        <v>0</v>
      </c>
      <c r="AK21">
        <v>0</v>
      </c>
      <c r="AN21" s="208" t="str">
        <f t="shared" si="11"/>
        <v/>
      </c>
      <c r="AO21" s="208" t="str">
        <f t="shared" si="12"/>
        <v/>
      </c>
      <c r="AP21" s="208" t="str">
        <f t="shared" si="13"/>
        <v/>
      </c>
      <c r="AQ21" s="208" t="str">
        <f t="shared" si="24"/>
        <v/>
      </c>
      <c r="AR21" s="208" t="str">
        <f t="shared" si="14"/>
        <v/>
      </c>
      <c r="AS21" s="208" t="str">
        <f t="shared" si="25"/>
        <v/>
      </c>
      <c r="AV21" s="208" t="b">
        <f t="shared" si="26"/>
        <v>0</v>
      </c>
      <c r="AW21" s="208" t="b">
        <f t="shared" si="27"/>
        <v>0</v>
      </c>
      <c r="BA21" s="208" t="b">
        <f t="shared" si="28"/>
        <v>0</v>
      </c>
      <c r="BB21" s="208" t="b">
        <f t="shared" si="15"/>
        <v>0</v>
      </c>
      <c r="BC21" s="209" t="b">
        <f t="shared" si="29"/>
        <v>0</v>
      </c>
      <c r="BD21" s="208">
        <f t="shared" si="30"/>
        <v>0</v>
      </c>
      <c r="BF21" s="208" t="b">
        <f t="shared" si="31"/>
        <v>0</v>
      </c>
      <c r="BH21" s="209" t="b">
        <f t="shared" si="32"/>
        <v>0</v>
      </c>
      <c r="BI21" s="209" t="b">
        <f t="shared" si="33"/>
        <v>0</v>
      </c>
      <c r="BK21" s="208" t="b">
        <f t="shared" si="16"/>
        <v>0</v>
      </c>
      <c r="BL21" s="208" t="b">
        <f t="shared" si="34"/>
        <v>0</v>
      </c>
      <c r="BM21" s="208" t="b">
        <f t="shared" si="35"/>
        <v>0</v>
      </c>
      <c r="BN21" s="208" t="b">
        <f t="shared" si="17"/>
        <v>0</v>
      </c>
      <c r="BO21" s="208" t="str">
        <f t="shared" si="36"/>
        <v/>
      </c>
    </row>
    <row r="22" spans="1:67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7">E22*G22</f>
        <v>0</v>
      </c>
      <c r="I22" s="208">
        <v>1</v>
      </c>
      <c r="J22" s="208">
        <f t="shared" si="1"/>
        <v>0</v>
      </c>
      <c r="K22" s="208">
        <f t="shared" ref="K22:K31" si="38">J22*H22</f>
        <v>0</v>
      </c>
      <c r="L22" s="208"/>
      <c r="M22" s="7">
        <f t="shared" si="18"/>
        <v>0</v>
      </c>
      <c r="N22" s="7">
        <f t="shared" si="19"/>
        <v>0</v>
      </c>
      <c r="O22" s="208">
        <v>0</v>
      </c>
      <c r="P22" s="208">
        <v>1</v>
      </c>
      <c r="Q22" s="208">
        <f t="shared" ref="Q22:Q31" si="39">IF(P22&gt;1,O22*J22,0)</f>
        <v>0</v>
      </c>
      <c r="R22" s="208">
        <v>0</v>
      </c>
      <c r="S22" s="208">
        <f t="shared" ref="S22:S31" si="40">IF(P22=2,Q22*0.155,0)</f>
        <v>0</v>
      </c>
      <c r="T22" s="208">
        <f t="shared" ref="T22:T31" si="41">IF(P22=3,Q22*0.05,0)</f>
        <v>0</v>
      </c>
      <c r="U22" s="208">
        <f t="shared" ref="U22:U31" si="42">IF(P22=4,Q22*0.1,0)</f>
        <v>0</v>
      </c>
      <c r="V22" s="208"/>
      <c r="W22" s="208" t="str">
        <f t="shared" si="21"/>
        <v/>
      </c>
      <c r="X22" s="208" t="str">
        <f t="shared" si="6"/>
        <v/>
      </c>
      <c r="Y22" s="208" t="str">
        <f t="shared" si="22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B22" s="209">
        <f t="shared" si="8"/>
        <v>0</v>
      </c>
      <c r="AC22" s="208" t="str">
        <f t="shared" si="9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43">IF(AG22&gt;=10,0,IF(AG22&gt;=1,1,IF(AG22&gt;=0,2,IF(AG22&gt;=0.1,3,IF(AG22&gt;=0.01,4,5)))))</f>
        <v>2</v>
      </c>
      <c r="AG22" s="208">
        <f t="shared" si="10"/>
        <v>0</v>
      </c>
      <c r="AH22" s="208" t="b">
        <v>0</v>
      </c>
      <c r="AK22">
        <v>0</v>
      </c>
      <c r="AN22" s="208" t="str">
        <f t="shared" si="11"/>
        <v/>
      </c>
      <c r="AO22" s="208" t="str">
        <f t="shared" si="12"/>
        <v/>
      </c>
      <c r="AP22" s="208" t="str">
        <f t="shared" si="13"/>
        <v/>
      </c>
      <c r="AQ22" s="208" t="str">
        <f t="shared" si="24"/>
        <v/>
      </c>
      <c r="AR22" s="208" t="str">
        <f t="shared" si="14"/>
        <v/>
      </c>
      <c r="AS22" s="208" t="str">
        <f t="shared" si="25"/>
        <v/>
      </c>
      <c r="AV22" s="208" t="b">
        <f t="shared" si="26"/>
        <v>0</v>
      </c>
      <c r="AW22" s="208" t="b">
        <f t="shared" si="27"/>
        <v>0</v>
      </c>
      <c r="BA22" s="208" t="b">
        <f t="shared" si="28"/>
        <v>0</v>
      </c>
      <c r="BB22" s="208" t="b">
        <f t="shared" si="15"/>
        <v>0</v>
      </c>
      <c r="BC22" s="209" t="b">
        <f t="shared" si="29"/>
        <v>0</v>
      </c>
      <c r="BD22" s="208">
        <f t="shared" si="30"/>
        <v>0</v>
      </c>
      <c r="BF22" s="208" t="b">
        <f t="shared" si="31"/>
        <v>0</v>
      </c>
      <c r="BH22" s="209" t="b">
        <f t="shared" si="32"/>
        <v>0</v>
      </c>
      <c r="BI22" s="209" t="b">
        <f t="shared" si="33"/>
        <v>0</v>
      </c>
      <c r="BK22" s="208" t="b">
        <f t="shared" si="16"/>
        <v>0</v>
      </c>
      <c r="BL22" s="208" t="b">
        <f t="shared" si="34"/>
        <v>0</v>
      </c>
      <c r="BM22" s="208" t="b">
        <f t="shared" si="35"/>
        <v>0</v>
      </c>
      <c r="BN22" s="208" t="b">
        <f t="shared" si="17"/>
        <v>0</v>
      </c>
      <c r="BO22" s="208" t="str">
        <f t="shared" si="36"/>
        <v/>
      </c>
    </row>
    <row r="23" spans="1:67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7"/>
        <v>0</v>
      </c>
      <c r="I23" s="208">
        <v>1</v>
      </c>
      <c r="J23" s="208">
        <f t="shared" si="1"/>
        <v>0</v>
      </c>
      <c r="K23" s="208">
        <f t="shared" si="38"/>
        <v>0</v>
      </c>
      <c r="L23" s="208"/>
      <c r="M23" s="7">
        <f t="shared" si="18"/>
        <v>0</v>
      </c>
      <c r="N23" s="7">
        <f t="shared" si="19"/>
        <v>0</v>
      </c>
      <c r="O23" s="208">
        <v>0</v>
      </c>
      <c r="P23" s="208">
        <v>1</v>
      </c>
      <c r="Q23" s="208">
        <f t="shared" si="39"/>
        <v>0</v>
      </c>
      <c r="R23" s="208">
        <v>0</v>
      </c>
      <c r="S23" s="208">
        <f t="shared" si="40"/>
        <v>0</v>
      </c>
      <c r="T23" s="208">
        <f t="shared" si="41"/>
        <v>0</v>
      </c>
      <c r="U23" s="208">
        <f t="shared" si="42"/>
        <v>0</v>
      </c>
      <c r="V23" s="208"/>
      <c r="W23" s="208" t="str">
        <f t="shared" si="21"/>
        <v/>
      </c>
      <c r="X23" s="208" t="str">
        <f t="shared" si="6"/>
        <v/>
      </c>
      <c r="Y23" s="208" t="str">
        <f t="shared" si="22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B23" s="209">
        <f t="shared" si="8"/>
        <v>0</v>
      </c>
      <c r="AC23" s="208" t="str">
        <f t="shared" si="9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43"/>
        <v>2</v>
      </c>
      <c r="AG23" s="208">
        <f t="shared" si="10"/>
        <v>0</v>
      </c>
      <c r="AH23" s="208" t="b">
        <v>0</v>
      </c>
      <c r="AK23">
        <v>0</v>
      </c>
      <c r="AN23" s="208" t="str">
        <f t="shared" si="11"/>
        <v/>
      </c>
      <c r="AO23" s="208" t="str">
        <f t="shared" si="12"/>
        <v/>
      </c>
      <c r="AP23" s="208" t="str">
        <f t="shared" si="13"/>
        <v/>
      </c>
      <c r="AQ23" s="208" t="str">
        <f t="shared" si="24"/>
        <v/>
      </c>
      <c r="AR23" s="208" t="str">
        <f t="shared" si="14"/>
        <v/>
      </c>
      <c r="AS23" s="208" t="str">
        <f t="shared" si="25"/>
        <v/>
      </c>
      <c r="AV23" s="208" t="b">
        <f t="shared" si="26"/>
        <v>0</v>
      </c>
      <c r="AW23" s="208" t="b">
        <f t="shared" si="27"/>
        <v>0</v>
      </c>
      <c r="BA23" s="208" t="b">
        <f t="shared" si="28"/>
        <v>0</v>
      </c>
      <c r="BB23" s="208" t="b">
        <f t="shared" si="15"/>
        <v>0</v>
      </c>
      <c r="BC23" s="209" t="b">
        <f t="shared" si="29"/>
        <v>0</v>
      </c>
      <c r="BD23" s="208">
        <f t="shared" si="30"/>
        <v>0</v>
      </c>
      <c r="BF23" s="208" t="b">
        <f t="shared" si="31"/>
        <v>0</v>
      </c>
      <c r="BH23" s="209" t="b">
        <f t="shared" si="32"/>
        <v>0</v>
      </c>
      <c r="BI23" s="209" t="b">
        <f t="shared" si="33"/>
        <v>0</v>
      </c>
      <c r="BK23" s="208" t="b">
        <f t="shared" si="16"/>
        <v>0</v>
      </c>
      <c r="BL23" s="208" t="b">
        <f t="shared" si="34"/>
        <v>0</v>
      </c>
      <c r="BM23" s="208" t="b">
        <f t="shared" si="35"/>
        <v>0</v>
      </c>
      <c r="BN23" s="208" t="b">
        <f t="shared" si="17"/>
        <v>0</v>
      </c>
      <c r="BO23" s="208" t="str">
        <f t="shared" si="36"/>
        <v/>
      </c>
    </row>
    <row r="24" spans="1:67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7"/>
        <v>0</v>
      </c>
      <c r="I24" s="208">
        <v>1</v>
      </c>
      <c r="J24" s="208">
        <f t="shared" si="1"/>
        <v>0</v>
      </c>
      <c r="K24" s="208">
        <f t="shared" si="38"/>
        <v>0</v>
      </c>
      <c r="L24" s="208"/>
      <c r="M24" s="7">
        <f t="shared" si="18"/>
        <v>0</v>
      </c>
      <c r="N24" s="7">
        <f t="shared" si="19"/>
        <v>0</v>
      </c>
      <c r="O24" s="208">
        <v>0</v>
      </c>
      <c r="P24" s="208">
        <v>1</v>
      </c>
      <c r="Q24" s="208">
        <f t="shared" si="39"/>
        <v>0</v>
      </c>
      <c r="R24" s="208">
        <v>0</v>
      </c>
      <c r="S24" s="208">
        <f t="shared" si="40"/>
        <v>0</v>
      </c>
      <c r="T24" s="208">
        <f t="shared" si="41"/>
        <v>0</v>
      </c>
      <c r="U24" s="208">
        <f t="shared" si="42"/>
        <v>0</v>
      </c>
      <c r="V24" s="208"/>
      <c r="W24" s="208" t="str">
        <f t="shared" si="21"/>
        <v/>
      </c>
      <c r="X24" s="208" t="str">
        <f t="shared" si="6"/>
        <v/>
      </c>
      <c r="Y24" s="208" t="str">
        <f t="shared" si="22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B24" s="209">
        <f t="shared" si="8"/>
        <v>0</v>
      </c>
      <c r="AC24" s="208" t="str">
        <f t="shared" si="9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43"/>
        <v>2</v>
      </c>
      <c r="AG24" s="208">
        <f t="shared" si="10"/>
        <v>0</v>
      </c>
      <c r="AH24" s="208" t="b">
        <v>0</v>
      </c>
      <c r="AK24">
        <v>0</v>
      </c>
      <c r="AN24" s="208" t="str">
        <f t="shared" si="11"/>
        <v/>
      </c>
      <c r="AO24" s="208" t="str">
        <f t="shared" si="12"/>
        <v/>
      </c>
      <c r="AP24" s="208" t="str">
        <f t="shared" si="13"/>
        <v/>
      </c>
      <c r="AQ24" s="208" t="str">
        <f t="shared" si="24"/>
        <v/>
      </c>
      <c r="AR24" s="208" t="str">
        <f t="shared" si="14"/>
        <v/>
      </c>
      <c r="AS24" s="208" t="str">
        <f t="shared" si="25"/>
        <v/>
      </c>
      <c r="AV24" s="208" t="b">
        <f t="shared" si="26"/>
        <v>0</v>
      </c>
      <c r="AW24" s="208" t="b">
        <f t="shared" si="27"/>
        <v>0</v>
      </c>
      <c r="BA24" s="208" t="b">
        <f t="shared" si="28"/>
        <v>0</v>
      </c>
      <c r="BB24" s="208" t="b">
        <f t="shared" si="15"/>
        <v>0</v>
      </c>
      <c r="BC24" s="209" t="b">
        <f t="shared" si="29"/>
        <v>0</v>
      </c>
      <c r="BD24" s="208">
        <f t="shared" si="30"/>
        <v>0</v>
      </c>
      <c r="BF24" s="208" t="b">
        <f t="shared" si="31"/>
        <v>0</v>
      </c>
      <c r="BH24" s="209" t="b">
        <f t="shared" si="32"/>
        <v>0</v>
      </c>
      <c r="BI24" s="209" t="b">
        <f t="shared" si="33"/>
        <v>0</v>
      </c>
      <c r="BK24" s="208" t="b">
        <f t="shared" si="16"/>
        <v>0</v>
      </c>
      <c r="BL24" s="208" t="b">
        <f t="shared" si="34"/>
        <v>0</v>
      </c>
      <c r="BM24" s="208" t="b">
        <f t="shared" si="35"/>
        <v>0</v>
      </c>
      <c r="BN24" s="208" t="b">
        <f t="shared" si="17"/>
        <v>0</v>
      </c>
      <c r="BO24" s="208" t="str">
        <f t="shared" si="36"/>
        <v/>
      </c>
    </row>
    <row r="25" spans="1:67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7"/>
        <v>0</v>
      </c>
      <c r="I25" s="208">
        <v>1</v>
      </c>
      <c r="J25" s="208">
        <f t="shared" si="1"/>
        <v>0</v>
      </c>
      <c r="K25" s="208">
        <f t="shared" si="38"/>
        <v>0</v>
      </c>
      <c r="L25" s="208"/>
      <c r="M25" s="7">
        <f t="shared" si="18"/>
        <v>0</v>
      </c>
      <c r="N25" s="7">
        <f t="shared" si="19"/>
        <v>0</v>
      </c>
      <c r="O25" s="208">
        <v>0</v>
      </c>
      <c r="P25" s="208">
        <v>1</v>
      </c>
      <c r="Q25" s="208">
        <f t="shared" si="39"/>
        <v>0</v>
      </c>
      <c r="R25" s="208">
        <v>0</v>
      </c>
      <c r="S25" s="208">
        <f t="shared" si="40"/>
        <v>0</v>
      </c>
      <c r="T25" s="208">
        <f t="shared" si="41"/>
        <v>0</v>
      </c>
      <c r="U25" s="208">
        <f t="shared" si="42"/>
        <v>0</v>
      </c>
      <c r="V25" s="208"/>
      <c r="W25" s="208" t="str">
        <f t="shared" si="21"/>
        <v/>
      </c>
      <c r="X25" s="208" t="str">
        <f t="shared" si="6"/>
        <v/>
      </c>
      <c r="Y25" s="208" t="str">
        <f t="shared" si="22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B25" s="209">
        <f t="shared" si="8"/>
        <v>0</v>
      </c>
      <c r="AC25" s="208" t="str">
        <f t="shared" si="9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43"/>
        <v>2</v>
      </c>
      <c r="AG25" s="208">
        <f t="shared" si="10"/>
        <v>0</v>
      </c>
      <c r="AH25" s="208" t="b">
        <v>0</v>
      </c>
      <c r="AK25">
        <v>0</v>
      </c>
      <c r="AN25" s="208" t="str">
        <f t="shared" si="11"/>
        <v/>
      </c>
      <c r="AO25" s="208" t="str">
        <f t="shared" si="12"/>
        <v/>
      </c>
      <c r="AP25" s="208" t="str">
        <f t="shared" si="13"/>
        <v/>
      </c>
      <c r="AQ25" s="208" t="str">
        <f t="shared" si="24"/>
        <v/>
      </c>
      <c r="AR25" s="208" t="str">
        <f t="shared" si="14"/>
        <v/>
      </c>
      <c r="AS25" s="208" t="str">
        <f t="shared" si="25"/>
        <v/>
      </c>
      <c r="AV25" s="208" t="b">
        <f t="shared" si="26"/>
        <v>0</v>
      </c>
      <c r="AW25" s="208" t="b">
        <f t="shared" si="27"/>
        <v>0</v>
      </c>
      <c r="BA25" s="208" t="b">
        <f t="shared" si="28"/>
        <v>0</v>
      </c>
      <c r="BB25" s="208" t="b">
        <f t="shared" si="15"/>
        <v>0</v>
      </c>
      <c r="BC25" s="209" t="b">
        <f t="shared" si="29"/>
        <v>0</v>
      </c>
      <c r="BD25" s="208">
        <f t="shared" si="30"/>
        <v>0</v>
      </c>
      <c r="BF25" s="208" t="b">
        <f t="shared" si="31"/>
        <v>0</v>
      </c>
      <c r="BH25" s="209" t="b">
        <f t="shared" si="32"/>
        <v>0</v>
      </c>
      <c r="BI25" s="209" t="b">
        <f t="shared" si="33"/>
        <v>0</v>
      </c>
      <c r="BK25" s="208" t="b">
        <f t="shared" si="16"/>
        <v>0</v>
      </c>
      <c r="BL25" s="208" t="b">
        <f t="shared" si="34"/>
        <v>0</v>
      </c>
      <c r="BM25" s="208" t="b">
        <f t="shared" si="35"/>
        <v>0</v>
      </c>
      <c r="BN25" s="208" t="b">
        <f t="shared" si="17"/>
        <v>0</v>
      </c>
      <c r="BO25" s="208" t="str">
        <f t="shared" si="36"/>
        <v/>
      </c>
    </row>
    <row r="26" spans="1:67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7"/>
        <v>0</v>
      </c>
      <c r="I26" s="208">
        <v>1</v>
      </c>
      <c r="J26" s="208">
        <f t="shared" si="1"/>
        <v>0</v>
      </c>
      <c r="K26" s="208">
        <f t="shared" si="38"/>
        <v>0</v>
      </c>
      <c r="L26" s="208"/>
      <c r="M26" s="7">
        <f t="shared" si="18"/>
        <v>0</v>
      </c>
      <c r="N26" s="7">
        <f t="shared" si="19"/>
        <v>0</v>
      </c>
      <c r="O26" s="208">
        <v>0</v>
      </c>
      <c r="P26" s="208">
        <v>1</v>
      </c>
      <c r="Q26" s="208">
        <f t="shared" si="39"/>
        <v>0</v>
      </c>
      <c r="R26" s="208">
        <v>0</v>
      </c>
      <c r="S26" s="208">
        <f t="shared" si="40"/>
        <v>0</v>
      </c>
      <c r="T26" s="208">
        <f t="shared" si="41"/>
        <v>0</v>
      </c>
      <c r="U26" s="208">
        <f t="shared" si="42"/>
        <v>0</v>
      </c>
      <c r="V26" s="208"/>
      <c r="W26" s="208" t="str">
        <f t="shared" si="21"/>
        <v/>
      </c>
      <c r="X26" s="208" t="str">
        <f t="shared" si="6"/>
        <v/>
      </c>
      <c r="Y26" s="208" t="str">
        <f t="shared" si="22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B26" s="209">
        <f t="shared" si="8"/>
        <v>0</v>
      </c>
      <c r="AC26" s="208" t="str">
        <f t="shared" si="9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43"/>
        <v>2</v>
      </c>
      <c r="AG26" s="208">
        <f t="shared" si="10"/>
        <v>0</v>
      </c>
      <c r="AH26" s="208" t="b">
        <v>0</v>
      </c>
      <c r="AK26">
        <v>0</v>
      </c>
      <c r="AN26" s="208" t="str">
        <f t="shared" si="11"/>
        <v/>
      </c>
      <c r="AO26" s="208" t="str">
        <f t="shared" si="12"/>
        <v/>
      </c>
      <c r="AP26" s="208" t="str">
        <f t="shared" si="13"/>
        <v/>
      </c>
      <c r="AQ26" s="208" t="str">
        <f t="shared" si="24"/>
        <v/>
      </c>
      <c r="AR26" s="208" t="str">
        <f t="shared" si="14"/>
        <v/>
      </c>
      <c r="AS26" s="208" t="str">
        <f t="shared" si="25"/>
        <v/>
      </c>
      <c r="AV26" s="208" t="b">
        <f t="shared" si="26"/>
        <v>0</v>
      </c>
      <c r="AW26" s="208" t="b">
        <f t="shared" si="27"/>
        <v>0</v>
      </c>
      <c r="BA26" s="208" t="b">
        <f t="shared" si="28"/>
        <v>0</v>
      </c>
      <c r="BB26" s="208" t="b">
        <f t="shared" si="15"/>
        <v>0</v>
      </c>
      <c r="BC26" s="209" t="b">
        <f t="shared" si="29"/>
        <v>0</v>
      </c>
      <c r="BD26" s="208">
        <f t="shared" si="30"/>
        <v>0</v>
      </c>
      <c r="BF26" s="208" t="b">
        <f t="shared" si="31"/>
        <v>0</v>
      </c>
      <c r="BH26" s="209" t="b">
        <f t="shared" si="32"/>
        <v>0</v>
      </c>
      <c r="BI26" s="209" t="b">
        <f t="shared" si="33"/>
        <v>0</v>
      </c>
      <c r="BK26" s="208" t="b">
        <f t="shared" si="16"/>
        <v>0</v>
      </c>
      <c r="BL26" s="208" t="b">
        <f t="shared" si="34"/>
        <v>0</v>
      </c>
      <c r="BM26" s="208" t="b">
        <f t="shared" si="35"/>
        <v>0</v>
      </c>
      <c r="BN26" s="208" t="b">
        <f t="shared" si="17"/>
        <v>0</v>
      </c>
      <c r="BO26" s="208" t="str">
        <f t="shared" si="36"/>
        <v/>
      </c>
    </row>
    <row r="27" spans="1:67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7"/>
        <v>0</v>
      </c>
      <c r="I27" s="208">
        <v>1</v>
      </c>
      <c r="J27" s="208">
        <f t="shared" si="1"/>
        <v>0</v>
      </c>
      <c r="K27" s="208">
        <f t="shared" si="38"/>
        <v>0</v>
      </c>
      <c r="L27" s="208"/>
      <c r="M27" s="7">
        <f t="shared" si="18"/>
        <v>0</v>
      </c>
      <c r="N27" s="7">
        <f t="shared" si="19"/>
        <v>0</v>
      </c>
      <c r="O27" s="208">
        <v>0</v>
      </c>
      <c r="P27" s="208">
        <v>1</v>
      </c>
      <c r="Q27" s="208">
        <f t="shared" si="39"/>
        <v>0</v>
      </c>
      <c r="R27" s="208">
        <v>0</v>
      </c>
      <c r="S27" s="208">
        <f t="shared" si="40"/>
        <v>0</v>
      </c>
      <c r="T27" s="208">
        <f t="shared" si="41"/>
        <v>0</v>
      </c>
      <c r="U27" s="208">
        <f t="shared" si="42"/>
        <v>0</v>
      </c>
      <c r="V27" s="208"/>
      <c r="W27" s="208" t="str">
        <f t="shared" si="21"/>
        <v/>
      </c>
      <c r="X27" s="208" t="str">
        <f t="shared" si="6"/>
        <v/>
      </c>
      <c r="Y27" s="208" t="str">
        <f t="shared" si="22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B27" s="209">
        <f t="shared" si="8"/>
        <v>0</v>
      </c>
      <c r="AC27" s="208" t="str">
        <f t="shared" si="9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43"/>
        <v>2</v>
      </c>
      <c r="AG27" s="208">
        <f t="shared" si="10"/>
        <v>0</v>
      </c>
      <c r="AH27" s="208" t="b">
        <v>0</v>
      </c>
      <c r="AK27">
        <v>0</v>
      </c>
      <c r="AN27" s="208" t="str">
        <f t="shared" si="11"/>
        <v/>
      </c>
      <c r="AO27" s="208" t="str">
        <f t="shared" si="12"/>
        <v/>
      </c>
      <c r="AP27" s="208" t="str">
        <f t="shared" si="13"/>
        <v/>
      </c>
      <c r="AQ27" s="208" t="str">
        <f t="shared" si="24"/>
        <v/>
      </c>
      <c r="AR27" s="208" t="str">
        <f t="shared" si="14"/>
        <v/>
      </c>
      <c r="AS27" s="208" t="str">
        <f t="shared" si="25"/>
        <v/>
      </c>
      <c r="AV27" s="208" t="b">
        <f t="shared" si="26"/>
        <v>0</v>
      </c>
      <c r="AW27" s="208" t="b">
        <f t="shared" si="27"/>
        <v>0</v>
      </c>
      <c r="BA27" s="208" t="b">
        <f t="shared" si="28"/>
        <v>0</v>
      </c>
      <c r="BB27" s="208" t="b">
        <f t="shared" si="15"/>
        <v>0</v>
      </c>
      <c r="BC27" s="209" t="b">
        <f t="shared" si="29"/>
        <v>0</v>
      </c>
      <c r="BD27" s="208">
        <f t="shared" si="30"/>
        <v>0</v>
      </c>
      <c r="BF27" s="208" t="b">
        <f t="shared" si="31"/>
        <v>0</v>
      </c>
      <c r="BH27" s="209" t="b">
        <f t="shared" si="32"/>
        <v>0</v>
      </c>
      <c r="BI27" s="209" t="b">
        <f t="shared" si="33"/>
        <v>0</v>
      </c>
      <c r="BK27" s="208" t="b">
        <f t="shared" si="16"/>
        <v>0</v>
      </c>
      <c r="BL27" s="208" t="b">
        <f t="shared" si="34"/>
        <v>0</v>
      </c>
      <c r="BM27" s="208" t="b">
        <f t="shared" si="35"/>
        <v>0</v>
      </c>
      <c r="BN27" s="208" t="b">
        <f t="shared" si="17"/>
        <v>0</v>
      </c>
      <c r="BO27" s="208" t="str">
        <f t="shared" si="36"/>
        <v/>
      </c>
    </row>
    <row r="28" spans="1:67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7"/>
        <v>0</v>
      </c>
      <c r="I28" s="208">
        <v>1</v>
      </c>
      <c r="J28" s="208">
        <f t="shared" si="1"/>
        <v>0</v>
      </c>
      <c r="K28" s="208">
        <f t="shared" si="38"/>
        <v>0</v>
      </c>
      <c r="L28" s="208"/>
      <c r="M28" s="7">
        <f t="shared" si="18"/>
        <v>0</v>
      </c>
      <c r="N28" s="7">
        <f t="shared" si="19"/>
        <v>0</v>
      </c>
      <c r="O28" s="208">
        <v>0</v>
      </c>
      <c r="P28" s="208">
        <v>1</v>
      </c>
      <c r="Q28" s="208">
        <f t="shared" si="39"/>
        <v>0</v>
      </c>
      <c r="R28" s="208">
        <v>0</v>
      </c>
      <c r="S28" s="208">
        <f t="shared" si="40"/>
        <v>0</v>
      </c>
      <c r="T28" s="208">
        <f t="shared" si="41"/>
        <v>0</v>
      </c>
      <c r="U28" s="208">
        <f t="shared" si="42"/>
        <v>0</v>
      </c>
      <c r="V28" s="208"/>
      <c r="W28" s="208" t="str">
        <f t="shared" si="21"/>
        <v/>
      </c>
      <c r="X28" s="208" t="str">
        <f t="shared" si="6"/>
        <v/>
      </c>
      <c r="Y28" s="208" t="str">
        <f t="shared" si="22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B28" s="209">
        <f t="shared" si="8"/>
        <v>0</v>
      </c>
      <c r="AC28" s="208" t="str">
        <f t="shared" si="9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43"/>
        <v>2</v>
      </c>
      <c r="AG28" s="208">
        <f t="shared" si="10"/>
        <v>0</v>
      </c>
      <c r="AH28" s="208" t="b">
        <v>0</v>
      </c>
      <c r="AK28">
        <v>0</v>
      </c>
      <c r="AN28" s="208" t="str">
        <f t="shared" si="11"/>
        <v/>
      </c>
      <c r="AO28" s="208" t="str">
        <f t="shared" si="12"/>
        <v/>
      </c>
      <c r="AP28" s="208" t="str">
        <f t="shared" si="13"/>
        <v/>
      </c>
      <c r="AQ28" s="208" t="str">
        <f t="shared" si="24"/>
        <v/>
      </c>
      <c r="AR28" s="208" t="str">
        <f t="shared" si="14"/>
        <v/>
      </c>
      <c r="AS28" s="208" t="str">
        <f t="shared" si="25"/>
        <v/>
      </c>
      <c r="AV28" s="208" t="b">
        <f t="shared" si="26"/>
        <v>0</v>
      </c>
      <c r="AW28" s="208" t="b">
        <f t="shared" si="27"/>
        <v>0</v>
      </c>
      <c r="BA28" s="208" t="b">
        <f t="shared" si="28"/>
        <v>0</v>
      </c>
      <c r="BB28" s="208" t="b">
        <f t="shared" si="15"/>
        <v>0</v>
      </c>
      <c r="BC28" s="209" t="b">
        <f t="shared" si="29"/>
        <v>0</v>
      </c>
      <c r="BD28" s="208">
        <f t="shared" si="30"/>
        <v>0</v>
      </c>
      <c r="BF28" s="208" t="b">
        <f t="shared" si="31"/>
        <v>0</v>
      </c>
      <c r="BH28" s="209" t="b">
        <f t="shared" si="32"/>
        <v>0</v>
      </c>
      <c r="BI28" s="209" t="b">
        <f t="shared" si="33"/>
        <v>0</v>
      </c>
      <c r="BK28" s="208" t="b">
        <f t="shared" si="16"/>
        <v>0</v>
      </c>
      <c r="BL28" s="208" t="b">
        <f t="shared" si="34"/>
        <v>0</v>
      </c>
      <c r="BM28" s="208" t="b">
        <f t="shared" si="35"/>
        <v>0</v>
      </c>
      <c r="BN28" s="208" t="b">
        <f t="shared" si="17"/>
        <v>0</v>
      </c>
      <c r="BO28" s="208" t="str">
        <f t="shared" si="36"/>
        <v/>
      </c>
    </row>
    <row r="29" spans="1:67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7"/>
        <v>0</v>
      </c>
      <c r="I29" s="208">
        <v>1</v>
      </c>
      <c r="J29" s="208">
        <f t="shared" si="1"/>
        <v>0</v>
      </c>
      <c r="K29" s="208">
        <f t="shared" si="38"/>
        <v>0</v>
      </c>
      <c r="L29" s="208"/>
      <c r="M29" s="7">
        <f t="shared" si="18"/>
        <v>0</v>
      </c>
      <c r="N29" s="7">
        <f t="shared" si="19"/>
        <v>0</v>
      </c>
      <c r="O29" s="208">
        <v>0</v>
      </c>
      <c r="P29" s="208">
        <v>1</v>
      </c>
      <c r="Q29" s="208">
        <f t="shared" si="39"/>
        <v>0</v>
      </c>
      <c r="R29" s="208">
        <v>0</v>
      </c>
      <c r="S29" s="208">
        <f t="shared" si="40"/>
        <v>0</v>
      </c>
      <c r="T29" s="208">
        <f t="shared" si="41"/>
        <v>0</v>
      </c>
      <c r="U29" s="208">
        <f t="shared" si="42"/>
        <v>0</v>
      </c>
      <c r="V29" s="208"/>
      <c r="W29" s="208" t="str">
        <f t="shared" si="21"/>
        <v/>
      </c>
      <c r="X29" s="208" t="str">
        <f t="shared" si="6"/>
        <v/>
      </c>
      <c r="Y29" s="208" t="str">
        <f t="shared" si="22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B29" s="209">
        <f t="shared" si="8"/>
        <v>0</v>
      </c>
      <c r="AC29" s="208" t="str">
        <f t="shared" si="9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43"/>
        <v>2</v>
      </c>
      <c r="AG29" s="208">
        <f t="shared" si="10"/>
        <v>0</v>
      </c>
      <c r="AH29" s="208" t="b">
        <v>0</v>
      </c>
      <c r="AK29">
        <v>0</v>
      </c>
      <c r="AN29" s="208" t="str">
        <f t="shared" si="11"/>
        <v/>
      </c>
      <c r="AO29" s="208" t="str">
        <f t="shared" si="12"/>
        <v/>
      </c>
      <c r="AP29" s="208" t="str">
        <f t="shared" si="13"/>
        <v/>
      </c>
      <c r="AQ29" s="208" t="str">
        <f t="shared" si="24"/>
        <v/>
      </c>
      <c r="AR29" s="208" t="str">
        <f t="shared" si="14"/>
        <v/>
      </c>
      <c r="AS29" s="208" t="str">
        <f t="shared" si="25"/>
        <v/>
      </c>
      <c r="AV29" s="208" t="b">
        <f t="shared" si="26"/>
        <v>0</v>
      </c>
      <c r="AW29" s="208" t="b">
        <f t="shared" si="27"/>
        <v>0</v>
      </c>
      <c r="BA29" s="208" t="b">
        <f t="shared" si="28"/>
        <v>0</v>
      </c>
      <c r="BB29" s="208" t="b">
        <f t="shared" si="15"/>
        <v>0</v>
      </c>
      <c r="BC29" s="209" t="b">
        <f t="shared" si="29"/>
        <v>0</v>
      </c>
      <c r="BD29" s="208">
        <f t="shared" si="30"/>
        <v>0</v>
      </c>
      <c r="BF29" s="208" t="b">
        <f t="shared" si="31"/>
        <v>0</v>
      </c>
      <c r="BH29" s="209" t="b">
        <f t="shared" si="32"/>
        <v>0</v>
      </c>
      <c r="BI29" s="209" t="b">
        <f t="shared" si="33"/>
        <v>0</v>
      </c>
      <c r="BK29" s="208" t="b">
        <f t="shared" si="16"/>
        <v>0</v>
      </c>
      <c r="BL29" s="208" t="b">
        <f t="shared" si="34"/>
        <v>0</v>
      </c>
      <c r="BM29" s="208" t="b">
        <f t="shared" si="35"/>
        <v>0</v>
      </c>
      <c r="BN29" s="208" t="b">
        <f t="shared" si="17"/>
        <v>0</v>
      </c>
      <c r="BO29" s="208" t="str">
        <f t="shared" si="36"/>
        <v/>
      </c>
    </row>
    <row r="30" spans="1:67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7"/>
        <v>0</v>
      </c>
      <c r="I30" s="208">
        <v>1</v>
      </c>
      <c r="J30" s="208">
        <f t="shared" si="1"/>
        <v>0</v>
      </c>
      <c r="K30" s="208">
        <f t="shared" si="38"/>
        <v>0</v>
      </c>
      <c r="L30" s="208"/>
      <c r="M30" s="7">
        <f t="shared" si="18"/>
        <v>0</v>
      </c>
      <c r="N30" s="7">
        <f t="shared" si="19"/>
        <v>0</v>
      </c>
      <c r="O30" s="208">
        <v>0</v>
      </c>
      <c r="P30" s="208">
        <v>1</v>
      </c>
      <c r="Q30" s="208">
        <f t="shared" si="39"/>
        <v>0</v>
      </c>
      <c r="R30" s="208">
        <v>0</v>
      </c>
      <c r="S30" s="208">
        <f t="shared" si="40"/>
        <v>0</v>
      </c>
      <c r="T30" s="208">
        <f t="shared" si="41"/>
        <v>0</v>
      </c>
      <c r="U30" s="208">
        <f t="shared" si="42"/>
        <v>0</v>
      </c>
      <c r="V30" s="208"/>
      <c r="W30" s="208" t="str">
        <f t="shared" si="21"/>
        <v/>
      </c>
      <c r="X30" s="208" t="str">
        <f t="shared" si="6"/>
        <v/>
      </c>
      <c r="Y30" s="208" t="str">
        <f t="shared" si="22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B30" s="209">
        <f t="shared" si="8"/>
        <v>0</v>
      </c>
      <c r="AC30" s="208" t="str">
        <f t="shared" si="9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43"/>
        <v>2</v>
      </c>
      <c r="AG30" s="208">
        <f t="shared" si="10"/>
        <v>0</v>
      </c>
      <c r="AH30" s="208" t="b">
        <v>0</v>
      </c>
      <c r="AK30">
        <v>0</v>
      </c>
      <c r="AN30" s="208" t="str">
        <f t="shared" si="11"/>
        <v/>
      </c>
      <c r="AO30" s="208" t="str">
        <f t="shared" si="12"/>
        <v/>
      </c>
      <c r="AP30" s="208" t="str">
        <f t="shared" si="13"/>
        <v/>
      </c>
      <c r="AQ30" s="208" t="str">
        <f t="shared" si="24"/>
        <v/>
      </c>
      <c r="AR30" s="208" t="str">
        <f t="shared" si="14"/>
        <v/>
      </c>
      <c r="AS30" s="208" t="str">
        <f t="shared" si="25"/>
        <v/>
      </c>
      <c r="AV30" s="208" t="b">
        <f t="shared" si="26"/>
        <v>0</v>
      </c>
      <c r="AW30" s="208" t="b">
        <f t="shared" si="27"/>
        <v>0</v>
      </c>
      <c r="BA30" s="208" t="b">
        <f t="shared" si="28"/>
        <v>0</v>
      </c>
      <c r="BB30" s="208" t="b">
        <f t="shared" si="15"/>
        <v>0</v>
      </c>
      <c r="BC30" s="209" t="b">
        <f t="shared" si="29"/>
        <v>0</v>
      </c>
      <c r="BD30" s="208">
        <f t="shared" si="30"/>
        <v>0</v>
      </c>
      <c r="BF30" s="208" t="b">
        <f t="shared" si="31"/>
        <v>0</v>
      </c>
      <c r="BH30" s="209" t="b">
        <f t="shared" si="32"/>
        <v>0</v>
      </c>
      <c r="BI30" s="209" t="b">
        <f t="shared" si="33"/>
        <v>0</v>
      </c>
      <c r="BK30" s="208" t="b">
        <f t="shared" si="16"/>
        <v>0</v>
      </c>
      <c r="BL30" s="208" t="b">
        <f t="shared" si="34"/>
        <v>0</v>
      </c>
      <c r="BM30" s="208" t="b">
        <f t="shared" si="35"/>
        <v>0</v>
      </c>
      <c r="BN30" s="208" t="b">
        <f t="shared" si="17"/>
        <v>0</v>
      </c>
      <c r="BO30" s="208" t="str">
        <f t="shared" si="36"/>
        <v/>
      </c>
    </row>
    <row r="31" spans="1:67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7"/>
        <v>0</v>
      </c>
      <c r="I31" s="208">
        <v>1</v>
      </c>
      <c r="J31" s="208">
        <f t="shared" si="1"/>
        <v>0</v>
      </c>
      <c r="K31" s="208">
        <f t="shared" si="38"/>
        <v>0</v>
      </c>
      <c r="L31" s="208"/>
      <c r="M31" s="7">
        <f t="shared" si="18"/>
        <v>0</v>
      </c>
      <c r="N31" s="7">
        <f t="shared" si="19"/>
        <v>0</v>
      </c>
      <c r="O31" s="208">
        <v>0</v>
      </c>
      <c r="P31" s="208">
        <v>1</v>
      </c>
      <c r="Q31" s="208">
        <f t="shared" si="39"/>
        <v>0</v>
      </c>
      <c r="R31" s="208">
        <v>0</v>
      </c>
      <c r="S31" s="208">
        <f t="shared" si="40"/>
        <v>0</v>
      </c>
      <c r="T31" s="208">
        <f t="shared" si="41"/>
        <v>0</v>
      </c>
      <c r="U31" s="208">
        <f t="shared" si="42"/>
        <v>0</v>
      </c>
      <c r="V31" s="208"/>
      <c r="W31" s="208" t="str">
        <f t="shared" si="21"/>
        <v/>
      </c>
      <c r="X31" s="208" t="str">
        <f t="shared" si="6"/>
        <v/>
      </c>
      <c r="Y31" s="208" t="str">
        <f t="shared" si="22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B31" s="209">
        <f t="shared" si="8"/>
        <v>0</v>
      </c>
      <c r="AC31" s="208" t="str">
        <f t="shared" si="9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43"/>
        <v>2</v>
      </c>
      <c r="AG31" s="208">
        <f t="shared" si="10"/>
        <v>0</v>
      </c>
      <c r="AH31" s="208" t="b">
        <v>0</v>
      </c>
      <c r="AK31">
        <v>0</v>
      </c>
      <c r="AN31" s="208" t="str">
        <f t="shared" si="11"/>
        <v/>
      </c>
      <c r="AO31" s="208" t="str">
        <f t="shared" si="12"/>
        <v/>
      </c>
      <c r="AP31" s="208" t="str">
        <f t="shared" si="13"/>
        <v/>
      </c>
      <c r="AQ31" s="208" t="str">
        <f t="shared" si="24"/>
        <v/>
      </c>
      <c r="AR31" s="208" t="str">
        <f t="shared" si="14"/>
        <v/>
      </c>
      <c r="AS31" s="208" t="str">
        <f t="shared" si="25"/>
        <v/>
      </c>
      <c r="AV31" s="208" t="b">
        <f t="shared" si="26"/>
        <v>0</v>
      </c>
      <c r="AW31" s="208" t="b">
        <f t="shared" si="27"/>
        <v>0</v>
      </c>
      <c r="BA31" s="208" t="b">
        <f t="shared" si="28"/>
        <v>0</v>
      </c>
      <c r="BB31" s="208" t="b">
        <f t="shared" si="15"/>
        <v>0</v>
      </c>
      <c r="BC31" s="209" t="b">
        <f t="shared" si="29"/>
        <v>0</v>
      </c>
      <c r="BD31" s="208">
        <f t="shared" si="30"/>
        <v>0</v>
      </c>
      <c r="BF31" s="208" t="b">
        <f t="shared" si="31"/>
        <v>0</v>
      </c>
      <c r="BH31" s="209" t="b">
        <f t="shared" si="32"/>
        <v>0</v>
      </c>
      <c r="BI31" s="209" t="b">
        <f t="shared" si="33"/>
        <v>0</v>
      </c>
      <c r="BK31" s="208" t="b">
        <f t="shared" si="16"/>
        <v>0</v>
      </c>
      <c r="BL31" s="208" t="b">
        <f t="shared" si="34"/>
        <v>0</v>
      </c>
      <c r="BM31" s="208" t="b">
        <f t="shared" si="35"/>
        <v>0</v>
      </c>
      <c r="BN31" s="208" t="b">
        <f t="shared" si="17"/>
        <v>0</v>
      </c>
      <c r="BO31" s="208" t="str">
        <f t="shared" si="36"/>
        <v/>
      </c>
    </row>
    <row r="32" spans="1:67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O38" sqref="O38"/>
    </sheetView>
  </sheetViews>
  <sheetFormatPr defaultRowHeight="12.75" x14ac:dyDescent="0.2"/>
  <cols>
    <col min="1" max="1" width="17.7109375" customWidth="1"/>
    <col min="3" max="50" width="4.42578125" style="568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4697</v>
      </c>
      <c r="C2" s="568">
        <v>10</v>
      </c>
      <c r="D2" s="568">
        <v>11</v>
      </c>
      <c r="E2" s="568">
        <v>12</v>
      </c>
      <c r="F2" s="568">
        <v>13</v>
      </c>
      <c r="G2" s="568">
        <v>14</v>
      </c>
      <c r="H2" s="568">
        <v>15</v>
      </c>
      <c r="I2" s="568">
        <v>16</v>
      </c>
      <c r="J2" s="568">
        <v>17</v>
      </c>
      <c r="K2" s="568">
        <v>18</v>
      </c>
      <c r="L2" s="568">
        <v>19</v>
      </c>
      <c r="M2" s="568">
        <v>20</v>
      </c>
      <c r="N2" s="568">
        <v>21</v>
      </c>
      <c r="O2" s="568">
        <v>22</v>
      </c>
      <c r="P2" s="568">
        <v>23</v>
      </c>
      <c r="Q2" s="568">
        <v>24</v>
      </c>
      <c r="R2" s="568">
        <v>1</v>
      </c>
      <c r="S2" s="568">
        <v>2</v>
      </c>
      <c r="T2" s="568">
        <v>3</v>
      </c>
      <c r="U2" s="568">
        <v>4</v>
      </c>
      <c r="V2" s="568">
        <v>5</v>
      </c>
      <c r="W2" s="568">
        <v>6</v>
      </c>
      <c r="X2" s="568">
        <v>7</v>
      </c>
      <c r="Y2" s="568">
        <v>8</v>
      </c>
      <c r="Z2" s="568"/>
      <c r="AA2" s="568">
        <v>9</v>
      </c>
      <c r="AB2" s="568">
        <v>10</v>
      </c>
      <c r="AC2" s="568">
        <v>11</v>
      </c>
      <c r="AD2" s="568">
        <v>12</v>
      </c>
      <c r="AE2" s="568">
        <v>13</v>
      </c>
      <c r="AF2" s="568">
        <v>14</v>
      </c>
      <c r="AG2" s="568">
        <v>15</v>
      </c>
      <c r="AH2" s="568">
        <v>16</v>
      </c>
      <c r="AI2" s="568">
        <v>17</v>
      </c>
      <c r="AJ2" s="568">
        <v>18</v>
      </c>
      <c r="AK2" s="568">
        <v>19</v>
      </c>
      <c r="AL2" s="568">
        <v>20</v>
      </c>
      <c r="AM2" s="568">
        <v>21</v>
      </c>
      <c r="AN2" s="568">
        <v>22</v>
      </c>
      <c r="AO2" s="568">
        <v>23</v>
      </c>
      <c r="AP2" s="568">
        <v>24</v>
      </c>
      <c r="AQ2" s="568">
        <v>1</v>
      </c>
      <c r="AR2" s="568">
        <v>2</v>
      </c>
      <c r="AS2" s="568">
        <v>3</v>
      </c>
      <c r="AT2" s="568">
        <v>4</v>
      </c>
      <c r="AU2" s="568">
        <v>5</v>
      </c>
      <c r="AV2" s="568">
        <v>6</v>
      </c>
      <c r="AW2" s="568">
        <v>7</v>
      </c>
      <c r="AX2" s="568">
        <v>8</v>
      </c>
    </row>
    <row r="3" spans="1:50" x14ac:dyDescent="0.2">
      <c r="A3" s="208"/>
      <c r="B3">
        <v>0</v>
      </c>
      <c r="C3" s="571"/>
      <c r="D3" s="571"/>
      <c r="E3" s="571"/>
      <c r="F3" s="571"/>
      <c r="G3" s="571"/>
      <c r="H3" s="571"/>
      <c r="I3" s="571"/>
      <c r="J3" s="571"/>
      <c r="K3" s="571"/>
      <c r="L3" s="571"/>
      <c r="M3" s="571"/>
      <c r="N3" s="571"/>
      <c r="O3" s="571"/>
      <c r="P3" s="571"/>
      <c r="Q3" s="571"/>
      <c r="R3" s="571"/>
      <c r="S3" s="571"/>
      <c r="T3" s="571"/>
      <c r="U3" s="571"/>
      <c r="V3" s="571"/>
      <c r="W3" s="571"/>
      <c r="X3" s="571"/>
      <c r="Y3" s="571"/>
      <c r="Z3" s="571"/>
      <c r="AA3" s="571"/>
      <c r="AB3" s="571"/>
      <c r="AC3" s="571"/>
      <c r="AD3" s="571"/>
      <c r="AE3" s="571"/>
      <c r="AF3" s="571"/>
      <c r="AG3" s="571"/>
      <c r="AH3" s="571"/>
      <c r="AI3" s="571"/>
      <c r="AJ3" s="571"/>
      <c r="AK3" s="571"/>
      <c r="AL3" s="571"/>
      <c r="AM3" s="571"/>
      <c r="AN3" s="571"/>
      <c r="AO3" s="571"/>
      <c r="AP3" s="571"/>
      <c r="AQ3" s="571"/>
      <c r="AR3" s="571"/>
      <c r="AS3" s="571"/>
      <c r="AT3" s="571"/>
      <c r="AU3" s="571"/>
      <c r="AV3" s="571"/>
      <c r="AW3" s="571"/>
      <c r="AX3" s="571"/>
    </row>
    <row r="4" spans="1:50" x14ac:dyDescent="0.2">
      <c r="A4" t="s">
        <v>4552</v>
      </c>
      <c r="B4">
        <v>1</v>
      </c>
      <c r="C4" s="571"/>
      <c r="D4" s="571"/>
      <c r="E4" s="571"/>
      <c r="F4" s="571"/>
      <c r="G4" s="571"/>
      <c r="H4" s="571"/>
      <c r="I4" s="571"/>
      <c r="J4" s="571"/>
      <c r="K4" s="571"/>
      <c r="L4" s="571"/>
      <c r="M4" s="572" t="s">
        <v>137</v>
      </c>
      <c r="N4" s="571"/>
      <c r="O4" s="571"/>
      <c r="P4" s="571"/>
      <c r="Q4" s="571"/>
      <c r="R4" s="571"/>
      <c r="S4" s="571"/>
      <c r="T4" s="571"/>
      <c r="U4" s="571"/>
      <c r="V4" s="571"/>
      <c r="W4" s="571"/>
      <c r="X4" s="571"/>
      <c r="Y4" s="571"/>
      <c r="Z4" s="571"/>
      <c r="AA4" s="571"/>
      <c r="AB4" s="571"/>
      <c r="AC4" s="571"/>
      <c r="AD4" s="571"/>
      <c r="AE4" s="571"/>
      <c r="AF4" s="571"/>
      <c r="AG4" s="571"/>
      <c r="AH4" s="571"/>
      <c r="AI4" s="571"/>
      <c r="AJ4" s="571"/>
      <c r="AK4" s="571"/>
      <c r="AL4" s="571"/>
      <c r="AM4" s="571"/>
      <c r="AN4" s="571"/>
      <c r="AO4" s="571"/>
      <c r="AP4" s="571"/>
      <c r="AQ4" s="571"/>
      <c r="AR4" s="571"/>
      <c r="AS4" s="571"/>
      <c r="AT4" s="571"/>
      <c r="AU4" s="571"/>
      <c r="AV4" s="571"/>
      <c r="AW4" s="571"/>
      <c r="AX4" s="571"/>
    </row>
    <row r="5" spans="1:50" x14ac:dyDescent="0.2">
      <c r="A5" t="s">
        <v>4553</v>
      </c>
      <c r="B5">
        <v>1</v>
      </c>
      <c r="C5" s="572" t="s">
        <v>137</v>
      </c>
      <c r="D5" s="571"/>
      <c r="E5" s="571"/>
      <c r="F5" s="571"/>
      <c r="G5" s="571"/>
      <c r="H5" s="571"/>
      <c r="I5" s="571"/>
      <c r="J5" s="571"/>
      <c r="K5" s="571"/>
      <c r="L5" s="571"/>
      <c r="M5" s="571"/>
      <c r="N5" s="571"/>
      <c r="O5" s="571"/>
      <c r="P5" s="571"/>
      <c r="Q5" s="571"/>
      <c r="R5" s="571"/>
      <c r="S5" s="571"/>
      <c r="T5" s="571"/>
      <c r="U5" s="571"/>
      <c r="V5" s="571"/>
      <c r="W5" s="571"/>
      <c r="X5" s="571"/>
      <c r="Y5" s="571"/>
      <c r="Z5" s="571"/>
      <c r="AA5" s="571" t="s">
        <v>137</v>
      </c>
      <c r="AB5" s="571"/>
      <c r="AC5" s="571"/>
      <c r="AD5" s="571"/>
      <c r="AE5" s="571"/>
      <c r="AF5" s="571"/>
      <c r="AG5" s="571"/>
      <c r="AH5" s="571"/>
      <c r="AI5" s="571"/>
      <c r="AJ5" s="571"/>
      <c r="AK5" s="571"/>
      <c r="AL5" s="571"/>
      <c r="AM5" s="571"/>
      <c r="AN5" s="571"/>
      <c r="AO5" s="571"/>
      <c r="AP5" s="571"/>
      <c r="AQ5" s="571"/>
      <c r="AR5" s="571"/>
      <c r="AS5" s="571"/>
      <c r="AT5" s="571"/>
      <c r="AU5" s="571"/>
      <c r="AV5" s="571"/>
      <c r="AW5" s="571"/>
      <c r="AX5" s="571"/>
    </row>
    <row r="6" spans="1:50" x14ac:dyDescent="0.2">
      <c r="A6" t="s">
        <v>4554</v>
      </c>
      <c r="B6">
        <v>2</v>
      </c>
      <c r="C6" s="572" t="s">
        <v>137</v>
      </c>
      <c r="D6" s="571"/>
      <c r="E6" s="571"/>
      <c r="F6" s="571"/>
      <c r="G6" s="571"/>
      <c r="H6" s="571"/>
      <c r="I6" s="571"/>
      <c r="J6" s="571"/>
      <c r="K6" s="571"/>
      <c r="L6" s="571"/>
      <c r="M6" s="571"/>
      <c r="N6" s="571"/>
      <c r="O6" s="572" t="s">
        <v>137</v>
      </c>
      <c r="P6" s="571"/>
      <c r="Q6" s="571"/>
      <c r="R6" s="571"/>
      <c r="S6" s="571"/>
      <c r="T6" s="571"/>
      <c r="U6" s="571"/>
      <c r="V6" s="571"/>
      <c r="W6" s="571"/>
      <c r="X6" s="571"/>
      <c r="Y6" s="571"/>
      <c r="Z6" s="571"/>
      <c r="AA6" s="571" t="s">
        <v>137</v>
      </c>
      <c r="AB6" s="571"/>
      <c r="AC6" s="571"/>
      <c r="AD6" s="571"/>
      <c r="AE6" s="571"/>
      <c r="AF6" s="571"/>
      <c r="AG6" s="571"/>
      <c r="AH6" s="571"/>
      <c r="AI6" s="571"/>
      <c r="AJ6" s="571"/>
      <c r="AK6" s="571"/>
      <c r="AL6" s="571"/>
      <c r="AM6" s="571" t="s">
        <v>137</v>
      </c>
      <c r="AN6" s="571"/>
      <c r="AO6" s="571"/>
      <c r="AP6" s="571"/>
      <c r="AQ6" s="571"/>
      <c r="AR6" s="571"/>
      <c r="AS6" s="571"/>
      <c r="AT6" s="571"/>
      <c r="AU6" s="571"/>
      <c r="AV6" s="571"/>
      <c r="AW6" s="571"/>
      <c r="AX6" s="571"/>
    </row>
    <row r="7" spans="1:50" x14ac:dyDescent="0.2">
      <c r="A7" t="s">
        <v>4555</v>
      </c>
      <c r="B7">
        <v>3</v>
      </c>
      <c r="C7" s="572" t="s">
        <v>137</v>
      </c>
      <c r="D7" s="571"/>
      <c r="E7" s="571"/>
      <c r="F7" s="571"/>
      <c r="G7" s="571"/>
      <c r="H7" s="571"/>
      <c r="I7" s="571"/>
      <c r="J7" s="571"/>
      <c r="K7" s="572" t="s">
        <v>137</v>
      </c>
      <c r="L7" s="571"/>
      <c r="M7" s="571"/>
      <c r="N7" s="571"/>
      <c r="O7" s="571"/>
      <c r="P7" s="571"/>
      <c r="Q7" s="571"/>
      <c r="R7" s="571"/>
      <c r="S7" s="572" t="s">
        <v>137</v>
      </c>
      <c r="T7" s="571"/>
      <c r="U7" s="571"/>
      <c r="V7" s="571"/>
      <c r="W7" s="571"/>
      <c r="X7" s="571"/>
      <c r="Y7" s="571"/>
      <c r="Z7" s="571"/>
      <c r="AA7" s="571" t="s">
        <v>137</v>
      </c>
      <c r="AB7" s="571"/>
      <c r="AC7" s="571"/>
      <c r="AD7" s="571"/>
      <c r="AE7" s="571"/>
      <c r="AF7" s="571"/>
      <c r="AG7" s="571"/>
      <c r="AH7" s="571"/>
      <c r="AI7" s="571" t="s">
        <v>137</v>
      </c>
      <c r="AJ7" s="571"/>
      <c r="AK7" s="571"/>
      <c r="AL7" s="571"/>
      <c r="AM7" s="571"/>
      <c r="AN7" s="571"/>
      <c r="AO7" s="571"/>
      <c r="AP7" s="571"/>
      <c r="AQ7" s="571" t="s">
        <v>137</v>
      </c>
      <c r="AR7" s="571"/>
      <c r="AS7" s="571"/>
      <c r="AT7" s="571"/>
      <c r="AU7" s="571"/>
      <c r="AV7" s="571"/>
      <c r="AW7" s="571"/>
      <c r="AX7" s="571"/>
    </row>
    <row r="8" spans="1:50" x14ac:dyDescent="0.2">
      <c r="A8" t="s">
        <v>4556</v>
      </c>
      <c r="B8">
        <v>4</v>
      </c>
      <c r="C8" s="571"/>
      <c r="D8" s="571"/>
      <c r="E8" s="572" t="s">
        <v>137</v>
      </c>
      <c r="F8" s="571"/>
      <c r="G8" s="571"/>
      <c r="H8" s="571"/>
      <c r="I8" s="571"/>
      <c r="J8" s="571"/>
      <c r="K8" s="572" t="s">
        <v>137</v>
      </c>
      <c r="L8" s="571"/>
      <c r="M8" s="571"/>
      <c r="N8" s="571"/>
      <c r="O8" s="572"/>
      <c r="P8" s="571"/>
      <c r="Q8" s="572" t="s">
        <v>137</v>
      </c>
      <c r="R8" s="571"/>
      <c r="S8" s="571"/>
      <c r="T8" s="571"/>
      <c r="U8" s="571"/>
      <c r="V8" s="571"/>
      <c r="W8" s="572" t="s">
        <v>137</v>
      </c>
      <c r="X8" s="571"/>
      <c r="Y8" s="571"/>
      <c r="Z8" s="571"/>
      <c r="AA8" s="571" t="s">
        <v>137</v>
      </c>
      <c r="AB8" s="571"/>
      <c r="AC8" s="571"/>
      <c r="AD8" s="571"/>
      <c r="AE8" s="571"/>
      <c r="AF8" s="571"/>
      <c r="AG8" s="571" t="s">
        <v>137</v>
      </c>
      <c r="AH8" s="571"/>
      <c r="AI8" s="571"/>
      <c r="AJ8" s="571"/>
      <c r="AK8" s="571"/>
      <c r="AL8" s="571"/>
      <c r="AM8" s="571" t="s">
        <v>137</v>
      </c>
      <c r="AN8" s="571"/>
      <c r="AO8" s="571"/>
      <c r="AP8" s="571"/>
      <c r="AQ8" s="571"/>
      <c r="AR8" s="571"/>
      <c r="AS8" s="571" t="s">
        <v>137</v>
      </c>
      <c r="AT8" s="571"/>
      <c r="AU8" s="571"/>
      <c r="AV8" s="571"/>
      <c r="AW8" s="571"/>
      <c r="AX8" s="571"/>
    </row>
    <row r="9" spans="1:50" x14ac:dyDescent="0.2">
      <c r="A9" t="s">
        <v>4557</v>
      </c>
      <c r="B9">
        <v>5</v>
      </c>
      <c r="C9" s="571"/>
      <c r="D9" s="571"/>
      <c r="E9" s="571"/>
      <c r="F9" s="571"/>
      <c r="G9" s="571"/>
      <c r="H9" s="571"/>
      <c r="I9" s="571"/>
      <c r="J9" s="571"/>
      <c r="K9" s="571"/>
      <c r="L9" s="571"/>
      <c r="M9" s="571"/>
      <c r="N9" s="571"/>
      <c r="O9" s="571"/>
      <c r="P9" s="571"/>
      <c r="Q9" s="571"/>
      <c r="R9" s="571"/>
      <c r="S9" s="571"/>
      <c r="T9" s="571"/>
      <c r="U9" s="571"/>
      <c r="V9" s="571"/>
      <c r="W9" s="571"/>
      <c r="X9" s="571"/>
      <c r="Y9" s="571"/>
      <c r="Z9" s="571"/>
      <c r="AA9" s="571" t="s">
        <v>137</v>
      </c>
      <c r="AB9" s="571"/>
      <c r="AC9" s="571"/>
      <c r="AD9" s="571" t="s">
        <v>137</v>
      </c>
      <c r="AE9" s="571"/>
      <c r="AF9" s="571"/>
      <c r="AG9" s="571" t="s">
        <v>137</v>
      </c>
      <c r="AH9" s="571"/>
      <c r="AI9" s="571"/>
      <c r="AJ9" s="571" t="s">
        <v>137</v>
      </c>
      <c r="AK9" s="571"/>
      <c r="AL9" s="571"/>
      <c r="AM9" s="571"/>
      <c r="AN9" s="571" t="s">
        <v>137</v>
      </c>
      <c r="AO9" s="571"/>
      <c r="AP9" s="571"/>
      <c r="AQ9" s="571"/>
      <c r="AR9" s="571"/>
      <c r="AS9" s="571"/>
      <c r="AT9" s="571"/>
      <c r="AU9" s="571"/>
      <c r="AV9" s="571"/>
      <c r="AW9" s="571"/>
      <c r="AX9" s="571"/>
    </row>
    <row r="10" spans="1:50" x14ac:dyDescent="0.2">
      <c r="A10" t="s">
        <v>4558</v>
      </c>
      <c r="B10">
        <v>6</v>
      </c>
      <c r="C10" s="571" t="s">
        <v>137</v>
      </c>
      <c r="D10" s="571"/>
      <c r="E10" s="571"/>
      <c r="F10" s="571"/>
      <c r="G10" s="571" t="s">
        <v>137</v>
      </c>
      <c r="H10" s="571"/>
      <c r="I10" s="571"/>
      <c r="J10" s="571"/>
      <c r="K10" s="571" t="s">
        <v>137</v>
      </c>
      <c r="L10" s="571"/>
      <c r="M10" s="571"/>
      <c r="N10" s="571"/>
      <c r="O10" s="571" t="s">
        <v>137</v>
      </c>
      <c r="P10" s="571"/>
      <c r="Q10" s="571"/>
      <c r="R10" s="571"/>
      <c r="S10" s="571" t="s">
        <v>137</v>
      </c>
      <c r="T10" s="571"/>
      <c r="U10" s="571"/>
      <c r="V10" s="571"/>
      <c r="W10" s="571" t="s">
        <v>137</v>
      </c>
      <c r="X10" s="571"/>
      <c r="Y10" s="571"/>
      <c r="Z10" s="571"/>
      <c r="AA10" s="571" t="s">
        <v>137</v>
      </c>
      <c r="AB10" s="571"/>
      <c r="AC10" s="571"/>
      <c r="AD10" s="571"/>
      <c r="AE10" s="571" t="s">
        <v>137</v>
      </c>
      <c r="AF10" s="571"/>
      <c r="AG10" s="571"/>
      <c r="AH10" s="571"/>
      <c r="AI10" s="571" t="s">
        <v>137</v>
      </c>
      <c r="AJ10" s="571"/>
      <c r="AK10" s="571"/>
      <c r="AL10" s="571"/>
      <c r="AM10" s="571" t="s">
        <v>137</v>
      </c>
      <c r="AN10" s="571"/>
      <c r="AO10" s="571"/>
      <c r="AP10" s="571"/>
      <c r="AQ10" s="571" t="s">
        <v>137</v>
      </c>
      <c r="AR10" s="571"/>
      <c r="AS10" s="571"/>
      <c r="AT10" s="571"/>
      <c r="AU10" s="571" t="s">
        <v>137</v>
      </c>
      <c r="AV10" s="571"/>
      <c r="AW10" s="571"/>
      <c r="AX10" s="571"/>
    </row>
    <row r="11" spans="1:50" x14ac:dyDescent="0.2">
      <c r="A11" t="s">
        <v>4559</v>
      </c>
      <c r="B11">
        <v>7</v>
      </c>
      <c r="C11" s="571"/>
      <c r="D11" s="571"/>
      <c r="E11" s="571"/>
      <c r="F11" s="571"/>
      <c r="G11" s="571"/>
      <c r="H11" s="571"/>
      <c r="I11" s="571"/>
      <c r="J11" s="571"/>
      <c r="K11" s="571"/>
      <c r="L11" s="571"/>
      <c r="M11" s="571"/>
      <c r="N11" s="571"/>
      <c r="O11" s="571"/>
      <c r="P11" s="571"/>
      <c r="Q11" s="571"/>
      <c r="R11" s="571"/>
      <c r="S11" s="571"/>
      <c r="T11" s="571"/>
      <c r="U11" s="571"/>
      <c r="V11" s="571"/>
      <c r="W11" s="571"/>
      <c r="X11" s="571"/>
      <c r="Y11" s="571"/>
      <c r="Z11" s="571"/>
      <c r="AA11" s="571"/>
      <c r="AB11" s="571"/>
      <c r="AC11" s="571"/>
      <c r="AD11" s="571"/>
      <c r="AE11" s="571"/>
      <c r="AF11" s="571"/>
      <c r="AG11" s="571"/>
      <c r="AH11" s="571"/>
      <c r="AI11" s="571"/>
      <c r="AJ11" s="571"/>
      <c r="AK11" s="571"/>
      <c r="AL11" s="571"/>
      <c r="AM11" s="571"/>
      <c r="AN11" s="571"/>
      <c r="AO11" s="571"/>
      <c r="AP11" s="571"/>
      <c r="AQ11" s="571"/>
      <c r="AR11" s="571"/>
      <c r="AS11" s="571"/>
      <c r="AT11" s="571"/>
      <c r="AU11" s="571"/>
      <c r="AV11" s="571"/>
      <c r="AW11" s="571"/>
      <c r="AX11" s="571"/>
    </row>
    <row r="12" spans="1:50" x14ac:dyDescent="0.2">
      <c r="A12" t="s">
        <v>4560</v>
      </c>
      <c r="B12">
        <v>8</v>
      </c>
      <c r="C12" s="571"/>
      <c r="D12" s="571" t="s">
        <v>137</v>
      </c>
      <c r="E12" s="571"/>
      <c r="F12" s="571"/>
      <c r="G12" s="571" t="s">
        <v>137</v>
      </c>
      <c r="H12" s="571"/>
      <c r="I12" s="571"/>
      <c r="J12" s="571" t="s">
        <v>137</v>
      </c>
      <c r="K12" s="571"/>
      <c r="L12" s="571"/>
      <c r="M12" s="571" t="s">
        <v>137</v>
      </c>
      <c r="N12" s="571"/>
      <c r="O12" s="571"/>
      <c r="P12" s="571" t="s">
        <v>137</v>
      </c>
      <c r="Q12" s="571"/>
      <c r="R12" s="571"/>
      <c r="S12" s="571" t="s">
        <v>137</v>
      </c>
      <c r="T12" s="571"/>
      <c r="U12" s="571"/>
      <c r="V12" s="571" t="s">
        <v>137</v>
      </c>
      <c r="W12" s="571"/>
      <c r="X12" s="571"/>
      <c r="Y12" s="571" t="s">
        <v>137</v>
      </c>
      <c r="Z12" s="571"/>
      <c r="AA12" s="571"/>
      <c r="AB12" s="571"/>
      <c r="AC12" s="571" t="s">
        <v>137</v>
      </c>
      <c r="AD12" s="571"/>
      <c r="AE12" s="571"/>
      <c r="AF12" s="571" t="s">
        <v>137</v>
      </c>
      <c r="AG12" s="571"/>
      <c r="AH12" s="571"/>
      <c r="AI12" s="571" t="s">
        <v>137</v>
      </c>
      <c r="AJ12" s="571"/>
      <c r="AK12" s="571"/>
      <c r="AL12" s="571" t="s">
        <v>137</v>
      </c>
      <c r="AM12" s="571"/>
      <c r="AN12" s="571"/>
      <c r="AO12" s="571" t="s">
        <v>137</v>
      </c>
      <c r="AP12" s="571"/>
      <c r="AQ12" s="571"/>
      <c r="AR12" s="571" t="s">
        <v>137</v>
      </c>
      <c r="AS12" s="571"/>
      <c r="AT12" s="571"/>
      <c r="AU12" s="571" t="s">
        <v>137</v>
      </c>
      <c r="AV12" s="571"/>
      <c r="AW12" s="571"/>
      <c r="AX12" s="571" t="s">
        <v>137</v>
      </c>
    </row>
    <row r="13" spans="1:50" x14ac:dyDescent="0.2">
      <c r="A13" t="s">
        <v>4561</v>
      </c>
      <c r="B13">
        <v>9</v>
      </c>
      <c r="C13" s="571"/>
      <c r="D13" s="571"/>
      <c r="E13" s="571"/>
      <c r="F13" s="571"/>
      <c r="G13" s="571"/>
      <c r="H13" s="571"/>
      <c r="I13" s="571"/>
      <c r="J13" s="571"/>
      <c r="K13" s="571"/>
      <c r="L13" s="571"/>
      <c r="M13" s="571"/>
      <c r="N13" s="571"/>
      <c r="O13" s="571"/>
      <c r="P13" s="571"/>
      <c r="Q13" s="571"/>
      <c r="R13" s="571"/>
      <c r="S13" s="571"/>
      <c r="T13" s="571"/>
      <c r="U13" s="571"/>
      <c r="V13" s="571"/>
      <c r="W13" s="571"/>
      <c r="X13" s="571"/>
      <c r="Y13" s="571"/>
      <c r="Z13" s="571"/>
      <c r="AA13" s="571"/>
      <c r="AB13" s="571"/>
      <c r="AC13" s="571"/>
      <c r="AD13" s="571"/>
      <c r="AE13" s="571"/>
      <c r="AF13" s="571"/>
      <c r="AG13" s="571"/>
      <c r="AH13" s="571"/>
      <c r="AI13" s="571"/>
      <c r="AJ13" s="571"/>
      <c r="AK13" s="571"/>
      <c r="AL13" s="571"/>
      <c r="AM13" s="571"/>
      <c r="AN13" s="571"/>
      <c r="AO13" s="571"/>
      <c r="AP13" s="571"/>
      <c r="AQ13" s="571"/>
      <c r="AR13" s="571"/>
      <c r="AS13" s="571"/>
      <c r="AT13" s="571"/>
      <c r="AU13" s="571"/>
      <c r="AV13" s="571"/>
      <c r="AW13" s="571"/>
      <c r="AX13" s="571"/>
    </row>
    <row r="14" spans="1:50" x14ac:dyDescent="0.2">
      <c r="A14" t="s">
        <v>4562</v>
      </c>
      <c r="B14">
        <v>10</v>
      </c>
      <c r="C14" s="571"/>
      <c r="D14" s="571"/>
      <c r="E14" s="571"/>
      <c r="F14" s="571"/>
      <c r="G14" s="571"/>
      <c r="H14" s="571"/>
      <c r="I14" s="571"/>
      <c r="J14" s="571"/>
      <c r="K14" s="571"/>
      <c r="L14" s="571"/>
      <c r="M14" s="571"/>
      <c r="N14" s="571"/>
      <c r="O14" s="571"/>
      <c r="P14" s="571"/>
      <c r="Q14" s="571"/>
      <c r="R14" s="571"/>
      <c r="S14" s="571"/>
      <c r="T14" s="571"/>
      <c r="U14" s="571"/>
      <c r="V14" s="571"/>
      <c r="W14" s="571"/>
      <c r="X14" s="571"/>
      <c r="Y14" s="571"/>
      <c r="Z14" s="571"/>
      <c r="AA14" s="571"/>
      <c r="AB14" s="571"/>
      <c r="AC14" s="571"/>
      <c r="AD14" s="571"/>
      <c r="AE14" s="571"/>
      <c r="AF14" s="571"/>
      <c r="AG14" s="571"/>
      <c r="AH14" s="571"/>
      <c r="AI14" s="571"/>
      <c r="AJ14" s="571"/>
      <c r="AK14" s="571"/>
      <c r="AL14" s="571"/>
      <c r="AM14" s="571"/>
      <c r="AN14" s="571"/>
      <c r="AO14" s="571"/>
      <c r="AP14" s="571"/>
      <c r="AQ14" s="571"/>
      <c r="AR14" s="571"/>
      <c r="AS14" s="571"/>
      <c r="AT14" s="571"/>
      <c r="AU14" s="571"/>
      <c r="AV14" s="571"/>
      <c r="AW14" s="571"/>
      <c r="AX14" s="571"/>
    </row>
    <row r="15" spans="1:50" x14ac:dyDescent="0.2">
      <c r="A15" t="s">
        <v>4563</v>
      </c>
      <c r="B15">
        <v>11</v>
      </c>
      <c r="C15" s="571"/>
      <c r="D15" s="571"/>
      <c r="E15" s="571"/>
      <c r="F15" s="571"/>
      <c r="G15" s="571"/>
      <c r="H15" s="571"/>
      <c r="I15" s="571"/>
      <c r="J15" s="571"/>
      <c r="K15" s="571"/>
      <c r="L15" s="571"/>
      <c r="M15" s="571"/>
      <c r="N15" s="571"/>
      <c r="O15" s="571"/>
      <c r="P15" s="571"/>
      <c r="Q15" s="571"/>
      <c r="R15" s="571"/>
      <c r="S15" s="571"/>
      <c r="T15" s="571"/>
      <c r="U15" s="571"/>
      <c r="V15" s="571"/>
      <c r="W15" s="571"/>
      <c r="X15" s="571"/>
      <c r="Y15" s="571"/>
      <c r="Z15" s="571"/>
      <c r="AA15" s="571"/>
      <c r="AB15" s="571"/>
      <c r="AC15" s="571"/>
      <c r="AD15" s="571"/>
      <c r="AE15" s="571"/>
      <c r="AF15" s="571"/>
      <c r="AG15" s="571"/>
      <c r="AH15" s="571"/>
      <c r="AI15" s="571"/>
      <c r="AJ15" s="571"/>
      <c r="AK15" s="571"/>
      <c r="AL15" s="571"/>
      <c r="AM15" s="571"/>
      <c r="AN15" s="571"/>
      <c r="AO15" s="571"/>
      <c r="AP15" s="571"/>
      <c r="AQ15" s="571"/>
      <c r="AR15" s="571"/>
      <c r="AS15" s="571"/>
      <c r="AT15" s="571"/>
      <c r="AU15" s="571"/>
      <c r="AV15" s="571"/>
      <c r="AW15" s="571"/>
      <c r="AX15" s="571"/>
    </row>
    <row r="16" spans="1:50" x14ac:dyDescent="0.2">
      <c r="A16" t="s">
        <v>4564</v>
      </c>
      <c r="B16">
        <v>12</v>
      </c>
      <c r="C16" s="571" t="s">
        <v>137</v>
      </c>
      <c r="D16" s="571"/>
      <c r="E16" s="571" t="s">
        <v>137</v>
      </c>
      <c r="F16" s="571"/>
      <c r="G16" s="571" t="s">
        <v>137</v>
      </c>
      <c r="H16" s="571"/>
      <c r="I16" s="571" t="s">
        <v>137</v>
      </c>
      <c r="J16" s="571"/>
      <c r="K16" s="571" t="s">
        <v>137</v>
      </c>
      <c r="L16" s="571"/>
      <c r="M16" s="571" t="s">
        <v>137</v>
      </c>
      <c r="N16" s="571"/>
      <c r="O16" s="571" t="s">
        <v>137</v>
      </c>
      <c r="P16" s="571"/>
      <c r="Q16" s="571" t="s">
        <v>137</v>
      </c>
      <c r="R16" s="571"/>
      <c r="S16" s="571" t="s">
        <v>137</v>
      </c>
      <c r="T16" s="571"/>
      <c r="U16" s="571" t="s">
        <v>137</v>
      </c>
      <c r="V16" s="571"/>
      <c r="W16" s="571" t="s">
        <v>137</v>
      </c>
      <c r="X16" s="571"/>
      <c r="Y16" s="571" t="s">
        <v>137</v>
      </c>
      <c r="Z16" s="571"/>
      <c r="AA16" s="571" t="s">
        <v>137</v>
      </c>
      <c r="AB16" s="571"/>
      <c r="AC16" s="571" t="s">
        <v>137</v>
      </c>
      <c r="AD16" s="571"/>
      <c r="AE16" s="571" t="s">
        <v>137</v>
      </c>
      <c r="AF16" s="571"/>
      <c r="AG16" s="571" t="s">
        <v>137</v>
      </c>
      <c r="AH16" s="571"/>
      <c r="AI16" s="571" t="s">
        <v>137</v>
      </c>
      <c r="AJ16" s="571"/>
      <c r="AK16" s="571" t="s">
        <v>137</v>
      </c>
      <c r="AL16" s="571"/>
      <c r="AM16" s="571" t="s">
        <v>137</v>
      </c>
      <c r="AN16" s="571"/>
      <c r="AO16" s="571" t="s">
        <v>137</v>
      </c>
      <c r="AP16" s="571"/>
      <c r="AQ16" s="571" t="s">
        <v>137</v>
      </c>
      <c r="AR16" s="571"/>
      <c r="AS16" s="571" t="s">
        <v>137</v>
      </c>
      <c r="AT16" s="571"/>
      <c r="AU16" s="571" t="s">
        <v>137</v>
      </c>
      <c r="AV16" s="571"/>
      <c r="AW16" s="571" t="s">
        <v>137</v>
      </c>
      <c r="AX16" s="571"/>
    </row>
    <row r="17" spans="1:50" s="208" customFormat="1" x14ac:dyDescent="0.2">
      <c r="A17" s="209" t="s">
        <v>5438</v>
      </c>
      <c r="B17" s="208">
        <v>24</v>
      </c>
      <c r="C17" s="572" t="s">
        <v>137</v>
      </c>
      <c r="D17" s="572" t="s">
        <v>137</v>
      </c>
      <c r="E17" s="572" t="s">
        <v>137</v>
      </c>
      <c r="F17" s="572" t="s">
        <v>137</v>
      </c>
      <c r="G17" s="572" t="s">
        <v>137</v>
      </c>
      <c r="H17" s="572" t="s">
        <v>137</v>
      </c>
      <c r="I17" s="572" t="s">
        <v>137</v>
      </c>
      <c r="J17" s="572" t="s">
        <v>137</v>
      </c>
      <c r="K17" s="572" t="s">
        <v>137</v>
      </c>
      <c r="L17" s="572" t="s">
        <v>137</v>
      </c>
      <c r="M17" s="572" t="s">
        <v>137</v>
      </c>
      <c r="N17" s="572" t="s">
        <v>137</v>
      </c>
      <c r="O17" s="572" t="s">
        <v>137</v>
      </c>
      <c r="P17" s="572" t="s">
        <v>137</v>
      </c>
      <c r="Q17" s="572" t="s">
        <v>137</v>
      </c>
      <c r="R17" s="572" t="s">
        <v>137</v>
      </c>
      <c r="S17" s="572" t="s">
        <v>137</v>
      </c>
      <c r="T17" s="572" t="s">
        <v>137</v>
      </c>
      <c r="U17" s="572" t="s">
        <v>137</v>
      </c>
      <c r="V17" s="572" t="s">
        <v>137</v>
      </c>
      <c r="W17" s="572" t="s">
        <v>137</v>
      </c>
      <c r="X17" s="572" t="s">
        <v>137</v>
      </c>
      <c r="Y17" s="572" t="s">
        <v>137</v>
      </c>
      <c r="Z17" s="572"/>
      <c r="AA17" s="572" t="s">
        <v>137</v>
      </c>
      <c r="AB17" s="572" t="s">
        <v>137</v>
      </c>
      <c r="AC17" s="572" t="s">
        <v>137</v>
      </c>
      <c r="AD17" s="572" t="s">
        <v>137</v>
      </c>
      <c r="AE17" s="572" t="s">
        <v>137</v>
      </c>
      <c r="AF17" s="572" t="s">
        <v>137</v>
      </c>
      <c r="AG17" s="572" t="s">
        <v>137</v>
      </c>
      <c r="AH17" s="572" t="s">
        <v>137</v>
      </c>
      <c r="AI17" s="572" t="s">
        <v>137</v>
      </c>
      <c r="AJ17" s="572" t="s">
        <v>137</v>
      </c>
      <c r="AK17" s="572" t="s">
        <v>137</v>
      </c>
      <c r="AL17" s="572" t="s">
        <v>137</v>
      </c>
      <c r="AM17" s="572" t="s">
        <v>137</v>
      </c>
      <c r="AN17" s="572" t="s">
        <v>137</v>
      </c>
      <c r="AO17" s="572" t="s">
        <v>137</v>
      </c>
      <c r="AP17" s="572" t="s">
        <v>137</v>
      </c>
      <c r="AQ17" s="572" t="s">
        <v>137</v>
      </c>
      <c r="AR17" s="572" t="s">
        <v>137</v>
      </c>
      <c r="AS17" s="572" t="s">
        <v>137</v>
      </c>
      <c r="AT17" s="572" t="s">
        <v>137</v>
      </c>
      <c r="AU17" s="572" t="s">
        <v>137</v>
      </c>
      <c r="AV17" s="572" t="s">
        <v>137</v>
      </c>
      <c r="AW17" s="572" t="s">
        <v>137</v>
      </c>
      <c r="AX17" s="572" t="s">
        <v>137</v>
      </c>
    </row>
    <row r="18" spans="1:50" x14ac:dyDescent="0.2">
      <c r="A18" t="s">
        <v>4565</v>
      </c>
      <c r="B18">
        <f>1/2</f>
        <v>0.5</v>
      </c>
      <c r="C18" s="571"/>
      <c r="D18" s="571"/>
      <c r="E18" s="571"/>
      <c r="F18" s="571"/>
      <c r="G18" s="571"/>
      <c r="H18" s="571"/>
      <c r="I18" s="571"/>
      <c r="J18" s="571"/>
      <c r="K18" s="571"/>
      <c r="L18" s="571"/>
      <c r="M18" s="571"/>
      <c r="N18" s="571"/>
      <c r="O18" s="571"/>
      <c r="P18" s="571"/>
      <c r="Q18" s="571"/>
      <c r="R18" s="571"/>
      <c r="S18" s="571"/>
      <c r="T18" s="571"/>
      <c r="U18" s="571"/>
      <c r="V18" s="571"/>
      <c r="W18" s="571"/>
      <c r="X18" s="571"/>
      <c r="Y18" s="571"/>
      <c r="Z18" s="571"/>
      <c r="AA18" s="571"/>
      <c r="AB18" s="571"/>
      <c r="AC18" s="571"/>
      <c r="AD18" s="571"/>
      <c r="AE18" s="571"/>
      <c r="AF18" s="571"/>
      <c r="AG18" s="571"/>
      <c r="AH18" s="571"/>
      <c r="AI18" s="571"/>
      <c r="AJ18" s="571"/>
      <c r="AK18" s="571"/>
      <c r="AL18" s="571"/>
      <c r="AM18" s="571"/>
      <c r="AN18" s="571"/>
      <c r="AO18" s="571"/>
      <c r="AP18" s="571"/>
      <c r="AQ18" s="571"/>
      <c r="AR18" s="571"/>
      <c r="AS18" s="571"/>
      <c r="AT18" s="571"/>
      <c r="AU18" s="571"/>
      <c r="AV18" s="571"/>
      <c r="AW18" s="571"/>
      <c r="AX18" s="571"/>
    </row>
    <row r="19" spans="1:50" x14ac:dyDescent="0.2">
      <c r="A19" t="s">
        <v>4566</v>
      </c>
      <c r="B19">
        <f>1/3</f>
        <v>0.33333333333333331</v>
      </c>
      <c r="C19" s="571"/>
      <c r="D19" s="571"/>
      <c r="E19" s="571"/>
      <c r="F19" s="571"/>
      <c r="G19" s="571"/>
      <c r="H19" s="571"/>
      <c r="I19" s="571"/>
      <c r="J19" s="571"/>
      <c r="K19" s="571"/>
      <c r="L19" s="571"/>
      <c r="M19" s="571"/>
      <c r="N19" s="571"/>
      <c r="O19" s="571"/>
      <c r="P19" s="571"/>
      <c r="Q19" s="571"/>
      <c r="R19" s="571"/>
      <c r="S19" s="571"/>
      <c r="T19" s="571"/>
      <c r="U19" s="571"/>
      <c r="V19" s="571"/>
      <c r="W19" s="571"/>
      <c r="X19" s="571"/>
      <c r="Y19" s="571"/>
      <c r="Z19" s="571"/>
      <c r="AA19" s="571"/>
      <c r="AB19" s="571"/>
      <c r="AC19" s="571"/>
      <c r="AD19" s="571"/>
      <c r="AE19" s="571"/>
      <c r="AF19" s="571"/>
      <c r="AG19" s="571"/>
      <c r="AH19" s="571"/>
      <c r="AI19" s="571"/>
      <c r="AJ19" s="571"/>
      <c r="AK19" s="571"/>
      <c r="AL19" s="571"/>
      <c r="AM19" s="571"/>
      <c r="AN19" s="571"/>
      <c r="AO19" s="571"/>
      <c r="AP19" s="571"/>
      <c r="AQ19" s="571"/>
      <c r="AR19" s="571"/>
      <c r="AS19" s="571"/>
      <c r="AT19" s="571"/>
      <c r="AU19" s="571"/>
      <c r="AV19" s="571"/>
      <c r="AW19" s="571"/>
      <c r="AX19" s="571"/>
    </row>
    <row r="20" spans="1:50" x14ac:dyDescent="0.2">
      <c r="A20" s="209" t="s">
        <v>5437</v>
      </c>
      <c r="B20">
        <f>2/3</f>
        <v>0.66666666666666663</v>
      </c>
      <c r="C20" s="571"/>
      <c r="D20" s="571"/>
      <c r="E20" s="571"/>
      <c r="F20" s="571"/>
      <c r="G20" s="571"/>
      <c r="H20" s="571"/>
      <c r="I20" s="571"/>
      <c r="J20" s="571"/>
      <c r="K20" s="571"/>
      <c r="L20" s="571"/>
      <c r="M20" s="571"/>
      <c r="N20" s="571"/>
      <c r="O20" s="571"/>
      <c r="P20" s="571"/>
      <c r="Q20" s="571"/>
      <c r="R20" s="571"/>
      <c r="S20" s="571"/>
      <c r="T20" s="571"/>
      <c r="U20" s="571"/>
      <c r="V20" s="571"/>
      <c r="W20" s="571"/>
      <c r="X20" s="571"/>
      <c r="Y20" s="571"/>
      <c r="Z20" s="571"/>
      <c r="AA20" s="571"/>
      <c r="AB20" s="571"/>
      <c r="AC20" s="571"/>
      <c r="AD20" s="571"/>
      <c r="AE20" s="571"/>
      <c r="AF20" s="571"/>
      <c r="AG20" s="571"/>
      <c r="AH20" s="571"/>
      <c r="AI20" s="571"/>
      <c r="AJ20" s="571"/>
      <c r="AK20" s="571"/>
      <c r="AL20" s="571"/>
      <c r="AM20" s="571"/>
      <c r="AN20" s="571"/>
      <c r="AO20" s="571"/>
      <c r="AP20" s="571"/>
      <c r="AQ20" s="571"/>
      <c r="AR20" s="571"/>
      <c r="AS20" s="571"/>
      <c r="AT20" s="571"/>
      <c r="AU20" s="571"/>
      <c r="AV20" s="571"/>
      <c r="AW20" s="571"/>
      <c r="AX20" s="571"/>
    </row>
    <row r="21" spans="1:50" x14ac:dyDescent="0.2">
      <c r="A21" t="s">
        <v>4567</v>
      </c>
      <c r="B21">
        <f>1/7</f>
        <v>0.14285714285714285</v>
      </c>
      <c r="C21" s="571"/>
      <c r="D21" s="571"/>
      <c r="E21" s="571"/>
      <c r="F21" s="571"/>
      <c r="G21" s="571"/>
      <c r="H21" s="571"/>
      <c r="I21" s="571"/>
      <c r="J21" s="571"/>
      <c r="K21" s="571"/>
      <c r="L21" s="571"/>
      <c r="M21" s="571"/>
      <c r="N21" s="571"/>
      <c r="O21" s="571"/>
      <c r="P21" s="571"/>
      <c r="Q21" s="571"/>
      <c r="R21" s="571"/>
      <c r="S21" s="571"/>
      <c r="T21" s="571"/>
      <c r="U21" s="571"/>
      <c r="V21" s="571"/>
      <c r="W21" s="571"/>
      <c r="X21" s="571"/>
      <c r="Y21" s="571"/>
      <c r="Z21" s="571"/>
      <c r="AA21" s="571"/>
      <c r="AB21" s="571"/>
      <c r="AC21" s="571"/>
      <c r="AD21" s="571"/>
      <c r="AE21" s="571"/>
      <c r="AF21" s="571"/>
      <c r="AG21" s="571"/>
      <c r="AH21" s="571"/>
      <c r="AI21" s="571"/>
      <c r="AJ21" s="571"/>
      <c r="AK21" s="571"/>
      <c r="AL21" s="571"/>
      <c r="AM21" s="571"/>
      <c r="AN21" s="571"/>
      <c r="AO21" s="571"/>
      <c r="AP21" s="571"/>
      <c r="AQ21" s="571"/>
      <c r="AR21" s="571"/>
      <c r="AS21" s="571"/>
      <c r="AT21" s="571"/>
      <c r="AU21" s="571"/>
      <c r="AV21" s="571"/>
      <c r="AW21" s="571"/>
      <c r="AX21" s="571"/>
    </row>
    <row r="22" spans="1:50" x14ac:dyDescent="0.2">
      <c r="A22" t="s">
        <v>4568</v>
      </c>
      <c r="B22">
        <f>2/7</f>
        <v>0.2857142857142857</v>
      </c>
      <c r="C22" s="571"/>
      <c r="D22" s="571"/>
      <c r="E22" s="571"/>
      <c r="F22" s="571"/>
      <c r="G22" s="571"/>
      <c r="H22" s="571"/>
      <c r="I22" s="571"/>
      <c r="J22" s="571"/>
      <c r="K22" s="571"/>
      <c r="L22" s="571"/>
      <c r="M22" s="571"/>
      <c r="N22" s="571"/>
      <c r="O22" s="571"/>
      <c r="P22" s="571"/>
      <c r="Q22" s="571"/>
      <c r="R22" s="571"/>
      <c r="S22" s="571"/>
      <c r="T22" s="571"/>
      <c r="U22" s="571"/>
      <c r="V22" s="571"/>
      <c r="W22" s="571"/>
      <c r="X22" s="571"/>
      <c r="Y22" s="571"/>
      <c r="Z22" s="571"/>
      <c r="AA22" s="571"/>
      <c r="AB22" s="571"/>
      <c r="AC22" s="571"/>
      <c r="AD22" s="571"/>
      <c r="AE22" s="571"/>
      <c r="AF22" s="571"/>
      <c r="AG22" s="571"/>
      <c r="AH22" s="571"/>
      <c r="AI22" s="571"/>
      <c r="AJ22" s="571"/>
      <c r="AK22" s="571"/>
      <c r="AL22" s="571"/>
      <c r="AM22" s="571"/>
      <c r="AN22" s="571"/>
      <c r="AO22" s="571"/>
      <c r="AP22" s="571"/>
      <c r="AQ22" s="571"/>
      <c r="AR22" s="571"/>
      <c r="AS22" s="571"/>
      <c r="AT22" s="571"/>
      <c r="AU22" s="571"/>
      <c r="AV22" s="571"/>
      <c r="AW22" s="571"/>
      <c r="AX22" s="571"/>
    </row>
    <row r="23" spans="1:50" x14ac:dyDescent="0.2">
      <c r="A23" t="s">
        <v>4569</v>
      </c>
      <c r="B23">
        <f>3/7</f>
        <v>0.42857142857142855</v>
      </c>
      <c r="C23" s="571"/>
      <c r="D23" s="571"/>
      <c r="E23" s="571"/>
      <c r="F23" s="571"/>
      <c r="G23" s="571"/>
      <c r="H23" s="571"/>
      <c r="I23" s="571"/>
      <c r="J23" s="571"/>
      <c r="K23" s="571"/>
      <c r="L23" s="571"/>
      <c r="M23" s="571"/>
      <c r="N23" s="571"/>
      <c r="O23" s="571"/>
      <c r="P23" s="571"/>
      <c r="Q23" s="571"/>
      <c r="R23" s="571"/>
      <c r="S23" s="571"/>
      <c r="T23" s="571"/>
      <c r="U23" s="571"/>
      <c r="V23" s="571"/>
      <c r="W23" s="571"/>
      <c r="X23" s="571"/>
      <c r="Y23" s="571"/>
      <c r="Z23" s="571"/>
      <c r="AA23" s="571"/>
      <c r="AB23" s="571"/>
      <c r="AC23" s="571"/>
      <c r="AD23" s="571"/>
      <c r="AE23" s="571"/>
      <c r="AF23" s="571"/>
      <c r="AG23" s="571"/>
      <c r="AH23" s="571"/>
      <c r="AI23" s="571"/>
      <c r="AJ23" s="571"/>
      <c r="AK23" s="571"/>
      <c r="AL23" s="571"/>
      <c r="AM23" s="571"/>
      <c r="AN23" s="571"/>
      <c r="AO23" s="571"/>
      <c r="AP23" s="571"/>
      <c r="AQ23" s="571"/>
      <c r="AR23" s="571"/>
      <c r="AS23" s="571"/>
      <c r="AT23" s="571"/>
      <c r="AU23" s="571"/>
      <c r="AV23" s="571"/>
      <c r="AW23" s="571"/>
      <c r="AX23" s="571"/>
    </row>
    <row r="24" spans="1:50" x14ac:dyDescent="0.2">
      <c r="A24" t="s">
        <v>4570</v>
      </c>
      <c r="B24">
        <f>4/7</f>
        <v>0.5714285714285714</v>
      </c>
      <c r="C24" s="571"/>
      <c r="D24" s="571"/>
      <c r="E24" s="571"/>
      <c r="F24" s="571"/>
      <c r="G24" s="571"/>
      <c r="H24" s="571"/>
      <c r="I24" s="571"/>
      <c r="J24" s="571"/>
      <c r="K24" s="571"/>
      <c r="L24" s="571"/>
      <c r="M24" s="571"/>
      <c r="N24" s="571"/>
      <c r="O24" s="571"/>
      <c r="P24" s="571"/>
      <c r="Q24" s="571"/>
      <c r="R24" s="571"/>
      <c r="S24" s="571"/>
      <c r="T24" s="571"/>
      <c r="U24" s="571"/>
      <c r="V24" s="571"/>
      <c r="W24" s="571"/>
      <c r="X24" s="571"/>
      <c r="Y24" s="571"/>
      <c r="Z24" s="571"/>
      <c r="AA24" s="571"/>
      <c r="AB24" s="571"/>
      <c r="AC24" s="571"/>
      <c r="AD24" s="571"/>
      <c r="AE24" s="571"/>
      <c r="AF24" s="571"/>
      <c r="AG24" s="571"/>
      <c r="AH24" s="571"/>
      <c r="AI24" s="571"/>
      <c r="AJ24" s="571"/>
      <c r="AK24" s="571"/>
      <c r="AL24" s="571"/>
      <c r="AM24" s="571"/>
      <c r="AN24" s="571"/>
      <c r="AO24" s="571"/>
      <c r="AP24" s="571"/>
      <c r="AQ24" s="571"/>
      <c r="AR24" s="571"/>
      <c r="AS24" s="571"/>
      <c r="AT24" s="571"/>
      <c r="AU24" s="571"/>
      <c r="AV24" s="571"/>
      <c r="AW24" s="571"/>
      <c r="AX24" s="571"/>
    </row>
    <row r="25" spans="1:50" x14ac:dyDescent="0.2">
      <c r="A25" t="s">
        <v>4571</v>
      </c>
      <c r="B25">
        <f>1/14</f>
        <v>7.1428571428571425E-2</v>
      </c>
      <c r="C25" s="571"/>
      <c r="D25" s="571"/>
      <c r="E25" s="571"/>
      <c r="F25" s="571"/>
      <c r="G25" s="571"/>
      <c r="H25" s="571"/>
      <c r="I25" s="571"/>
      <c r="J25" s="571"/>
      <c r="K25" s="571"/>
      <c r="L25" s="571"/>
      <c r="M25" s="571"/>
      <c r="N25" s="571"/>
      <c r="O25" s="571"/>
      <c r="P25" s="571"/>
      <c r="Q25" s="571"/>
      <c r="R25" s="571"/>
      <c r="S25" s="571"/>
      <c r="T25" s="571"/>
      <c r="U25" s="571"/>
      <c r="V25" s="571"/>
      <c r="W25" s="571"/>
      <c r="X25" s="571"/>
      <c r="Y25" s="571"/>
      <c r="Z25" s="571"/>
      <c r="AA25" s="571"/>
      <c r="AB25" s="571"/>
      <c r="AC25" s="571"/>
      <c r="AD25" s="571"/>
      <c r="AE25" s="571"/>
      <c r="AF25" s="571"/>
      <c r="AG25" s="571"/>
      <c r="AH25" s="571"/>
      <c r="AI25" s="571"/>
      <c r="AJ25" s="571"/>
      <c r="AK25" s="571"/>
      <c r="AL25" s="571"/>
      <c r="AM25" s="571"/>
      <c r="AN25" s="571"/>
      <c r="AO25" s="571"/>
      <c r="AP25" s="571"/>
      <c r="AQ25" s="571"/>
      <c r="AR25" s="571"/>
      <c r="AS25" s="571"/>
      <c r="AT25" s="571"/>
      <c r="AU25" s="571"/>
      <c r="AV25" s="571"/>
      <c r="AW25" s="571"/>
      <c r="AX25" s="571"/>
    </row>
    <row r="26" spans="1:50" x14ac:dyDescent="0.2">
      <c r="A26" t="s">
        <v>4572</v>
      </c>
      <c r="B26">
        <f>1/28</f>
        <v>3.5714285714285712E-2</v>
      </c>
      <c r="C26" s="571"/>
      <c r="D26" s="571"/>
      <c r="E26" s="571"/>
      <c r="F26" s="571"/>
      <c r="G26" s="571"/>
      <c r="H26" s="571"/>
      <c r="I26" s="571"/>
      <c r="J26" s="571"/>
      <c r="K26" s="571"/>
      <c r="L26" s="571"/>
      <c r="M26" s="571"/>
      <c r="N26" s="571"/>
      <c r="O26" s="571"/>
      <c r="P26" s="571"/>
      <c r="Q26" s="571"/>
      <c r="R26" s="571"/>
      <c r="S26" s="571"/>
      <c r="T26" s="571"/>
      <c r="U26" s="571"/>
      <c r="V26" s="571"/>
      <c r="W26" s="571"/>
      <c r="X26" s="571"/>
      <c r="Y26" s="571"/>
      <c r="Z26" s="571"/>
      <c r="AA26" s="571"/>
      <c r="AB26" s="571"/>
      <c r="AC26" s="571"/>
      <c r="AD26" s="571"/>
      <c r="AE26" s="571"/>
      <c r="AF26" s="571"/>
      <c r="AG26" s="571"/>
      <c r="AH26" s="571"/>
      <c r="AI26" s="571"/>
      <c r="AJ26" s="571"/>
      <c r="AK26" s="571"/>
      <c r="AL26" s="571"/>
      <c r="AM26" s="571"/>
      <c r="AN26" s="571"/>
      <c r="AO26" s="571"/>
      <c r="AP26" s="571"/>
      <c r="AQ26" s="571"/>
      <c r="AR26" s="571"/>
      <c r="AS26" s="571"/>
      <c r="AT26" s="571"/>
      <c r="AU26" s="571"/>
      <c r="AV26" s="571"/>
      <c r="AW26" s="571"/>
      <c r="AX26" s="571"/>
    </row>
    <row r="27" spans="1:50" x14ac:dyDescent="0.2">
      <c r="A27" t="s">
        <v>4573</v>
      </c>
      <c r="B27">
        <f>1/(7*12)</f>
        <v>1.1904761904761904E-2</v>
      </c>
      <c r="C27" s="571"/>
      <c r="D27" s="571"/>
      <c r="E27" s="571"/>
      <c r="F27" s="571"/>
      <c r="G27" s="571"/>
      <c r="H27" s="571"/>
      <c r="I27" s="571"/>
      <c r="J27" s="571"/>
      <c r="K27" s="571"/>
      <c r="L27" s="571"/>
      <c r="M27" s="571"/>
      <c r="N27" s="571"/>
      <c r="O27" s="571"/>
      <c r="P27" s="571"/>
      <c r="Q27" s="571"/>
      <c r="R27" s="571"/>
      <c r="S27" s="571"/>
      <c r="T27" s="571"/>
      <c r="U27" s="571"/>
      <c r="V27" s="571"/>
      <c r="W27" s="571"/>
      <c r="X27" s="571"/>
      <c r="Y27" s="571"/>
      <c r="Z27" s="571"/>
      <c r="AA27" s="571"/>
      <c r="AB27" s="571"/>
      <c r="AC27" s="571"/>
      <c r="AD27" s="571"/>
      <c r="AE27" s="571"/>
      <c r="AF27" s="571"/>
      <c r="AG27" s="571"/>
      <c r="AH27" s="571"/>
      <c r="AI27" s="571"/>
      <c r="AJ27" s="571"/>
      <c r="AK27" s="571"/>
      <c r="AL27" s="571"/>
      <c r="AM27" s="571"/>
      <c r="AN27" s="571"/>
      <c r="AO27" s="571"/>
      <c r="AP27" s="571"/>
      <c r="AQ27" s="571"/>
      <c r="AR27" s="571"/>
      <c r="AS27" s="571"/>
      <c r="AT27" s="571"/>
      <c r="AU27" s="571"/>
      <c r="AV27" s="571"/>
      <c r="AW27" s="571"/>
      <c r="AX27" s="571"/>
    </row>
    <row r="28" spans="1:50" x14ac:dyDescent="0.2">
      <c r="A28" t="s">
        <v>4574</v>
      </c>
      <c r="B28">
        <f>1/(7*13)</f>
        <v>1.098901098901099E-2</v>
      </c>
      <c r="C28" s="571"/>
      <c r="D28" s="571"/>
      <c r="E28" s="571"/>
      <c r="F28" s="571"/>
      <c r="G28" s="571"/>
      <c r="H28" s="571"/>
      <c r="I28" s="571"/>
      <c r="J28" s="571"/>
      <c r="K28" s="571"/>
      <c r="L28" s="571"/>
      <c r="M28" s="571"/>
      <c r="N28" s="571"/>
      <c r="O28" s="571"/>
      <c r="P28" s="571"/>
      <c r="Q28" s="571"/>
      <c r="R28" s="571"/>
      <c r="S28" s="571"/>
      <c r="T28" s="571"/>
      <c r="U28" s="571"/>
      <c r="V28" s="571"/>
      <c r="W28" s="571"/>
      <c r="X28" s="571"/>
      <c r="Y28" s="571"/>
      <c r="Z28" s="571"/>
      <c r="AA28" s="571"/>
      <c r="AB28" s="571"/>
      <c r="AC28" s="571"/>
      <c r="AD28" s="571"/>
      <c r="AE28" s="571"/>
      <c r="AF28" s="571"/>
      <c r="AG28" s="571"/>
      <c r="AH28" s="571"/>
      <c r="AI28" s="571"/>
      <c r="AJ28" s="571"/>
      <c r="AK28" s="571"/>
      <c r="AL28" s="571"/>
      <c r="AM28" s="571"/>
      <c r="AN28" s="571"/>
      <c r="AO28" s="571"/>
      <c r="AP28" s="571"/>
      <c r="AQ28" s="571"/>
      <c r="AR28" s="571"/>
      <c r="AS28" s="571"/>
      <c r="AT28" s="571"/>
      <c r="AU28" s="571"/>
      <c r="AV28" s="571"/>
      <c r="AW28" s="571"/>
      <c r="AX28" s="571"/>
    </row>
    <row r="29" spans="1:50" x14ac:dyDescent="0.2">
      <c r="A29" t="s">
        <v>4575</v>
      </c>
      <c r="B29">
        <f>1/30</f>
        <v>3.3333333333333333E-2</v>
      </c>
      <c r="C29" s="571"/>
      <c r="D29" s="571"/>
      <c r="E29" s="571"/>
      <c r="F29" s="571"/>
      <c r="G29" s="571"/>
      <c r="H29" s="571"/>
      <c r="I29" s="571"/>
      <c r="J29" s="571"/>
      <c r="K29" s="571"/>
      <c r="L29" s="571"/>
      <c r="M29" s="571"/>
      <c r="N29" s="571"/>
      <c r="O29" s="571"/>
      <c r="P29" s="571"/>
      <c r="Q29" s="571"/>
      <c r="R29" s="571"/>
      <c r="S29" s="571"/>
      <c r="T29" s="571"/>
      <c r="U29" s="571"/>
      <c r="V29" s="571"/>
      <c r="W29" s="571"/>
      <c r="X29" s="571"/>
      <c r="Y29" s="571"/>
      <c r="Z29" s="571"/>
      <c r="AA29" s="571"/>
      <c r="AB29" s="571"/>
      <c r="AC29" s="571"/>
      <c r="AD29" s="571"/>
      <c r="AE29" s="571"/>
      <c r="AF29" s="571"/>
      <c r="AG29" s="571"/>
      <c r="AH29" s="571"/>
      <c r="AI29" s="571"/>
      <c r="AJ29" s="571"/>
      <c r="AK29" s="571"/>
      <c r="AL29" s="571"/>
      <c r="AM29" s="571"/>
      <c r="AN29" s="571"/>
      <c r="AO29" s="571"/>
      <c r="AP29" s="571"/>
      <c r="AQ29" s="571"/>
      <c r="AR29" s="571"/>
      <c r="AS29" s="571"/>
      <c r="AT29" s="571"/>
      <c r="AU29" s="571"/>
      <c r="AV29" s="571"/>
      <c r="AW29" s="571"/>
      <c r="AX29" s="571"/>
    </row>
    <row r="32" spans="1:50" x14ac:dyDescent="0.2">
      <c r="A32" s="209" t="s">
        <v>4752</v>
      </c>
    </row>
    <row r="34" spans="1:1" x14ac:dyDescent="0.2">
      <c r="A34" t="s">
        <v>239</v>
      </c>
    </row>
    <row r="35" spans="1:1" x14ac:dyDescent="0.2">
      <c r="A35" t="s">
        <v>467</v>
      </c>
    </row>
    <row r="36" spans="1:1" x14ac:dyDescent="0.2">
      <c r="A36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42"/>
  <sheetViews>
    <sheetView showOutlineSymbols="0" workbookViewId="0">
      <selection activeCell="D76" sqref="D76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6136</v>
      </c>
    </row>
    <row r="2" spans="1:1" x14ac:dyDescent="0.2">
      <c r="A2" t="s">
        <v>6137</v>
      </c>
    </row>
    <row r="3" spans="1:1" x14ac:dyDescent="0.2">
      <c r="A3" t="s">
        <v>6138</v>
      </c>
    </row>
    <row r="4" spans="1:1" x14ac:dyDescent="0.2">
      <c r="A4" t="s">
        <v>6139</v>
      </c>
    </row>
    <row r="5" spans="1:1" x14ac:dyDescent="0.2">
      <c r="A5" t="s">
        <v>6140</v>
      </c>
    </row>
    <row r="6" spans="1:1" x14ac:dyDescent="0.2">
      <c r="A6" t="s">
        <v>6141</v>
      </c>
    </row>
    <row r="7" spans="1:1" x14ac:dyDescent="0.2">
      <c r="A7" t="s">
        <v>6142</v>
      </c>
    </row>
    <row r="8" spans="1:1" x14ac:dyDescent="0.2">
      <c r="A8" t="s">
        <v>6143</v>
      </c>
    </row>
    <row r="9" spans="1:1" x14ac:dyDescent="0.2">
      <c r="A9" t="s">
        <v>6144</v>
      </c>
    </row>
    <row r="10" spans="1:1" x14ac:dyDescent="0.2">
      <c r="A10" t="s">
        <v>6145</v>
      </c>
    </row>
    <row r="11" spans="1:1" x14ac:dyDescent="0.2">
      <c r="A11" t="s">
        <v>6146</v>
      </c>
    </row>
    <row r="12" spans="1:1" x14ac:dyDescent="0.2">
      <c r="A12" t="s">
        <v>6147</v>
      </c>
    </row>
    <row r="13" spans="1:1" x14ac:dyDescent="0.2">
      <c r="A13" t="s">
        <v>6148</v>
      </c>
    </row>
    <row r="14" spans="1:1" x14ac:dyDescent="0.2">
      <c r="A14" t="s">
        <v>6149</v>
      </c>
    </row>
    <row r="15" spans="1:1" x14ac:dyDescent="0.2">
      <c r="A15" t="s">
        <v>6150</v>
      </c>
    </row>
    <row r="16" spans="1:1" x14ac:dyDescent="0.2">
      <c r="A16" t="s">
        <v>6151</v>
      </c>
    </row>
    <row r="17" spans="1:1" x14ac:dyDescent="0.2">
      <c r="A17" t="s">
        <v>6152</v>
      </c>
    </row>
    <row r="18" spans="1:1" x14ac:dyDescent="0.2">
      <c r="A18" t="s">
        <v>6153</v>
      </c>
    </row>
    <row r="19" spans="1:1" x14ac:dyDescent="0.2">
      <c r="A19" t="s">
        <v>6154</v>
      </c>
    </row>
    <row r="20" spans="1:1" x14ac:dyDescent="0.2">
      <c r="A20" t="s">
        <v>6155</v>
      </c>
    </row>
    <row r="21" spans="1:1" x14ac:dyDescent="0.2">
      <c r="A21" t="s">
        <v>6156</v>
      </c>
    </row>
    <row r="22" spans="1:1" x14ac:dyDescent="0.2">
      <c r="A22" t="s">
        <v>6157</v>
      </c>
    </row>
    <row r="23" spans="1:1" x14ac:dyDescent="0.2">
      <c r="A23" t="s">
        <v>6158</v>
      </c>
    </row>
    <row r="24" spans="1:1" x14ac:dyDescent="0.2">
      <c r="A24" t="s">
        <v>6159</v>
      </c>
    </row>
    <row r="25" spans="1:1" x14ac:dyDescent="0.2">
      <c r="A25" t="s">
        <v>6160</v>
      </c>
    </row>
    <row r="26" spans="1:1" x14ac:dyDescent="0.2">
      <c r="A26" t="s">
        <v>6161</v>
      </c>
    </row>
    <row r="27" spans="1:1" x14ac:dyDescent="0.2">
      <c r="A27" t="s">
        <v>6162</v>
      </c>
    </row>
    <row r="28" spans="1:1" x14ac:dyDescent="0.2">
      <c r="A28" t="s">
        <v>6163</v>
      </c>
    </row>
    <row r="29" spans="1:1" x14ac:dyDescent="0.2">
      <c r="A29" t="s">
        <v>6164</v>
      </c>
    </row>
    <row r="30" spans="1:1" x14ac:dyDescent="0.2">
      <c r="A30" t="s">
        <v>6165</v>
      </c>
    </row>
    <row r="31" spans="1:1" x14ac:dyDescent="0.2">
      <c r="A31" t="s">
        <v>6166</v>
      </c>
    </row>
    <row r="32" spans="1:1" x14ac:dyDescent="0.2">
      <c r="A32" t="s">
        <v>6167</v>
      </c>
    </row>
    <row r="33" spans="1:1" x14ac:dyDescent="0.2">
      <c r="A33" t="s">
        <v>6168</v>
      </c>
    </row>
    <row r="34" spans="1:1" x14ac:dyDescent="0.2">
      <c r="A34" t="s">
        <v>6169</v>
      </c>
    </row>
    <row r="35" spans="1:1" x14ac:dyDescent="0.2">
      <c r="A35" t="s">
        <v>6170</v>
      </c>
    </row>
    <row r="36" spans="1:1" x14ac:dyDescent="0.2">
      <c r="A36" t="s">
        <v>6171</v>
      </c>
    </row>
    <row r="37" spans="1:1" x14ac:dyDescent="0.2">
      <c r="A37" t="s">
        <v>6172</v>
      </c>
    </row>
    <row r="38" spans="1:1" x14ac:dyDescent="0.2">
      <c r="A38" t="s">
        <v>6173</v>
      </c>
    </row>
    <row r="39" spans="1:1" x14ac:dyDescent="0.2">
      <c r="A39" t="s">
        <v>6174</v>
      </c>
    </row>
    <row r="40" spans="1:1" x14ac:dyDescent="0.2">
      <c r="A40" t="s">
        <v>6175</v>
      </c>
    </row>
    <row r="41" spans="1:1" x14ac:dyDescent="0.2">
      <c r="A41" t="s">
        <v>6176</v>
      </c>
    </row>
    <row r="42" spans="1:1" x14ac:dyDescent="0.2">
      <c r="A42" t="s">
        <v>6177</v>
      </c>
    </row>
    <row r="43" spans="1:1" x14ac:dyDescent="0.2">
      <c r="A43" t="s">
        <v>6178</v>
      </c>
    </row>
    <row r="44" spans="1:1" x14ac:dyDescent="0.2">
      <c r="A44" t="s">
        <v>6179</v>
      </c>
    </row>
    <row r="45" spans="1:1" x14ac:dyDescent="0.2">
      <c r="A45" t="s">
        <v>6180</v>
      </c>
    </row>
    <row r="46" spans="1:1" x14ac:dyDescent="0.2">
      <c r="A46" t="s">
        <v>6181</v>
      </c>
    </row>
    <row r="47" spans="1:1" x14ac:dyDescent="0.2">
      <c r="A47" t="s">
        <v>6182</v>
      </c>
    </row>
    <row r="48" spans="1:1" x14ac:dyDescent="0.2">
      <c r="A48" t="s">
        <v>6183</v>
      </c>
    </row>
    <row r="49" spans="1:1" x14ac:dyDescent="0.2">
      <c r="A49" t="s">
        <v>6184</v>
      </c>
    </row>
    <row r="50" spans="1:1" x14ac:dyDescent="0.2">
      <c r="A50" t="s">
        <v>6185</v>
      </c>
    </row>
    <row r="51" spans="1:1" x14ac:dyDescent="0.2">
      <c r="A51" t="s">
        <v>6186</v>
      </c>
    </row>
    <row r="52" spans="1:1" x14ac:dyDescent="0.2">
      <c r="A52" t="s">
        <v>6187</v>
      </c>
    </row>
    <row r="53" spans="1:1" x14ac:dyDescent="0.2">
      <c r="A53" t="s">
        <v>6188</v>
      </c>
    </row>
    <row r="54" spans="1:1" x14ac:dyDescent="0.2">
      <c r="A54" t="s">
        <v>6189</v>
      </c>
    </row>
    <row r="55" spans="1:1" x14ac:dyDescent="0.2">
      <c r="A55" t="s">
        <v>6190</v>
      </c>
    </row>
    <row r="56" spans="1:1" x14ac:dyDescent="0.2">
      <c r="A56" t="s">
        <v>6191</v>
      </c>
    </row>
    <row r="57" spans="1:1" x14ac:dyDescent="0.2">
      <c r="A57" t="s">
        <v>6192</v>
      </c>
    </row>
    <row r="58" spans="1:1" x14ac:dyDescent="0.2">
      <c r="A58" t="s">
        <v>6193</v>
      </c>
    </row>
    <row r="59" spans="1:1" x14ac:dyDescent="0.2">
      <c r="A59" t="s">
        <v>6194</v>
      </c>
    </row>
    <row r="60" spans="1:1" x14ac:dyDescent="0.2">
      <c r="A60" t="s">
        <v>6195</v>
      </c>
    </row>
    <row r="61" spans="1:1" x14ac:dyDescent="0.2">
      <c r="A61" t="s">
        <v>6196</v>
      </c>
    </row>
    <row r="62" spans="1:1" x14ac:dyDescent="0.2">
      <c r="A62" t="s">
        <v>6197</v>
      </c>
    </row>
    <row r="63" spans="1:1" x14ac:dyDescent="0.2">
      <c r="A63" t="s">
        <v>6198</v>
      </c>
    </row>
    <row r="64" spans="1:1" x14ac:dyDescent="0.2">
      <c r="A64" t="s">
        <v>6199</v>
      </c>
    </row>
    <row r="65" spans="1:1" x14ac:dyDescent="0.2">
      <c r="A65" t="s">
        <v>6200</v>
      </c>
    </row>
    <row r="66" spans="1:1" x14ac:dyDescent="0.2">
      <c r="A66" t="s">
        <v>6201</v>
      </c>
    </row>
    <row r="67" spans="1:1" x14ac:dyDescent="0.2">
      <c r="A67" t="s">
        <v>6202</v>
      </c>
    </row>
    <row r="68" spans="1:1" x14ac:dyDescent="0.2">
      <c r="A68" t="s">
        <v>6203</v>
      </c>
    </row>
    <row r="69" spans="1:1" x14ac:dyDescent="0.2">
      <c r="A69" t="s">
        <v>6204</v>
      </c>
    </row>
    <row r="70" spans="1:1" x14ac:dyDescent="0.2">
      <c r="A70" t="s">
        <v>6205</v>
      </c>
    </row>
    <row r="71" spans="1:1" x14ac:dyDescent="0.2">
      <c r="A71" t="s">
        <v>6206</v>
      </c>
    </row>
    <row r="72" spans="1:1" x14ac:dyDescent="0.2">
      <c r="A72" t="s">
        <v>6207</v>
      </c>
    </row>
    <row r="73" spans="1:1" x14ac:dyDescent="0.2">
      <c r="A73" t="s">
        <v>6208</v>
      </c>
    </row>
    <row r="74" spans="1:1" x14ac:dyDescent="0.2">
      <c r="A74" t="s">
        <v>6209</v>
      </c>
    </row>
    <row r="75" spans="1:1" x14ac:dyDescent="0.2">
      <c r="A75" t="s">
        <v>6210</v>
      </c>
    </row>
    <row r="76" spans="1:1" x14ac:dyDescent="0.2">
      <c r="A76" t="s">
        <v>6211</v>
      </c>
    </row>
    <row r="77" spans="1:1" x14ac:dyDescent="0.2">
      <c r="A77" t="s">
        <v>6212</v>
      </c>
    </row>
    <row r="78" spans="1:1" x14ac:dyDescent="0.2">
      <c r="A78" t="s">
        <v>6213</v>
      </c>
    </row>
    <row r="79" spans="1:1" x14ac:dyDescent="0.2">
      <c r="A79" t="s">
        <v>6214</v>
      </c>
    </row>
    <row r="80" spans="1:1" x14ac:dyDescent="0.2">
      <c r="A80" t="s">
        <v>6215</v>
      </c>
    </row>
    <row r="81" spans="1:1" x14ac:dyDescent="0.2">
      <c r="A81" t="s">
        <v>6216</v>
      </c>
    </row>
    <row r="82" spans="1:1" x14ac:dyDescent="0.2">
      <c r="A82" t="s">
        <v>6217</v>
      </c>
    </row>
    <row r="83" spans="1:1" x14ac:dyDescent="0.2">
      <c r="A83" t="s">
        <v>6218</v>
      </c>
    </row>
    <row r="84" spans="1:1" x14ac:dyDescent="0.2">
      <c r="A84" t="s">
        <v>6219</v>
      </c>
    </row>
    <row r="85" spans="1:1" x14ac:dyDescent="0.2">
      <c r="A85" t="s">
        <v>6220</v>
      </c>
    </row>
    <row r="86" spans="1:1" x14ac:dyDescent="0.2">
      <c r="A86" t="s">
        <v>6221</v>
      </c>
    </row>
    <row r="87" spans="1:1" x14ac:dyDescent="0.2">
      <c r="A87" t="s">
        <v>6222</v>
      </c>
    </row>
    <row r="88" spans="1:1" x14ac:dyDescent="0.2">
      <c r="A88" t="s">
        <v>6223</v>
      </c>
    </row>
    <row r="89" spans="1:1" x14ac:dyDescent="0.2">
      <c r="A89" t="s">
        <v>6224</v>
      </c>
    </row>
    <row r="90" spans="1:1" x14ac:dyDescent="0.2">
      <c r="A90" t="s">
        <v>6225</v>
      </c>
    </row>
    <row r="91" spans="1:1" x14ac:dyDescent="0.2">
      <c r="A91" t="s">
        <v>6226</v>
      </c>
    </row>
    <row r="92" spans="1:1" x14ac:dyDescent="0.2">
      <c r="A92" t="s">
        <v>6227</v>
      </c>
    </row>
    <row r="93" spans="1:1" x14ac:dyDescent="0.2">
      <c r="A93" t="s">
        <v>6228</v>
      </c>
    </row>
    <row r="94" spans="1:1" x14ac:dyDescent="0.2">
      <c r="A94" t="s">
        <v>6229</v>
      </c>
    </row>
    <row r="95" spans="1:1" x14ac:dyDescent="0.2">
      <c r="A95" t="s">
        <v>6230</v>
      </c>
    </row>
    <row r="96" spans="1:1" x14ac:dyDescent="0.2">
      <c r="A96" t="s">
        <v>6231</v>
      </c>
    </row>
    <row r="97" spans="1:1" x14ac:dyDescent="0.2">
      <c r="A97" t="s">
        <v>6232</v>
      </c>
    </row>
    <row r="98" spans="1:1" x14ac:dyDescent="0.2">
      <c r="A98" t="s">
        <v>6233</v>
      </c>
    </row>
    <row r="99" spans="1:1" x14ac:dyDescent="0.2">
      <c r="A99" t="s">
        <v>6234</v>
      </c>
    </row>
    <row r="100" spans="1:1" x14ac:dyDescent="0.2">
      <c r="A100" t="s">
        <v>6235</v>
      </c>
    </row>
    <row r="101" spans="1:1" x14ac:dyDescent="0.2">
      <c r="A101" t="s">
        <v>6236</v>
      </c>
    </row>
    <row r="102" spans="1:1" x14ac:dyDescent="0.2">
      <c r="A102" t="s">
        <v>6237</v>
      </c>
    </row>
    <row r="103" spans="1:1" x14ac:dyDescent="0.2">
      <c r="A103" t="s">
        <v>6238</v>
      </c>
    </row>
    <row r="104" spans="1:1" x14ac:dyDescent="0.2">
      <c r="A104" t="s">
        <v>6239</v>
      </c>
    </row>
    <row r="105" spans="1:1" x14ac:dyDescent="0.2">
      <c r="A105" t="s">
        <v>6240</v>
      </c>
    </row>
    <row r="106" spans="1:1" x14ac:dyDescent="0.2">
      <c r="A106" t="s">
        <v>6241</v>
      </c>
    </row>
    <row r="107" spans="1:1" x14ac:dyDescent="0.2">
      <c r="A107" t="s">
        <v>6242</v>
      </c>
    </row>
    <row r="108" spans="1:1" x14ac:dyDescent="0.2">
      <c r="A108" t="s">
        <v>6243</v>
      </c>
    </row>
    <row r="109" spans="1:1" x14ac:dyDescent="0.2">
      <c r="A109" t="s">
        <v>6244</v>
      </c>
    </row>
    <row r="110" spans="1:1" x14ac:dyDescent="0.2">
      <c r="A110" t="s">
        <v>6245</v>
      </c>
    </row>
    <row r="111" spans="1:1" x14ac:dyDescent="0.2">
      <c r="A111" t="s">
        <v>6246</v>
      </c>
    </row>
    <row r="112" spans="1:1" x14ac:dyDescent="0.2">
      <c r="A112" t="s">
        <v>6247</v>
      </c>
    </row>
    <row r="113" spans="1:1" x14ac:dyDescent="0.2">
      <c r="A113" t="s">
        <v>6248</v>
      </c>
    </row>
    <row r="114" spans="1:1" x14ac:dyDescent="0.2">
      <c r="A114" t="s">
        <v>6249</v>
      </c>
    </row>
    <row r="115" spans="1:1" x14ac:dyDescent="0.2">
      <c r="A115" t="s">
        <v>6250</v>
      </c>
    </row>
    <row r="116" spans="1:1" x14ac:dyDescent="0.2">
      <c r="A116" t="s">
        <v>6251</v>
      </c>
    </row>
    <row r="117" spans="1:1" x14ac:dyDescent="0.2">
      <c r="A117" t="s">
        <v>6252</v>
      </c>
    </row>
    <row r="118" spans="1:1" x14ac:dyDescent="0.2">
      <c r="A118" t="s">
        <v>6253</v>
      </c>
    </row>
    <row r="119" spans="1:1" x14ac:dyDescent="0.2">
      <c r="A119" t="s">
        <v>6254</v>
      </c>
    </row>
    <row r="120" spans="1:1" x14ac:dyDescent="0.2">
      <c r="A120" t="s">
        <v>6255</v>
      </c>
    </row>
    <row r="121" spans="1:1" x14ac:dyDescent="0.2">
      <c r="A121" t="s">
        <v>6256</v>
      </c>
    </row>
    <row r="122" spans="1:1" x14ac:dyDescent="0.2">
      <c r="A122" t="s">
        <v>6257</v>
      </c>
    </row>
    <row r="123" spans="1:1" x14ac:dyDescent="0.2">
      <c r="A123" t="s">
        <v>6258</v>
      </c>
    </row>
    <row r="124" spans="1:1" x14ac:dyDescent="0.2">
      <c r="A124" t="s">
        <v>6259</v>
      </c>
    </row>
    <row r="125" spans="1:1" x14ac:dyDescent="0.2">
      <c r="A125" t="s">
        <v>6260</v>
      </c>
    </row>
    <row r="126" spans="1:1" x14ac:dyDescent="0.2">
      <c r="A126" t="s">
        <v>6261</v>
      </c>
    </row>
    <row r="127" spans="1:1" x14ac:dyDescent="0.2">
      <c r="A127" t="s">
        <v>6262</v>
      </c>
    </row>
    <row r="128" spans="1:1" x14ac:dyDescent="0.2">
      <c r="A128" t="s">
        <v>6263</v>
      </c>
    </row>
    <row r="129" spans="1:1" x14ac:dyDescent="0.2">
      <c r="A129" t="s">
        <v>6264</v>
      </c>
    </row>
    <row r="130" spans="1:1" x14ac:dyDescent="0.2">
      <c r="A130" t="s">
        <v>6265</v>
      </c>
    </row>
    <row r="131" spans="1:1" x14ac:dyDescent="0.2">
      <c r="A131" t="s">
        <v>6266</v>
      </c>
    </row>
    <row r="132" spans="1:1" x14ac:dyDescent="0.2">
      <c r="A132" t="s">
        <v>6267</v>
      </c>
    </row>
    <row r="133" spans="1:1" x14ac:dyDescent="0.2">
      <c r="A133" t="s">
        <v>6268</v>
      </c>
    </row>
    <row r="134" spans="1:1" x14ac:dyDescent="0.2">
      <c r="A134" t="s">
        <v>6269</v>
      </c>
    </row>
    <row r="135" spans="1:1" x14ac:dyDescent="0.2">
      <c r="A135" t="s">
        <v>6270</v>
      </c>
    </row>
    <row r="136" spans="1:1" x14ac:dyDescent="0.2">
      <c r="A136" t="s">
        <v>6271</v>
      </c>
    </row>
    <row r="137" spans="1:1" x14ac:dyDescent="0.2">
      <c r="A137" t="s">
        <v>6272</v>
      </c>
    </row>
    <row r="138" spans="1:1" x14ac:dyDescent="0.2">
      <c r="A138" t="s">
        <v>6273</v>
      </c>
    </row>
    <row r="139" spans="1:1" x14ac:dyDescent="0.2">
      <c r="A139" t="s">
        <v>6274</v>
      </c>
    </row>
    <row r="140" spans="1:1" x14ac:dyDescent="0.2">
      <c r="A140" t="s">
        <v>6275</v>
      </c>
    </row>
    <row r="141" spans="1:1" x14ac:dyDescent="0.2">
      <c r="A141" t="s">
        <v>6276</v>
      </c>
    </row>
    <row r="142" spans="1:1" x14ac:dyDescent="0.2">
      <c r="A142" t="s">
        <v>6277</v>
      </c>
    </row>
    <row r="143" spans="1:1" x14ac:dyDescent="0.2">
      <c r="A143" t="s">
        <v>6278</v>
      </c>
    </row>
    <row r="144" spans="1:1" x14ac:dyDescent="0.2">
      <c r="A144" t="s">
        <v>6279</v>
      </c>
    </row>
    <row r="145" spans="1:1" x14ac:dyDescent="0.2">
      <c r="A145" t="s">
        <v>6280</v>
      </c>
    </row>
    <row r="146" spans="1:1" x14ac:dyDescent="0.2">
      <c r="A146" t="s">
        <v>6281</v>
      </c>
    </row>
    <row r="147" spans="1:1" x14ac:dyDescent="0.2">
      <c r="A147" t="s">
        <v>6282</v>
      </c>
    </row>
    <row r="148" spans="1:1" x14ac:dyDescent="0.2">
      <c r="A148" t="s">
        <v>6283</v>
      </c>
    </row>
    <row r="149" spans="1:1" x14ac:dyDescent="0.2">
      <c r="A149" t="s">
        <v>6284</v>
      </c>
    </row>
    <row r="150" spans="1:1" x14ac:dyDescent="0.2">
      <c r="A150" t="s">
        <v>6285</v>
      </c>
    </row>
    <row r="151" spans="1:1" x14ac:dyDescent="0.2">
      <c r="A151" t="s">
        <v>6286</v>
      </c>
    </row>
    <row r="152" spans="1:1" x14ac:dyDescent="0.2">
      <c r="A152" t="s">
        <v>6287</v>
      </c>
    </row>
    <row r="153" spans="1:1" x14ac:dyDescent="0.2">
      <c r="A153" t="s">
        <v>6288</v>
      </c>
    </row>
    <row r="154" spans="1:1" x14ac:dyDescent="0.2">
      <c r="A154" t="s">
        <v>6289</v>
      </c>
    </row>
    <row r="155" spans="1:1" x14ac:dyDescent="0.2">
      <c r="A155" t="s">
        <v>6290</v>
      </c>
    </row>
    <row r="156" spans="1:1" x14ac:dyDescent="0.2">
      <c r="A156" t="s">
        <v>6291</v>
      </c>
    </row>
    <row r="157" spans="1:1" x14ac:dyDescent="0.2">
      <c r="A157" t="s">
        <v>6292</v>
      </c>
    </row>
    <row r="158" spans="1:1" x14ac:dyDescent="0.2">
      <c r="A158" t="s">
        <v>6293</v>
      </c>
    </row>
    <row r="159" spans="1:1" x14ac:dyDescent="0.2">
      <c r="A159" t="s">
        <v>6294</v>
      </c>
    </row>
    <row r="160" spans="1:1" x14ac:dyDescent="0.2">
      <c r="A160" t="s">
        <v>6295</v>
      </c>
    </row>
    <row r="161" spans="1:1" x14ac:dyDescent="0.2">
      <c r="A161" t="s">
        <v>6296</v>
      </c>
    </row>
    <row r="162" spans="1:1" x14ac:dyDescent="0.2">
      <c r="A162" t="s">
        <v>6297</v>
      </c>
    </row>
    <row r="163" spans="1:1" x14ac:dyDescent="0.2">
      <c r="A163" t="s">
        <v>6298</v>
      </c>
    </row>
    <row r="164" spans="1:1" x14ac:dyDescent="0.2">
      <c r="A164" t="s">
        <v>6299</v>
      </c>
    </row>
    <row r="165" spans="1:1" x14ac:dyDescent="0.2">
      <c r="A165" t="s">
        <v>6300</v>
      </c>
    </row>
    <row r="166" spans="1:1" x14ac:dyDescent="0.2">
      <c r="A166" t="s">
        <v>6301</v>
      </c>
    </row>
    <row r="167" spans="1:1" x14ac:dyDescent="0.2">
      <c r="A167" t="s">
        <v>6302</v>
      </c>
    </row>
    <row r="168" spans="1:1" x14ac:dyDescent="0.2">
      <c r="A168" t="s">
        <v>6303</v>
      </c>
    </row>
    <row r="169" spans="1:1" x14ac:dyDescent="0.2">
      <c r="A169" t="s">
        <v>6304</v>
      </c>
    </row>
    <row r="170" spans="1:1" x14ac:dyDescent="0.2">
      <c r="A170" t="s">
        <v>6305</v>
      </c>
    </row>
    <row r="171" spans="1:1" x14ac:dyDescent="0.2">
      <c r="A171" t="s">
        <v>6306</v>
      </c>
    </row>
    <row r="172" spans="1:1" x14ac:dyDescent="0.2">
      <c r="A172" t="s">
        <v>6307</v>
      </c>
    </row>
    <row r="173" spans="1:1" x14ac:dyDescent="0.2">
      <c r="A173" t="s">
        <v>6308</v>
      </c>
    </row>
    <row r="174" spans="1:1" x14ac:dyDescent="0.2">
      <c r="A174" t="s">
        <v>6309</v>
      </c>
    </row>
    <row r="175" spans="1:1" x14ac:dyDescent="0.2">
      <c r="A175" t="s">
        <v>6310</v>
      </c>
    </row>
    <row r="176" spans="1:1" x14ac:dyDescent="0.2">
      <c r="A176" t="s">
        <v>6311</v>
      </c>
    </row>
    <row r="177" spans="1:1" x14ac:dyDescent="0.2">
      <c r="A177" t="s">
        <v>6312</v>
      </c>
    </row>
    <row r="178" spans="1:1" x14ac:dyDescent="0.2">
      <c r="A178" t="s">
        <v>6313</v>
      </c>
    </row>
    <row r="179" spans="1:1" x14ac:dyDescent="0.2">
      <c r="A179" t="s">
        <v>6314</v>
      </c>
    </row>
    <row r="180" spans="1:1" x14ac:dyDescent="0.2">
      <c r="A180" t="s">
        <v>6315</v>
      </c>
    </row>
    <row r="181" spans="1:1" x14ac:dyDescent="0.2">
      <c r="A181" t="s">
        <v>6316</v>
      </c>
    </row>
    <row r="182" spans="1:1" x14ac:dyDescent="0.2">
      <c r="A182" t="s">
        <v>6317</v>
      </c>
    </row>
    <row r="183" spans="1:1" x14ac:dyDescent="0.2">
      <c r="A183" t="s">
        <v>6318</v>
      </c>
    </row>
    <row r="184" spans="1:1" x14ac:dyDescent="0.2">
      <c r="A184" t="s">
        <v>6319</v>
      </c>
    </row>
    <row r="185" spans="1:1" x14ac:dyDescent="0.2">
      <c r="A185" t="s">
        <v>6320</v>
      </c>
    </row>
    <row r="186" spans="1:1" x14ac:dyDescent="0.2">
      <c r="A186" t="s">
        <v>6321</v>
      </c>
    </row>
    <row r="187" spans="1:1" x14ac:dyDescent="0.2">
      <c r="A187" t="s">
        <v>6322</v>
      </c>
    </row>
    <row r="188" spans="1:1" x14ac:dyDescent="0.2">
      <c r="A188" t="s">
        <v>6323</v>
      </c>
    </row>
    <row r="189" spans="1:1" x14ac:dyDescent="0.2">
      <c r="A189" t="s">
        <v>6324</v>
      </c>
    </row>
    <row r="190" spans="1:1" x14ac:dyDescent="0.2">
      <c r="A190" t="s">
        <v>6325</v>
      </c>
    </row>
    <row r="191" spans="1:1" x14ac:dyDescent="0.2">
      <c r="A191" t="s">
        <v>6326</v>
      </c>
    </row>
    <row r="192" spans="1:1" x14ac:dyDescent="0.2">
      <c r="A192" t="s">
        <v>6327</v>
      </c>
    </row>
    <row r="193" spans="1:1" x14ac:dyDescent="0.2">
      <c r="A193" t="s">
        <v>6328</v>
      </c>
    </row>
    <row r="194" spans="1:1" x14ac:dyDescent="0.2">
      <c r="A194" t="s">
        <v>6329</v>
      </c>
    </row>
    <row r="195" spans="1:1" x14ac:dyDescent="0.2">
      <c r="A195" t="s">
        <v>6330</v>
      </c>
    </row>
    <row r="196" spans="1:1" x14ac:dyDescent="0.2">
      <c r="A196" t="s">
        <v>6331</v>
      </c>
    </row>
    <row r="197" spans="1:1" x14ac:dyDescent="0.2">
      <c r="A197" t="s">
        <v>6332</v>
      </c>
    </row>
    <row r="198" spans="1:1" x14ac:dyDescent="0.2">
      <c r="A198" t="s">
        <v>6333</v>
      </c>
    </row>
    <row r="199" spans="1:1" x14ac:dyDescent="0.2">
      <c r="A199" t="s">
        <v>6334</v>
      </c>
    </row>
    <row r="200" spans="1:1" x14ac:dyDescent="0.2">
      <c r="A200" t="s">
        <v>6335</v>
      </c>
    </row>
    <row r="201" spans="1:1" x14ac:dyDescent="0.2">
      <c r="A201" t="s">
        <v>6336</v>
      </c>
    </row>
    <row r="202" spans="1:1" x14ac:dyDescent="0.2">
      <c r="A202" t="s">
        <v>6337</v>
      </c>
    </row>
    <row r="203" spans="1:1" x14ac:dyDescent="0.2">
      <c r="A203" t="s">
        <v>6338</v>
      </c>
    </row>
    <row r="204" spans="1:1" x14ac:dyDescent="0.2">
      <c r="A204" t="s">
        <v>6339</v>
      </c>
    </row>
    <row r="205" spans="1:1" x14ac:dyDescent="0.2">
      <c r="A205" t="s">
        <v>6340</v>
      </c>
    </row>
    <row r="206" spans="1:1" x14ac:dyDescent="0.2">
      <c r="A206" t="s">
        <v>6341</v>
      </c>
    </row>
    <row r="207" spans="1:1" x14ac:dyDescent="0.2">
      <c r="A207" t="s">
        <v>6342</v>
      </c>
    </row>
    <row r="208" spans="1:1" x14ac:dyDescent="0.2">
      <c r="A208" t="s">
        <v>6343</v>
      </c>
    </row>
    <row r="209" spans="1:1" x14ac:dyDescent="0.2">
      <c r="A209" t="s">
        <v>6344</v>
      </c>
    </row>
    <row r="210" spans="1:1" x14ac:dyDescent="0.2">
      <c r="A210" t="s">
        <v>6345</v>
      </c>
    </row>
    <row r="211" spans="1:1" x14ac:dyDescent="0.2">
      <c r="A211" t="s">
        <v>6346</v>
      </c>
    </row>
    <row r="212" spans="1:1" x14ac:dyDescent="0.2">
      <c r="A212" t="s">
        <v>6347</v>
      </c>
    </row>
    <row r="213" spans="1:1" x14ac:dyDescent="0.2">
      <c r="A213" t="s">
        <v>6348</v>
      </c>
    </row>
    <row r="214" spans="1:1" x14ac:dyDescent="0.2">
      <c r="A214" t="s">
        <v>6349</v>
      </c>
    </row>
    <row r="215" spans="1:1" x14ac:dyDescent="0.2">
      <c r="A215" t="s">
        <v>6350</v>
      </c>
    </row>
    <row r="216" spans="1:1" x14ac:dyDescent="0.2">
      <c r="A216" t="s">
        <v>6351</v>
      </c>
    </row>
    <row r="217" spans="1:1" x14ac:dyDescent="0.2">
      <c r="A217" t="s">
        <v>6352</v>
      </c>
    </row>
    <row r="218" spans="1:1" x14ac:dyDescent="0.2">
      <c r="A218" t="s">
        <v>6353</v>
      </c>
    </row>
    <row r="219" spans="1:1" x14ac:dyDescent="0.2">
      <c r="A219" t="s">
        <v>6354</v>
      </c>
    </row>
    <row r="220" spans="1:1" x14ac:dyDescent="0.2">
      <c r="A220" t="s">
        <v>6355</v>
      </c>
    </row>
    <row r="221" spans="1:1" x14ac:dyDescent="0.2">
      <c r="A221" t="s">
        <v>6356</v>
      </c>
    </row>
    <row r="222" spans="1:1" x14ac:dyDescent="0.2">
      <c r="A222" t="s">
        <v>6357</v>
      </c>
    </row>
    <row r="223" spans="1:1" x14ac:dyDescent="0.2">
      <c r="A223" t="s">
        <v>6358</v>
      </c>
    </row>
    <row r="224" spans="1:1" x14ac:dyDescent="0.2">
      <c r="A224" t="s">
        <v>6359</v>
      </c>
    </row>
    <row r="225" spans="1:1" x14ac:dyDescent="0.2">
      <c r="A225" t="s">
        <v>6360</v>
      </c>
    </row>
    <row r="226" spans="1:1" x14ac:dyDescent="0.2">
      <c r="A226" t="s">
        <v>6361</v>
      </c>
    </row>
    <row r="227" spans="1:1" x14ac:dyDescent="0.2">
      <c r="A227" t="s">
        <v>6362</v>
      </c>
    </row>
    <row r="228" spans="1:1" x14ac:dyDescent="0.2">
      <c r="A228" t="s">
        <v>6363</v>
      </c>
    </row>
    <row r="229" spans="1:1" x14ac:dyDescent="0.2">
      <c r="A229" t="s">
        <v>6364</v>
      </c>
    </row>
    <row r="230" spans="1:1" x14ac:dyDescent="0.2">
      <c r="A230" t="s">
        <v>6365</v>
      </c>
    </row>
    <row r="231" spans="1:1" x14ac:dyDescent="0.2">
      <c r="A231" t="s">
        <v>6366</v>
      </c>
    </row>
    <row r="232" spans="1:1" x14ac:dyDescent="0.2">
      <c r="A232" t="s">
        <v>6367</v>
      </c>
    </row>
    <row r="233" spans="1:1" x14ac:dyDescent="0.2">
      <c r="A233" t="s">
        <v>6368</v>
      </c>
    </row>
    <row r="234" spans="1:1" x14ac:dyDescent="0.2">
      <c r="A234" t="s">
        <v>6369</v>
      </c>
    </row>
    <row r="235" spans="1:1" x14ac:dyDescent="0.2">
      <c r="A235" t="s">
        <v>6370</v>
      </c>
    </row>
    <row r="236" spans="1:1" x14ac:dyDescent="0.2">
      <c r="A236" t="s">
        <v>6371</v>
      </c>
    </row>
    <row r="237" spans="1:1" x14ac:dyDescent="0.2">
      <c r="A237" t="s">
        <v>6372</v>
      </c>
    </row>
    <row r="238" spans="1:1" x14ac:dyDescent="0.2">
      <c r="A238" t="s">
        <v>6373</v>
      </c>
    </row>
    <row r="239" spans="1:1" x14ac:dyDescent="0.2">
      <c r="A239" t="s">
        <v>6374</v>
      </c>
    </row>
    <row r="240" spans="1:1" x14ac:dyDescent="0.2">
      <c r="A240" t="s">
        <v>6375</v>
      </c>
    </row>
    <row r="241" spans="1:1" x14ac:dyDescent="0.2">
      <c r="A241" t="s">
        <v>6376</v>
      </c>
    </row>
    <row r="242" spans="1:1" x14ac:dyDescent="0.2">
      <c r="A242" t="s">
        <v>6377</v>
      </c>
    </row>
    <row r="243" spans="1:1" x14ac:dyDescent="0.2">
      <c r="A243" t="s">
        <v>6378</v>
      </c>
    </row>
    <row r="244" spans="1:1" x14ac:dyDescent="0.2">
      <c r="A244" t="s">
        <v>6379</v>
      </c>
    </row>
    <row r="245" spans="1:1" x14ac:dyDescent="0.2">
      <c r="A245" t="s">
        <v>6380</v>
      </c>
    </row>
    <row r="246" spans="1:1" x14ac:dyDescent="0.2">
      <c r="A246" t="s">
        <v>6381</v>
      </c>
    </row>
    <row r="247" spans="1:1" x14ac:dyDescent="0.2">
      <c r="A247" t="s">
        <v>6382</v>
      </c>
    </row>
    <row r="248" spans="1:1" x14ac:dyDescent="0.2">
      <c r="A248" t="s">
        <v>6383</v>
      </c>
    </row>
    <row r="249" spans="1:1" x14ac:dyDescent="0.2">
      <c r="A249" t="s">
        <v>6384</v>
      </c>
    </row>
    <row r="250" spans="1:1" x14ac:dyDescent="0.2">
      <c r="A250" t="s">
        <v>6385</v>
      </c>
    </row>
    <row r="251" spans="1:1" x14ac:dyDescent="0.2">
      <c r="A251" t="s">
        <v>6386</v>
      </c>
    </row>
    <row r="252" spans="1:1" x14ac:dyDescent="0.2">
      <c r="A252" t="s">
        <v>6387</v>
      </c>
    </row>
    <row r="253" spans="1:1" x14ac:dyDescent="0.2">
      <c r="A253" t="s">
        <v>6388</v>
      </c>
    </row>
    <row r="254" spans="1:1" x14ac:dyDescent="0.2">
      <c r="A254" t="s">
        <v>6389</v>
      </c>
    </row>
    <row r="255" spans="1:1" x14ac:dyDescent="0.2">
      <c r="A255" t="s">
        <v>6390</v>
      </c>
    </row>
    <row r="256" spans="1:1" x14ac:dyDescent="0.2">
      <c r="A256" t="s">
        <v>6391</v>
      </c>
    </row>
    <row r="257" spans="1:1" x14ac:dyDescent="0.2">
      <c r="A257" t="s">
        <v>6392</v>
      </c>
    </row>
    <row r="258" spans="1:1" x14ac:dyDescent="0.2">
      <c r="A258" t="s">
        <v>6393</v>
      </c>
    </row>
    <row r="259" spans="1:1" x14ac:dyDescent="0.2">
      <c r="A259" t="s">
        <v>6394</v>
      </c>
    </row>
    <row r="260" spans="1:1" x14ac:dyDescent="0.2">
      <c r="A260" t="s">
        <v>6395</v>
      </c>
    </row>
    <row r="261" spans="1:1" x14ac:dyDescent="0.2">
      <c r="A261" t="s">
        <v>6396</v>
      </c>
    </row>
    <row r="262" spans="1:1" x14ac:dyDescent="0.2">
      <c r="A262" t="s">
        <v>6397</v>
      </c>
    </row>
    <row r="263" spans="1:1" x14ac:dyDescent="0.2">
      <c r="A263" t="s">
        <v>6398</v>
      </c>
    </row>
    <row r="264" spans="1:1" x14ac:dyDescent="0.2">
      <c r="A264" t="s">
        <v>6399</v>
      </c>
    </row>
    <row r="265" spans="1:1" x14ac:dyDescent="0.2">
      <c r="A265" t="s">
        <v>6400</v>
      </c>
    </row>
    <row r="266" spans="1:1" x14ac:dyDescent="0.2">
      <c r="A266" t="s">
        <v>6401</v>
      </c>
    </row>
    <row r="267" spans="1:1" x14ac:dyDescent="0.2">
      <c r="A267" t="s">
        <v>6402</v>
      </c>
    </row>
    <row r="268" spans="1:1" x14ac:dyDescent="0.2">
      <c r="A268" t="s">
        <v>6403</v>
      </c>
    </row>
    <row r="269" spans="1:1" x14ac:dyDescent="0.2">
      <c r="A269" t="s">
        <v>6404</v>
      </c>
    </row>
    <row r="270" spans="1:1" x14ac:dyDescent="0.2">
      <c r="A270" t="s">
        <v>6405</v>
      </c>
    </row>
    <row r="271" spans="1:1" x14ac:dyDescent="0.2">
      <c r="A271" t="s">
        <v>6406</v>
      </c>
    </row>
    <row r="272" spans="1:1" x14ac:dyDescent="0.2">
      <c r="A272" t="s">
        <v>6407</v>
      </c>
    </row>
    <row r="273" spans="1:1" x14ac:dyDescent="0.2">
      <c r="A273" t="s">
        <v>6408</v>
      </c>
    </row>
    <row r="274" spans="1:1" x14ac:dyDescent="0.2">
      <c r="A274" t="s">
        <v>6409</v>
      </c>
    </row>
    <row r="275" spans="1:1" x14ac:dyDescent="0.2">
      <c r="A275" t="s">
        <v>6410</v>
      </c>
    </row>
    <row r="276" spans="1:1" x14ac:dyDescent="0.2">
      <c r="A276" t="s">
        <v>6411</v>
      </c>
    </row>
    <row r="277" spans="1:1" x14ac:dyDescent="0.2">
      <c r="A277" t="s">
        <v>6412</v>
      </c>
    </row>
    <row r="278" spans="1:1" x14ac:dyDescent="0.2">
      <c r="A278" t="s">
        <v>6413</v>
      </c>
    </row>
    <row r="279" spans="1:1" x14ac:dyDescent="0.2">
      <c r="A279" t="s">
        <v>6414</v>
      </c>
    </row>
    <row r="280" spans="1:1" x14ac:dyDescent="0.2">
      <c r="A280" t="s">
        <v>6415</v>
      </c>
    </row>
    <row r="281" spans="1:1" x14ac:dyDescent="0.2">
      <c r="A281" t="s">
        <v>6416</v>
      </c>
    </row>
    <row r="282" spans="1:1" x14ac:dyDescent="0.2">
      <c r="A282" t="s">
        <v>6417</v>
      </c>
    </row>
    <row r="283" spans="1:1" x14ac:dyDescent="0.2">
      <c r="A283" t="s">
        <v>6418</v>
      </c>
    </row>
    <row r="284" spans="1:1" x14ac:dyDescent="0.2">
      <c r="A284" t="s">
        <v>6419</v>
      </c>
    </row>
    <row r="285" spans="1:1" x14ac:dyDescent="0.2">
      <c r="A285" t="s">
        <v>6420</v>
      </c>
    </row>
    <row r="286" spans="1:1" x14ac:dyDescent="0.2">
      <c r="A286" t="s">
        <v>6421</v>
      </c>
    </row>
    <row r="287" spans="1:1" x14ac:dyDescent="0.2">
      <c r="A287" t="s">
        <v>6422</v>
      </c>
    </row>
    <row r="288" spans="1:1" x14ac:dyDescent="0.2">
      <c r="A288" t="s">
        <v>6423</v>
      </c>
    </row>
    <row r="289" spans="1:1" x14ac:dyDescent="0.2">
      <c r="A289" t="s">
        <v>6424</v>
      </c>
    </row>
    <row r="290" spans="1:1" x14ac:dyDescent="0.2">
      <c r="A290" t="s">
        <v>6425</v>
      </c>
    </row>
    <row r="291" spans="1:1" x14ac:dyDescent="0.2">
      <c r="A291" t="s">
        <v>6426</v>
      </c>
    </row>
    <row r="292" spans="1:1" x14ac:dyDescent="0.2">
      <c r="A292" t="s">
        <v>6427</v>
      </c>
    </row>
    <row r="293" spans="1:1" x14ac:dyDescent="0.2">
      <c r="A293" t="s">
        <v>6428</v>
      </c>
    </row>
    <row r="294" spans="1:1" x14ac:dyDescent="0.2">
      <c r="A294" t="s">
        <v>6429</v>
      </c>
    </row>
    <row r="295" spans="1:1" x14ac:dyDescent="0.2">
      <c r="A295" t="s">
        <v>6430</v>
      </c>
    </row>
    <row r="296" spans="1:1" x14ac:dyDescent="0.2">
      <c r="A296" t="s">
        <v>6431</v>
      </c>
    </row>
    <row r="297" spans="1:1" x14ac:dyDescent="0.2">
      <c r="A297" t="s">
        <v>6432</v>
      </c>
    </row>
    <row r="298" spans="1:1" x14ac:dyDescent="0.2">
      <c r="A298" t="s">
        <v>6433</v>
      </c>
    </row>
    <row r="299" spans="1:1" x14ac:dyDescent="0.2">
      <c r="A299" t="s">
        <v>6434</v>
      </c>
    </row>
    <row r="300" spans="1:1" x14ac:dyDescent="0.2">
      <c r="A300" t="s">
        <v>6435</v>
      </c>
    </row>
    <row r="301" spans="1:1" x14ac:dyDescent="0.2">
      <c r="A301" t="s">
        <v>6436</v>
      </c>
    </row>
    <row r="302" spans="1:1" x14ac:dyDescent="0.2">
      <c r="A302" t="s">
        <v>6437</v>
      </c>
    </row>
    <row r="303" spans="1:1" x14ac:dyDescent="0.2">
      <c r="A303" t="s">
        <v>6438</v>
      </c>
    </row>
    <row r="304" spans="1:1" x14ac:dyDescent="0.2">
      <c r="A304" t="s">
        <v>6439</v>
      </c>
    </row>
    <row r="305" spans="1:1" x14ac:dyDescent="0.2">
      <c r="A305" t="s">
        <v>6440</v>
      </c>
    </row>
    <row r="306" spans="1:1" x14ac:dyDescent="0.2">
      <c r="A306" t="s">
        <v>6441</v>
      </c>
    </row>
    <row r="307" spans="1:1" x14ac:dyDescent="0.2">
      <c r="A307" t="s">
        <v>6442</v>
      </c>
    </row>
    <row r="308" spans="1:1" x14ac:dyDescent="0.2">
      <c r="A308" t="s">
        <v>6443</v>
      </c>
    </row>
    <row r="309" spans="1:1" x14ac:dyDescent="0.2">
      <c r="A309" t="s">
        <v>6444</v>
      </c>
    </row>
    <row r="310" spans="1:1" x14ac:dyDescent="0.2">
      <c r="A310" t="s">
        <v>6445</v>
      </c>
    </row>
    <row r="311" spans="1:1" x14ac:dyDescent="0.2">
      <c r="A311" t="s">
        <v>6446</v>
      </c>
    </row>
    <row r="312" spans="1:1" x14ac:dyDescent="0.2">
      <c r="A312" t="s">
        <v>6447</v>
      </c>
    </row>
    <row r="313" spans="1:1" x14ac:dyDescent="0.2">
      <c r="A313" t="s">
        <v>6448</v>
      </c>
    </row>
    <row r="314" spans="1:1" x14ac:dyDescent="0.2">
      <c r="A314" t="s">
        <v>6449</v>
      </c>
    </row>
    <row r="315" spans="1:1" x14ac:dyDescent="0.2">
      <c r="A315" t="s">
        <v>6450</v>
      </c>
    </row>
    <row r="316" spans="1:1" x14ac:dyDescent="0.2">
      <c r="A316" t="s">
        <v>6451</v>
      </c>
    </row>
    <row r="317" spans="1:1" x14ac:dyDescent="0.2">
      <c r="A317" t="s">
        <v>6452</v>
      </c>
    </row>
    <row r="318" spans="1:1" x14ac:dyDescent="0.2">
      <c r="A318" t="s">
        <v>6453</v>
      </c>
    </row>
    <row r="319" spans="1:1" x14ac:dyDescent="0.2">
      <c r="A319" t="s">
        <v>6454</v>
      </c>
    </row>
    <row r="320" spans="1:1" x14ac:dyDescent="0.2">
      <c r="A320" t="s">
        <v>6455</v>
      </c>
    </row>
    <row r="321" spans="1:1" x14ac:dyDescent="0.2">
      <c r="A321" t="s">
        <v>6456</v>
      </c>
    </row>
    <row r="322" spans="1:1" x14ac:dyDescent="0.2">
      <c r="A322" t="s">
        <v>6457</v>
      </c>
    </row>
    <row r="323" spans="1:1" x14ac:dyDescent="0.2">
      <c r="A323" t="s">
        <v>6458</v>
      </c>
    </row>
    <row r="324" spans="1:1" x14ac:dyDescent="0.2">
      <c r="A324" t="s">
        <v>6459</v>
      </c>
    </row>
    <row r="325" spans="1:1" x14ac:dyDescent="0.2">
      <c r="A325" t="s">
        <v>6460</v>
      </c>
    </row>
    <row r="326" spans="1:1" x14ac:dyDescent="0.2">
      <c r="A326" t="s">
        <v>6461</v>
      </c>
    </row>
    <row r="327" spans="1:1" x14ac:dyDescent="0.2">
      <c r="A327" t="s">
        <v>6462</v>
      </c>
    </row>
    <row r="328" spans="1:1" x14ac:dyDescent="0.2">
      <c r="A328" t="s">
        <v>6463</v>
      </c>
    </row>
    <row r="329" spans="1:1" x14ac:dyDescent="0.2">
      <c r="A329" t="s">
        <v>6464</v>
      </c>
    </row>
    <row r="330" spans="1:1" x14ac:dyDescent="0.2">
      <c r="A330" t="s">
        <v>6465</v>
      </c>
    </row>
    <row r="331" spans="1:1" x14ac:dyDescent="0.2">
      <c r="A331" t="s">
        <v>6466</v>
      </c>
    </row>
    <row r="332" spans="1:1" x14ac:dyDescent="0.2">
      <c r="A332" t="s">
        <v>6467</v>
      </c>
    </row>
    <row r="333" spans="1:1" x14ac:dyDescent="0.2">
      <c r="A333" t="s">
        <v>6468</v>
      </c>
    </row>
    <row r="334" spans="1:1" x14ac:dyDescent="0.2">
      <c r="A334" t="s">
        <v>6469</v>
      </c>
    </row>
    <row r="335" spans="1:1" x14ac:dyDescent="0.2">
      <c r="A335" t="s">
        <v>6470</v>
      </c>
    </row>
    <row r="336" spans="1:1" x14ac:dyDescent="0.2">
      <c r="A336" t="s">
        <v>6471</v>
      </c>
    </row>
    <row r="337" spans="1:1" x14ac:dyDescent="0.2">
      <c r="A337" t="s">
        <v>6472</v>
      </c>
    </row>
    <row r="338" spans="1:1" x14ac:dyDescent="0.2">
      <c r="A338" t="s">
        <v>6473</v>
      </c>
    </row>
    <row r="339" spans="1:1" x14ac:dyDescent="0.2">
      <c r="A339" t="s">
        <v>6474</v>
      </c>
    </row>
    <row r="340" spans="1:1" x14ac:dyDescent="0.2">
      <c r="A340" t="s">
        <v>6475</v>
      </c>
    </row>
    <row r="341" spans="1:1" x14ac:dyDescent="0.2">
      <c r="A341" t="s">
        <v>6476</v>
      </c>
    </row>
    <row r="342" spans="1:1" x14ac:dyDescent="0.2">
      <c r="A342" t="s">
        <v>6477</v>
      </c>
    </row>
    <row r="343" spans="1:1" x14ac:dyDescent="0.2">
      <c r="A343" t="s">
        <v>6478</v>
      </c>
    </row>
    <row r="344" spans="1:1" x14ac:dyDescent="0.2">
      <c r="A344" t="s">
        <v>6479</v>
      </c>
    </row>
    <row r="345" spans="1:1" x14ac:dyDescent="0.2">
      <c r="A345" t="s">
        <v>6480</v>
      </c>
    </row>
    <row r="346" spans="1:1" x14ac:dyDescent="0.2">
      <c r="A346" t="s">
        <v>6481</v>
      </c>
    </row>
    <row r="347" spans="1:1" x14ac:dyDescent="0.2">
      <c r="A347" t="s">
        <v>6482</v>
      </c>
    </row>
    <row r="348" spans="1:1" x14ac:dyDescent="0.2">
      <c r="A348" t="s">
        <v>6483</v>
      </c>
    </row>
    <row r="349" spans="1:1" x14ac:dyDescent="0.2">
      <c r="A349" t="s">
        <v>6484</v>
      </c>
    </row>
    <row r="350" spans="1:1" x14ac:dyDescent="0.2">
      <c r="A350" t="s">
        <v>6485</v>
      </c>
    </row>
    <row r="351" spans="1:1" x14ac:dyDescent="0.2">
      <c r="A351" t="s">
        <v>6486</v>
      </c>
    </row>
    <row r="352" spans="1:1" x14ac:dyDescent="0.2">
      <c r="A352" t="s">
        <v>6487</v>
      </c>
    </row>
    <row r="353" spans="1:1" x14ac:dyDescent="0.2">
      <c r="A353" t="s">
        <v>6488</v>
      </c>
    </row>
    <row r="354" spans="1:1" x14ac:dyDescent="0.2">
      <c r="A354" t="s">
        <v>6489</v>
      </c>
    </row>
    <row r="355" spans="1:1" x14ac:dyDescent="0.2">
      <c r="A355" t="s">
        <v>6490</v>
      </c>
    </row>
    <row r="356" spans="1:1" x14ac:dyDescent="0.2">
      <c r="A356" t="s">
        <v>6491</v>
      </c>
    </row>
    <row r="357" spans="1:1" x14ac:dyDescent="0.2">
      <c r="A357" t="s">
        <v>6492</v>
      </c>
    </row>
    <row r="358" spans="1:1" x14ac:dyDescent="0.2">
      <c r="A358" t="s">
        <v>6493</v>
      </c>
    </row>
    <row r="359" spans="1:1" x14ac:dyDescent="0.2">
      <c r="A359" t="s">
        <v>6494</v>
      </c>
    </row>
    <row r="360" spans="1:1" x14ac:dyDescent="0.2">
      <c r="A360" t="s">
        <v>6495</v>
      </c>
    </row>
    <row r="361" spans="1:1" x14ac:dyDescent="0.2">
      <c r="A361" t="s">
        <v>6496</v>
      </c>
    </row>
    <row r="362" spans="1:1" x14ac:dyDescent="0.2">
      <c r="A362" t="s">
        <v>6497</v>
      </c>
    </row>
    <row r="363" spans="1:1" x14ac:dyDescent="0.2">
      <c r="A363" t="s">
        <v>6498</v>
      </c>
    </row>
    <row r="364" spans="1:1" x14ac:dyDescent="0.2">
      <c r="A364" t="s">
        <v>6499</v>
      </c>
    </row>
    <row r="365" spans="1:1" x14ac:dyDescent="0.2">
      <c r="A365" t="s">
        <v>6500</v>
      </c>
    </row>
    <row r="366" spans="1:1" x14ac:dyDescent="0.2">
      <c r="A366" t="s">
        <v>6501</v>
      </c>
    </row>
    <row r="367" spans="1:1" x14ac:dyDescent="0.2">
      <c r="A367" t="s">
        <v>6502</v>
      </c>
    </row>
    <row r="368" spans="1:1" x14ac:dyDescent="0.2">
      <c r="A368" t="s">
        <v>6503</v>
      </c>
    </row>
    <row r="369" spans="1:1" x14ac:dyDescent="0.2">
      <c r="A369" t="s">
        <v>6504</v>
      </c>
    </row>
    <row r="370" spans="1:1" x14ac:dyDescent="0.2">
      <c r="A370" t="s">
        <v>6505</v>
      </c>
    </row>
    <row r="371" spans="1:1" x14ac:dyDescent="0.2">
      <c r="A371" t="s">
        <v>6506</v>
      </c>
    </row>
    <row r="372" spans="1:1" x14ac:dyDescent="0.2">
      <c r="A372" t="s">
        <v>6507</v>
      </c>
    </row>
    <row r="373" spans="1:1" x14ac:dyDescent="0.2">
      <c r="A373" t="s">
        <v>6508</v>
      </c>
    </row>
    <row r="374" spans="1:1" x14ac:dyDescent="0.2">
      <c r="A374" t="s">
        <v>6509</v>
      </c>
    </row>
    <row r="375" spans="1:1" x14ac:dyDescent="0.2">
      <c r="A375" t="s">
        <v>6510</v>
      </c>
    </row>
    <row r="376" spans="1:1" x14ac:dyDescent="0.2">
      <c r="A376" t="s">
        <v>6511</v>
      </c>
    </row>
    <row r="377" spans="1:1" x14ac:dyDescent="0.2">
      <c r="A377" t="s">
        <v>6512</v>
      </c>
    </row>
    <row r="378" spans="1:1" x14ac:dyDescent="0.2">
      <c r="A378" t="s">
        <v>6513</v>
      </c>
    </row>
    <row r="379" spans="1:1" x14ac:dyDescent="0.2">
      <c r="A379" t="s">
        <v>6514</v>
      </c>
    </row>
    <row r="380" spans="1:1" x14ac:dyDescent="0.2">
      <c r="A380" t="s">
        <v>6515</v>
      </c>
    </row>
    <row r="381" spans="1:1" x14ac:dyDescent="0.2">
      <c r="A381" t="s">
        <v>6516</v>
      </c>
    </row>
    <row r="382" spans="1:1" x14ac:dyDescent="0.2">
      <c r="A382" t="s">
        <v>6517</v>
      </c>
    </row>
    <row r="383" spans="1:1" x14ac:dyDescent="0.2">
      <c r="A383" t="s">
        <v>6518</v>
      </c>
    </row>
    <row r="384" spans="1:1" x14ac:dyDescent="0.2">
      <c r="A384" t="s">
        <v>6519</v>
      </c>
    </row>
    <row r="385" spans="1:1" x14ac:dyDescent="0.2">
      <c r="A385" t="s">
        <v>6520</v>
      </c>
    </row>
    <row r="386" spans="1:1" x14ac:dyDescent="0.2">
      <c r="A386" t="s">
        <v>6521</v>
      </c>
    </row>
    <row r="387" spans="1:1" x14ac:dyDescent="0.2">
      <c r="A387" t="s">
        <v>6522</v>
      </c>
    </row>
    <row r="388" spans="1:1" x14ac:dyDescent="0.2">
      <c r="A388" t="s">
        <v>6523</v>
      </c>
    </row>
    <row r="389" spans="1:1" x14ac:dyDescent="0.2">
      <c r="A389" t="s">
        <v>6524</v>
      </c>
    </row>
    <row r="390" spans="1:1" x14ac:dyDescent="0.2">
      <c r="A390" t="s">
        <v>6525</v>
      </c>
    </row>
    <row r="391" spans="1:1" x14ac:dyDescent="0.2">
      <c r="A391" t="s">
        <v>6526</v>
      </c>
    </row>
    <row r="392" spans="1:1" x14ac:dyDescent="0.2">
      <c r="A392" t="s">
        <v>6527</v>
      </c>
    </row>
    <row r="393" spans="1:1" x14ac:dyDescent="0.2">
      <c r="A393" t="s">
        <v>6528</v>
      </c>
    </row>
    <row r="394" spans="1:1" x14ac:dyDescent="0.2">
      <c r="A394" t="s">
        <v>6529</v>
      </c>
    </row>
    <row r="395" spans="1:1" x14ac:dyDescent="0.2">
      <c r="A395" t="s">
        <v>6530</v>
      </c>
    </row>
    <row r="396" spans="1:1" x14ac:dyDescent="0.2">
      <c r="A396" t="s">
        <v>6531</v>
      </c>
    </row>
    <row r="397" spans="1:1" x14ac:dyDescent="0.2">
      <c r="A397" t="s">
        <v>6532</v>
      </c>
    </row>
    <row r="398" spans="1:1" x14ac:dyDescent="0.2">
      <c r="A398" t="s">
        <v>6533</v>
      </c>
    </row>
    <row r="399" spans="1:1" x14ac:dyDescent="0.2">
      <c r="A399" t="s">
        <v>6534</v>
      </c>
    </row>
    <row r="400" spans="1:1" x14ac:dyDescent="0.2">
      <c r="A400" t="s">
        <v>6535</v>
      </c>
    </row>
    <row r="401" spans="1:1" x14ac:dyDescent="0.2">
      <c r="A401" t="s">
        <v>6536</v>
      </c>
    </row>
    <row r="402" spans="1:1" x14ac:dyDescent="0.2">
      <c r="A402" t="s">
        <v>6537</v>
      </c>
    </row>
    <row r="403" spans="1:1" x14ac:dyDescent="0.2">
      <c r="A403" t="s">
        <v>6538</v>
      </c>
    </row>
    <row r="404" spans="1:1" x14ac:dyDescent="0.2">
      <c r="A404" t="s">
        <v>6539</v>
      </c>
    </row>
    <row r="405" spans="1:1" x14ac:dyDescent="0.2">
      <c r="A405" t="s">
        <v>6540</v>
      </c>
    </row>
    <row r="406" spans="1:1" x14ac:dyDescent="0.2">
      <c r="A406" t="s">
        <v>6541</v>
      </c>
    </row>
    <row r="407" spans="1:1" x14ac:dyDescent="0.2">
      <c r="A407" t="s">
        <v>6542</v>
      </c>
    </row>
    <row r="408" spans="1:1" x14ac:dyDescent="0.2">
      <c r="A408" t="s">
        <v>6543</v>
      </c>
    </row>
    <row r="409" spans="1:1" x14ac:dyDescent="0.2">
      <c r="A409" t="s">
        <v>6544</v>
      </c>
    </row>
    <row r="410" spans="1:1" x14ac:dyDescent="0.2">
      <c r="A410" t="s">
        <v>6545</v>
      </c>
    </row>
    <row r="411" spans="1:1" x14ac:dyDescent="0.2">
      <c r="A411" t="s">
        <v>6546</v>
      </c>
    </row>
    <row r="412" spans="1:1" x14ac:dyDescent="0.2">
      <c r="A412" t="s">
        <v>6547</v>
      </c>
    </row>
    <row r="413" spans="1:1" x14ac:dyDescent="0.2">
      <c r="A413" t="s">
        <v>6548</v>
      </c>
    </row>
    <row r="414" spans="1:1" x14ac:dyDescent="0.2">
      <c r="A414" t="s">
        <v>6549</v>
      </c>
    </row>
    <row r="415" spans="1:1" x14ac:dyDescent="0.2">
      <c r="A415" t="s">
        <v>6550</v>
      </c>
    </row>
    <row r="416" spans="1:1" x14ac:dyDescent="0.2">
      <c r="A416" t="s">
        <v>6551</v>
      </c>
    </row>
    <row r="417" spans="1:1" x14ac:dyDescent="0.2">
      <c r="A417" t="s">
        <v>6552</v>
      </c>
    </row>
    <row r="418" spans="1:1" x14ac:dyDescent="0.2">
      <c r="A418" t="s">
        <v>6553</v>
      </c>
    </row>
    <row r="419" spans="1:1" x14ac:dyDescent="0.2">
      <c r="A419" t="s">
        <v>6554</v>
      </c>
    </row>
    <row r="420" spans="1:1" x14ac:dyDescent="0.2">
      <c r="A420" t="s">
        <v>6555</v>
      </c>
    </row>
    <row r="421" spans="1:1" x14ac:dyDescent="0.2">
      <c r="A421" t="s">
        <v>6556</v>
      </c>
    </row>
    <row r="422" spans="1:1" x14ac:dyDescent="0.2">
      <c r="A422" t="s">
        <v>6557</v>
      </c>
    </row>
    <row r="423" spans="1:1" x14ac:dyDescent="0.2">
      <c r="A423" t="s">
        <v>6558</v>
      </c>
    </row>
    <row r="424" spans="1:1" x14ac:dyDescent="0.2">
      <c r="A424" t="s">
        <v>6559</v>
      </c>
    </row>
    <row r="425" spans="1:1" x14ac:dyDescent="0.2">
      <c r="A425" t="s">
        <v>6560</v>
      </c>
    </row>
    <row r="426" spans="1:1" x14ac:dyDescent="0.2">
      <c r="A426" t="s">
        <v>6561</v>
      </c>
    </row>
    <row r="427" spans="1:1" x14ac:dyDescent="0.2">
      <c r="A427" t="s">
        <v>6562</v>
      </c>
    </row>
    <row r="428" spans="1:1" x14ac:dyDescent="0.2">
      <c r="A428" t="s">
        <v>6563</v>
      </c>
    </row>
    <row r="429" spans="1:1" x14ac:dyDescent="0.2">
      <c r="A429" t="s">
        <v>6564</v>
      </c>
    </row>
    <row r="430" spans="1:1" x14ac:dyDescent="0.2">
      <c r="A430" t="s">
        <v>6565</v>
      </c>
    </row>
    <row r="431" spans="1:1" x14ac:dyDescent="0.2">
      <c r="A431" t="s">
        <v>6566</v>
      </c>
    </row>
    <row r="432" spans="1:1" x14ac:dyDescent="0.2">
      <c r="A432" t="s">
        <v>6567</v>
      </c>
    </row>
    <row r="433" spans="1:1" x14ac:dyDescent="0.2">
      <c r="A433" t="s">
        <v>6568</v>
      </c>
    </row>
    <row r="434" spans="1:1" x14ac:dyDescent="0.2">
      <c r="A434" t="s">
        <v>6569</v>
      </c>
    </row>
    <row r="435" spans="1:1" x14ac:dyDescent="0.2">
      <c r="A435" t="s">
        <v>6570</v>
      </c>
    </row>
    <row r="436" spans="1:1" x14ac:dyDescent="0.2">
      <c r="A436" t="s">
        <v>6571</v>
      </c>
    </row>
    <row r="437" spans="1:1" x14ac:dyDescent="0.2">
      <c r="A437" t="s">
        <v>6572</v>
      </c>
    </row>
    <row r="438" spans="1:1" x14ac:dyDescent="0.2">
      <c r="A438" t="s">
        <v>6573</v>
      </c>
    </row>
    <row r="439" spans="1:1" x14ac:dyDescent="0.2">
      <c r="A439" t="s">
        <v>6574</v>
      </c>
    </row>
    <row r="440" spans="1:1" x14ac:dyDescent="0.2">
      <c r="A440" t="s">
        <v>6575</v>
      </c>
    </row>
    <row r="441" spans="1:1" x14ac:dyDescent="0.2">
      <c r="A441" t="s">
        <v>6576</v>
      </c>
    </row>
    <row r="442" spans="1:1" x14ac:dyDescent="0.2">
      <c r="A442" t="s">
        <v>6577</v>
      </c>
    </row>
    <row r="443" spans="1:1" x14ac:dyDescent="0.2">
      <c r="A443" t="s">
        <v>6578</v>
      </c>
    </row>
    <row r="444" spans="1:1" x14ac:dyDescent="0.2">
      <c r="A444" t="s">
        <v>6579</v>
      </c>
    </row>
    <row r="445" spans="1:1" x14ac:dyDescent="0.2">
      <c r="A445" t="s">
        <v>6580</v>
      </c>
    </row>
    <row r="446" spans="1:1" x14ac:dyDescent="0.2">
      <c r="A446" t="s">
        <v>6581</v>
      </c>
    </row>
    <row r="447" spans="1:1" x14ac:dyDescent="0.2">
      <c r="A447" t="s">
        <v>6582</v>
      </c>
    </row>
    <row r="448" spans="1:1" x14ac:dyDescent="0.2">
      <c r="A448" t="s">
        <v>6583</v>
      </c>
    </row>
    <row r="449" spans="1:1" x14ac:dyDescent="0.2">
      <c r="A449" t="s">
        <v>6584</v>
      </c>
    </row>
    <row r="450" spans="1:1" x14ac:dyDescent="0.2">
      <c r="A450" t="s">
        <v>6585</v>
      </c>
    </row>
    <row r="451" spans="1:1" x14ac:dyDescent="0.2">
      <c r="A451" t="s">
        <v>6586</v>
      </c>
    </row>
    <row r="452" spans="1:1" x14ac:dyDescent="0.2">
      <c r="A452" t="s">
        <v>6587</v>
      </c>
    </row>
    <row r="453" spans="1:1" x14ac:dyDescent="0.2">
      <c r="A453" t="s">
        <v>6588</v>
      </c>
    </row>
    <row r="454" spans="1:1" x14ac:dyDescent="0.2">
      <c r="A454" t="s">
        <v>6589</v>
      </c>
    </row>
    <row r="455" spans="1:1" x14ac:dyDescent="0.2">
      <c r="A455" t="s">
        <v>6590</v>
      </c>
    </row>
    <row r="456" spans="1:1" x14ac:dyDescent="0.2">
      <c r="A456" t="s">
        <v>6591</v>
      </c>
    </row>
    <row r="457" spans="1:1" x14ac:dyDescent="0.2">
      <c r="A457" t="s">
        <v>6592</v>
      </c>
    </row>
    <row r="458" spans="1:1" x14ac:dyDescent="0.2">
      <c r="A458" t="s">
        <v>6593</v>
      </c>
    </row>
    <row r="459" spans="1:1" x14ac:dyDescent="0.2">
      <c r="A459" t="s">
        <v>6594</v>
      </c>
    </row>
    <row r="460" spans="1:1" x14ac:dyDescent="0.2">
      <c r="A460" t="s">
        <v>6595</v>
      </c>
    </row>
    <row r="461" spans="1:1" x14ac:dyDescent="0.2">
      <c r="A461" t="s">
        <v>6596</v>
      </c>
    </row>
    <row r="462" spans="1:1" x14ac:dyDescent="0.2">
      <c r="A462" t="s">
        <v>6597</v>
      </c>
    </row>
    <row r="463" spans="1:1" x14ac:dyDescent="0.2">
      <c r="A463" t="s">
        <v>6598</v>
      </c>
    </row>
    <row r="464" spans="1:1" x14ac:dyDescent="0.2">
      <c r="A464" t="s">
        <v>6599</v>
      </c>
    </row>
    <row r="465" spans="1:1" x14ac:dyDescent="0.2">
      <c r="A465" t="s">
        <v>6600</v>
      </c>
    </row>
    <row r="466" spans="1:1" x14ac:dyDescent="0.2">
      <c r="A466" t="s">
        <v>6601</v>
      </c>
    </row>
    <row r="467" spans="1:1" x14ac:dyDescent="0.2">
      <c r="A467" t="s">
        <v>6602</v>
      </c>
    </row>
    <row r="468" spans="1:1" x14ac:dyDescent="0.2">
      <c r="A468" t="s">
        <v>6603</v>
      </c>
    </row>
    <row r="469" spans="1:1" x14ac:dyDescent="0.2">
      <c r="A469" t="s">
        <v>6604</v>
      </c>
    </row>
    <row r="470" spans="1:1" x14ac:dyDescent="0.2">
      <c r="A470" t="s">
        <v>6605</v>
      </c>
    </row>
    <row r="471" spans="1:1" x14ac:dyDescent="0.2">
      <c r="A471" t="s">
        <v>6606</v>
      </c>
    </row>
    <row r="472" spans="1:1" x14ac:dyDescent="0.2">
      <c r="A472" t="s">
        <v>6607</v>
      </c>
    </row>
    <row r="473" spans="1:1" x14ac:dyDescent="0.2">
      <c r="A473" t="s">
        <v>6608</v>
      </c>
    </row>
    <row r="474" spans="1:1" x14ac:dyDescent="0.2">
      <c r="A474" t="s">
        <v>6609</v>
      </c>
    </row>
    <row r="475" spans="1:1" x14ac:dyDescent="0.2">
      <c r="A475" t="s">
        <v>6610</v>
      </c>
    </row>
    <row r="476" spans="1:1" x14ac:dyDescent="0.2">
      <c r="A476" t="s">
        <v>6611</v>
      </c>
    </row>
    <row r="477" spans="1:1" x14ac:dyDescent="0.2">
      <c r="A477" t="s">
        <v>6612</v>
      </c>
    </row>
    <row r="478" spans="1:1" x14ac:dyDescent="0.2">
      <c r="A478" t="s">
        <v>6613</v>
      </c>
    </row>
    <row r="479" spans="1:1" x14ac:dyDescent="0.2">
      <c r="A479" t="s">
        <v>6614</v>
      </c>
    </row>
    <row r="480" spans="1:1" x14ac:dyDescent="0.2">
      <c r="A480" t="s">
        <v>6615</v>
      </c>
    </row>
    <row r="481" spans="1:1" x14ac:dyDescent="0.2">
      <c r="A481" t="s">
        <v>6616</v>
      </c>
    </row>
    <row r="482" spans="1:1" x14ac:dyDescent="0.2">
      <c r="A482" t="s">
        <v>6617</v>
      </c>
    </row>
    <row r="483" spans="1:1" x14ac:dyDescent="0.2">
      <c r="A483" t="s">
        <v>6618</v>
      </c>
    </row>
    <row r="484" spans="1:1" x14ac:dyDescent="0.2">
      <c r="A484" t="s">
        <v>6619</v>
      </c>
    </row>
    <row r="485" spans="1:1" x14ac:dyDescent="0.2">
      <c r="A485" t="s">
        <v>6620</v>
      </c>
    </row>
    <row r="486" spans="1:1" x14ac:dyDescent="0.2">
      <c r="A486" t="s">
        <v>6621</v>
      </c>
    </row>
    <row r="487" spans="1:1" x14ac:dyDescent="0.2">
      <c r="A487" t="s">
        <v>6622</v>
      </c>
    </row>
    <row r="488" spans="1:1" x14ac:dyDescent="0.2">
      <c r="A488" t="s">
        <v>6623</v>
      </c>
    </row>
    <row r="489" spans="1:1" x14ac:dyDescent="0.2">
      <c r="A489" t="s">
        <v>6624</v>
      </c>
    </row>
    <row r="490" spans="1:1" x14ac:dyDescent="0.2">
      <c r="A490" t="s">
        <v>6625</v>
      </c>
    </row>
    <row r="491" spans="1:1" x14ac:dyDescent="0.2">
      <c r="A491" t="s">
        <v>6626</v>
      </c>
    </row>
    <row r="492" spans="1:1" x14ac:dyDescent="0.2">
      <c r="A492" t="s">
        <v>6627</v>
      </c>
    </row>
    <row r="493" spans="1:1" x14ac:dyDescent="0.2">
      <c r="A493" t="s">
        <v>6628</v>
      </c>
    </row>
    <row r="494" spans="1:1" x14ac:dyDescent="0.2">
      <c r="A494" t="s">
        <v>6629</v>
      </c>
    </row>
    <row r="495" spans="1:1" x14ac:dyDescent="0.2">
      <c r="A495" t="s">
        <v>6630</v>
      </c>
    </row>
    <row r="496" spans="1:1" x14ac:dyDescent="0.2">
      <c r="A496" t="s">
        <v>6631</v>
      </c>
    </row>
    <row r="497" spans="1:1" x14ac:dyDescent="0.2">
      <c r="A497" t="s">
        <v>6632</v>
      </c>
    </row>
    <row r="498" spans="1:1" x14ac:dyDescent="0.2">
      <c r="A498" t="s">
        <v>6633</v>
      </c>
    </row>
    <row r="499" spans="1:1" x14ac:dyDescent="0.2">
      <c r="A499" t="s">
        <v>6634</v>
      </c>
    </row>
    <row r="500" spans="1:1" x14ac:dyDescent="0.2">
      <c r="A500" t="s">
        <v>6635</v>
      </c>
    </row>
    <row r="501" spans="1:1" x14ac:dyDescent="0.2">
      <c r="A501" t="s">
        <v>6636</v>
      </c>
    </row>
    <row r="502" spans="1:1" x14ac:dyDescent="0.2">
      <c r="A502" t="s">
        <v>6637</v>
      </c>
    </row>
    <row r="503" spans="1:1" x14ac:dyDescent="0.2">
      <c r="A503" t="s">
        <v>6638</v>
      </c>
    </row>
    <row r="504" spans="1:1" x14ac:dyDescent="0.2">
      <c r="A504" t="s">
        <v>6639</v>
      </c>
    </row>
    <row r="505" spans="1:1" x14ac:dyDescent="0.2">
      <c r="A505" t="s">
        <v>6640</v>
      </c>
    </row>
    <row r="506" spans="1:1" x14ac:dyDescent="0.2">
      <c r="A506" t="s">
        <v>6641</v>
      </c>
    </row>
    <row r="507" spans="1:1" x14ac:dyDescent="0.2">
      <c r="A507" t="s">
        <v>6642</v>
      </c>
    </row>
    <row r="508" spans="1:1" x14ac:dyDescent="0.2">
      <c r="A508" t="s">
        <v>6643</v>
      </c>
    </row>
    <row r="509" spans="1:1" x14ac:dyDescent="0.2">
      <c r="A509" t="s">
        <v>6644</v>
      </c>
    </row>
    <row r="510" spans="1:1" x14ac:dyDescent="0.2">
      <c r="A510" t="s">
        <v>6645</v>
      </c>
    </row>
    <row r="511" spans="1:1" x14ac:dyDescent="0.2">
      <c r="A511" t="s">
        <v>6646</v>
      </c>
    </row>
    <row r="512" spans="1:1" x14ac:dyDescent="0.2">
      <c r="A512" t="s">
        <v>6647</v>
      </c>
    </row>
    <row r="513" spans="1:1" x14ac:dyDescent="0.2">
      <c r="A513" t="s">
        <v>6648</v>
      </c>
    </row>
    <row r="514" spans="1:1" x14ac:dyDescent="0.2">
      <c r="A514" t="s">
        <v>6649</v>
      </c>
    </row>
    <row r="515" spans="1:1" x14ac:dyDescent="0.2">
      <c r="A515" t="s">
        <v>6650</v>
      </c>
    </row>
    <row r="516" spans="1:1" x14ac:dyDescent="0.2">
      <c r="A516" t="s">
        <v>6651</v>
      </c>
    </row>
    <row r="517" spans="1:1" x14ac:dyDescent="0.2">
      <c r="A517" t="s">
        <v>6652</v>
      </c>
    </row>
    <row r="518" spans="1:1" x14ac:dyDescent="0.2">
      <c r="A518" t="s">
        <v>6653</v>
      </c>
    </row>
    <row r="519" spans="1:1" x14ac:dyDescent="0.2">
      <c r="A519" t="s">
        <v>6654</v>
      </c>
    </row>
    <row r="520" spans="1:1" x14ac:dyDescent="0.2">
      <c r="A520" t="s">
        <v>6655</v>
      </c>
    </row>
    <row r="521" spans="1:1" x14ac:dyDescent="0.2">
      <c r="A521" t="s">
        <v>6656</v>
      </c>
    </row>
    <row r="522" spans="1:1" x14ac:dyDescent="0.2">
      <c r="A522" t="s">
        <v>6657</v>
      </c>
    </row>
    <row r="523" spans="1:1" x14ac:dyDescent="0.2">
      <c r="A523" t="s">
        <v>6658</v>
      </c>
    </row>
    <row r="524" spans="1:1" x14ac:dyDescent="0.2">
      <c r="A524" t="s">
        <v>6659</v>
      </c>
    </row>
    <row r="525" spans="1:1" x14ac:dyDescent="0.2">
      <c r="A525" t="s">
        <v>6660</v>
      </c>
    </row>
    <row r="526" spans="1:1" x14ac:dyDescent="0.2">
      <c r="A526" t="s">
        <v>6661</v>
      </c>
    </row>
    <row r="527" spans="1:1" x14ac:dyDescent="0.2">
      <c r="A527" t="s">
        <v>6662</v>
      </c>
    </row>
    <row r="528" spans="1:1" x14ac:dyDescent="0.2">
      <c r="A528" t="s">
        <v>6663</v>
      </c>
    </row>
    <row r="529" spans="1:1" x14ac:dyDescent="0.2">
      <c r="A529" t="s">
        <v>6664</v>
      </c>
    </row>
    <row r="530" spans="1:1" x14ac:dyDescent="0.2">
      <c r="A530" t="s">
        <v>6665</v>
      </c>
    </row>
    <row r="531" spans="1:1" x14ac:dyDescent="0.2">
      <c r="A531" t="s">
        <v>6666</v>
      </c>
    </row>
    <row r="532" spans="1:1" x14ac:dyDescent="0.2">
      <c r="A532" t="s">
        <v>6667</v>
      </c>
    </row>
    <row r="533" spans="1:1" x14ac:dyDescent="0.2">
      <c r="A533" t="s">
        <v>6668</v>
      </c>
    </row>
    <row r="534" spans="1:1" x14ac:dyDescent="0.2">
      <c r="A534" t="s">
        <v>6669</v>
      </c>
    </row>
    <row r="535" spans="1:1" x14ac:dyDescent="0.2">
      <c r="A535" t="s">
        <v>6670</v>
      </c>
    </row>
    <row r="536" spans="1:1" x14ac:dyDescent="0.2">
      <c r="A536" t="s">
        <v>6671</v>
      </c>
    </row>
    <row r="537" spans="1:1" x14ac:dyDescent="0.2">
      <c r="A537" t="s">
        <v>6672</v>
      </c>
    </row>
    <row r="538" spans="1:1" x14ac:dyDescent="0.2">
      <c r="A538" t="s">
        <v>6673</v>
      </c>
    </row>
    <row r="539" spans="1:1" x14ac:dyDescent="0.2">
      <c r="A539" t="s">
        <v>6674</v>
      </c>
    </row>
    <row r="540" spans="1:1" x14ac:dyDescent="0.2">
      <c r="A540" t="s">
        <v>6675</v>
      </c>
    </row>
    <row r="541" spans="1:1" x14ac:dyDescent="0.2">
      <c r="A541" t="s">
        <v>6676</v>
      </c>
    </row>
    <row r="542" spans="1:1" x14ac:dyDescent="0.2">
      <c r="A542" t="s">
        <v>6677</v>
      </c>
    </row>
    <row r="543" spans="1:1" x14ac:dyDescent="0.2">
      <c r="A543" t="s">
        <v>6678</v>
      </c>
    </row>
    <row r="544" spans="1:1" x14ac:dyDescent="0.2">
      <c r="A544" t="s">
        <v>6679</v>
      </c>
    </row>
    <row r="545" spans="1:1" x14ac:dyDescent="0.2">
      <c r="A545" t="s">
        <v>6680</v>
      </c>
    </row>
    <row r="546" spans="1:1" x14ac:dyDescent="0.2">
      <c r="A546" t="s">
        <v>6681</v>
      </c>
    </row>
    <row r="547" spans="1:1" x14ac:dyDescent="0.2">
      <c r="A547" t="s">
        <v>6682</v>
      </c>
    </row>
    <row r="548" spans="1:1" x14ac:dyDescent="0.2">
      <c r="A548" t="s">
        <v>6683</v>
      </c>
    </row>
    <row r="549" spans="1:1" x14ac:dyDescent="0.2">
      <c r="A549" t="s">
        <v>6684</v>
      </c>
    </row>
    <row r="550" spans="1:1" x14ac:dyDescent="0.2">
      <c r="A550" t="s">
        <v>6685</v>
      </c>
    </row>
    <row r="551" spans="1:1" x14ac:dyDescent="0.2">
      <c r="A551" t="s">
        <v>6686</v>
      </c>
    </row>
    <row r="552" spans="1:1" x14ac:dyDescent="0.2">
      <c r="A552" t="s">
        <v>6687</v>
      </c>
    </row>
    <row r="553" spans="1:1" x14ac:dyDescent="0.2">
      <c r="A553" t="s">
        <v>6688</v>
      </c>
    </row>
    <row r="554" spans="1:1" x14ac:dyDescent="0.2">
      <c r="A554" t="s">
        <v>6689</v>
      </c>
    </row>
    <row r="555" spans="1:1" x14ac:dyDescent="0.2">
      <c r="A555" t="s">
        <v>6690</v>
      </c>
    </row>
    <row r="556" spans="1:1" x14ac:dyDescent="0.2">
      <c r="A556" t="s">
        <v>6691</v>
      </c>
    </row>
    <row r="557" spans="1:1" x14ac:dyDescent="0.2">
      <c r="A557" t="s">
        <v>6692</v>
      </c>
    </row>
    <row r="558" spans="1:1" x14ac:dyDescent="0.2">
      <c r="A558" t="s">
        <v>6693</v>
      </c>
    </row>
    <row r="559" spans="1:1" x14ac:dyDescent="0.2">
      <c r="A559" t="s">
        <v>6694</v>
      </c>
    </row>
    <row r="560" spans="1:1" x14ac:dyDescent="0.2">
      <c r="A560" t="s">
        <v>6695</v>
      </c>
    </row>
    <row r="561" spans="1:1" x14ac:dyDescent="0.2">
      <c r="A561" t="s">
        <v>6696</v>
      </c>
    </row>
    <row r="562" spans="1:1" x14ac:dyDescent="0.2">
      <c r="A562" t="s">
        <v>6697</v>
      </c>
    </row>
    <row r="563" spans="1:1" x14ac:dyDescent="0.2">
      <c r="A563" t="s">
        <v>6698</v>
      </c>
    </row>
    <row r="564" spans="1:1" x14ac:dyDescent="0.2">
      <c r="A564" t="s">
        <v>6699</v>
      </c>
    </row>
    <row r="565" spans="1:1" x14ac:dyDescent="0.2">
      <c r="A565" t="s">
        <v>6700</v>
      </c>
    </row>
    <row r="566" spans="1:1" x14ac:dyDescent="0.2">
      <c r="A566" t="s">
        <v>6701</v>
      </c>
    </row>
    <row r="567" spans="1:1" x14ac:dyDescent="0.2">
      <c r="A567" t="s">
        <v>6702</v>
      </c>
    </row>
    <row r="568" spans="1:1" x14ac:dyDescent="0.2">
      <c r="A568" t="s">
        <v>6703</v>
      </c>
    </row>
    <row r="569" spans="1:1" x14ac:dyDescent="0.2">
      <c r="A569" t="s">
        <v>6704</v>
      </c>
    </row>
    <row r="570" spans="1:1" x14ac:dyDescent="0.2">
      <c r="A570" t="s">
        <v>6705</v>
      </c>
    </row>
    <row r="571" spans="1:1" x14ac:dyDescent="0.2">
      <c r="A571" t="s">
        <v>6706</v>
      </c>
    </row>
    <row r="572" spans="1:1" x14ac:dyDescent="0.2">
      <c r="A572" t="s">
        <v>6707</v>
      </c>
    </row>
    <row r="573" spans="1:1" x14ac:dyDescent="0.2">
      <c r="A573" t="s">
        <v>6708</v>
      </c>
    </row>
    <row r="574" spans="1:1" x14ac:dyDescent="0.2">
      <c r="A574" t="s">
        <v>6709</v>
      </c>
    </row>
    <row r="575" spans="1:1" x14ac:dyDescent="0.2">
      <c r="A575" t="s">
        <v>6710</v>
      </c>
    </row>
    <row r="576" spans="1:1" x14ac:dyDescent="0.2">
      <c r="A576" t="s">
        <v>6711</v>
      </c>
    </row>
    <row r="577" spans="1:1" x14ac:dyDescent="0.2">
      <c r="A577" t="s">
        <v>6712</v>
      </c>
    </row>
    <row r="578" spans="1:1" x14ac:dyDescent="0.2">
      <c r="A578" t="s">
        <v>6713</v>
      </c>
    </row>
    <row r="579" spans="1:1" x14ac:dyDescent="0.2">
      <c r="A579" t="s">
        <v>6714</v>
      </c>
    </row>
    <row r="580" spans="1:1" x14ac:dyDescent="0.2">
      <c r="A580" t="s">
        <v>6715</v>
      </c>
    </row>
    <row r="581" spans="1:1" x14ac:dyDescent="0.2">
      <c r="A581" t="s">
        <v>6716</v>
      </c>
    </row>
    <row r="582" spans="1:1" x14ac:dyDescent="0.2">
      <c r="A582" t="s">
        <v>6717</v>
      </c>
    </row>
    <row r="583" spans="1:1" x14ac:dyDescent="0.2">
      <c r="A583" t="s">
        <v>6718</v>
      </c>
    </row>
    <row r="584" spans="1:1" x14ac:dyDescent="0.2">
      <c r="A584" t="s">
        <v>6719</v>
      </c>
    </row>
    <row r="585" spans="1:1" x14ac:dyDescent="0.2">
      <c r="A585" t="s">
        <v>6720</v>
      </c>
    </row>
    <row r="586" spans="1:1" x14ac:dyDescent="0.2">
      <c r="A586" t="s">
        <v>6721</v>
      </c>
    </row>
    <row r="587" spans="1:1" x14ac:dyDescent="0.2">
      <c r="A587" t="s">
        <v>6722</v>
      </c>
    </row>
    <row r="588" spans="1:1" x14ac:dyDescent="0.2">
      <c r="A588" t="s">
        <v>6723</v>
      </c>
    </row>
    <row r="589" spans="1:1" x14ac:dyDescent="0.2">
      <c r="A589" t="s">
        <v>6724</v>
      </c>
    </row>
    <row r="590" spans="1:1" x14ac:dyDescent="0.2">
      <c r="A590" t="s">
        <v>6725</v>
      </c>
    </row>
    <row r="591" spans="1:1" x14ac:dyDescent="0.2">
      <c r="A591" t="s">
        <v>6726</v>
      </c>
    </row>
    <row r="592" spans="1:1" x14ac:dyDescent="0.2">
      <c r="A592" t="s">
        <v>6727</v>
      </c>
    </row>
    <row r="593" spans="1:1" x14ac:dyDescent="0.2">
      <c r="A593" t="s">
        <v>6728</v>
      </c>
    </row>
    <row r="594" spans="1:1" x14ac:dyDescent="0.2">
      <c r="A594" t="s">
        <v>6729</v>
      </c>
    </row>
    <row r="595" spans="1:1" x14ac:dyDescent="0.2">
      <c r="A595" t="s">
        <v>6730</v>
      </c>
    </row>
    <row r="596" spans="1:1" x14ac:dyDescent="0.2">
      <c r="A596" t="s">
        <v>6731</v>
      </c>
    </row>
    <row r="597" spans="1:1" x14ac:dyDescent="0.2">
      <c r="A597" t="s">
        <v>6732</v>
      </c>
    </row>
    <row r="598" spans="1:1" x14ac:dyDescent="0.2">
      <c r="A598" t="s">
        <v>6733</v>
      </c>
    </row>
    <row r="599" spans="1:1" x14ac:dyDescent="0.2">
      <c r="A599" t="s">
        <v>6734</v>
      </c>
    </row>
    <row r="600" spans="1:1" x14ac:dyDescent="0.2">
      <c r="A600" t="s">
        <v>6735</v>
      </c>
    </row>
    <row r="601" spans="1:1" x14ac:dyDescent="0.2">
      <c r="A601" t="s">
        <v>6736</v>
      </c>
    </row>
    <row r="602" spans="1:1" x14ac:dyDescent="0.2">
      <c r="A602" t="s">
        <v>6737</v>
      </c>
    </row>
    <row r="603" spans="1:1" x14ac:dyDescent="0.2">
      <c r="A603" t="s">
        <v>6738</v>
      </c>
    </row>
    <row r="604" spans="1:1" x14ac:dyDescent="0.2">
      <c r="A604" t="s">
        <v>6739</v>
      </c>
    </row>
    <row r="605" spans="1:1" x14ac:dyDescent="0.2">
      <c r="A605" t="s">
        <v>6740</v>
      </c>
    </row>
    <row r="606" spans="1:1" x14ac:dyDescent="0.2">
      <c r="A606" t="s">
        <v>6741</v>
      </c>
    </row>
    <row r="607" spans="1:1" x14ac:dyDescent="0.2">
      <c r="A607" t="s">
        <v>6742</v>
      </c>
    </row>
    <row r="608" spans="1:1" x14ac:dyDescent="0.2">
      <c r="A608" t="s">
        <v>6743</v>
      </c>
    </row>
    <row r="609" spans="1:1" x14ac:dyDescent="0.2">
      <c r="A609" t="s">
        <v>6744</v>
      </c>
    </row>
    <row r="610" spans="1:1" x14ac:dyDescent="0.2">
      <c r="A610" t="s">
        <v>6745</v>
      </c>
    </row>
    <row r="611" spans="1:1" x14ac:dyDescent="0.2">
      <c r="A611" t="s">
        <v>6746</v>
      </c>
    </row>
    <row r="612" spans="1:1" x14ac:dyDescent="0.2">
      <c r="A612" t="s">
        <v>6747</v>
      </c>
    </row>
    <row r="613" spans="1:1" x14ac:dyDescent="0.2">
      <c r="A613" t="s">
        <v>6748</v>
      </c>
    </row>
    <row r="614" spans="1:1" x14ac:dyDescent="0.2">
      <c r="A614" t="s">
        <v>6749</v>
      </c>
    </row>
    <row r="615" spans="1:1" x14ac:dyDescent="0.2">
      <c r="A615" t="s">
        <v>6750</v>
      </c>
    </row>
    <row r="616" spans="1:1" x14ac:dyDescent="0.2">
      <c r="A616" t="s">
        <v>6751</v>
      </c>
    </row>
    <row r="617" spans="1:1" x14ac:dyDescent="0.2">
      <c r="A617" t="s">
        <v>6752</v>
      </c>
    </row>
    <row r="618" spans="1:1" x14ac:dyDescent="0.2">
      <c r="A618" t="s">
        <v>6753</v>
      </c>
    </row>
    <row r="619" spans="1:1" x14ac:dyDescent="0.2">
      <c r="A619" t="s">
        <v>6754</v>
      </c>
    </row>
    <row r="620" spans="1:1" x14ac:dyDescent="0.2">
      <c r="A620" t="s">
        <v>6755</v>
      </c>
    </row>
    <row r="621" spans="1:1" x14ac:dyDescent="0.2">
      <c r="A621" t="s">
        <v>6756</v>
      </c>
    </row>
    <row r="622" spans="1:1" x14ac:dyDescent="0.2">
      <c r="A622" t="s">
        <v>6757</v>
      </c>
    </row>
    <row r="623" spans="1:1" x14ac:dyDescent="0.2">
      <c r="A623" t="s">
        <v>6758</v>
      </c>
    </row>
    <row r="624" spans="1:1" x14ac:dyDescent="0.2">
      <c r="A624" t="s">
        <v>6759</v>
      </c>
    </row>
    <row r="625" spans="1:1" x14ac:dyDescent="0.2">
      <c r="A625" t="s">
        <v>6760</v>
      </c>
    </row>
    <row r="626" spans="1:1" x14ac:dyDescent="0.2">
      <c r="A626" t="s">
        <v>6761</v>
      </c>
    </row>
    <row r="627" spans="1:1" x14ac:dyDescent="0.2">
      <c r="A627" t="s">
        <v>6762</v>
      </c>
    </row>
    <row r="628" spans="1:1" x14ac:dyDescent="0.2">
      <c r="A628" t="s">
        <v>6763</v>
      </c>
    </row>
    <row r="629" spans="1:1" x14ac:dyDescent="0.2">
      <c r="A629" t="s">
        <v>6764</v>
      </c>
    </row>
    <row r="630" spans="1:1" x14ac:dyDescent="0.2">
      <c r="A630" t="s">
        <v>6765</v>
      </c>
    </row>
    <row r="631" spans="1:1" x14ac:dyDescent="0.2">
      <c r="A631" t="s">
        <v>6766</v>
      </c>
    </row>
    <row r="632" spans="1:1" x14ac:dyDescent="0.2">
      <c r="A632" t="s">
        <v>6767</v>
      </c>
    </row>
    <row r="633" spans="1:1" x14ac:dyDescent="0.2">
      <c r="A633" t="s">
        <v>6768</v>
      </c>
    </row>
    <row r="634" spans="1:1" x14ac:dyDescent="0.2">
      <c r="A634" t="s">
        <v>6769</v>
      </c>
    </row>
    <row r="635" spans="1:1" x14ac:dyDescent="0.2">
      <c r="A635" t="s">
        <v>6770</v>
      </c>
    </row>
    <row r="636" spans="1:1" x14ac:dyDescent="0.2">
      <c r="A636" t="s">
        <v>6771</v>
      </c>
    </row>
    <row r="637" spans="1:1" x14ac:dyDescent="0.2">
      <c r="A637" t="s">
        <v>6772</v>
      </c>
    </row>
    <row r="638" spans="1:1" x14ac:dyDescent="0.2">
      <c r="A638" t="s">
        <v>6773</v>
      </c>
    </row>
    <row r="639" spans="1:1" x14ac:dyDescent="0.2">
      <c r="A639" t="s">
        <v>6774</v>
      </c>
    </row>
    <row r="640" spans="1:1" x14ac:dyDescent="0.2">
      <c r="A640" t="s">
        <v>6775</v>
      </c>
    </row>
    <row r="641" spans="1:1" x14ac:dyDescent="0.2">
      <c r="A641" t="s">
        <v>6776</v>
      </c>
    </row>
    <row r="642" spans="1:1" x14ac:dyDescent="0.2">
      <c r="A642" t="s">
        <v>6777</v>
      </c>
    </row>
    <row r="643" spans="1:1" x14ac:dyDescent="0.2">
      <c r="A643" t="s">
        <v>6778</v>
      </c>
    </row>
    <row r="644" spans="1:1" x14ac:dyDescent="0.2">
      <c r="A644" t="s">
        <v>6779</v>
      </c>
    </row>
    <row r="645" spans="1:1" x14ac:dyDescent="0.2">
      <c r="A645" t="s">
        <v>6780</v>
      </c>
    </row>
    <row r="646" spans="1:1" x14ac:dyDescent="0.2">
      <c r="A646" t="s">
        <v>6781</v>
      </c>
    </row>
    <row r="647" spans="1:1" x14ac:dyDescent="0.2">
      <c r="A647" t="s">
        <v>6782</v>
      </c>
    </row>
    <row r="648" spans="1:1" x14ac:dyDescent="0.2">
      <c r="A648" t="s">
        <v>6783</v>
      </c>
    </row>
    <row r="649" spans="1:1" x14ac:dyDescent="0.2">
      <c r="A649" t="s">
        <v>6784</v>
      </c>
    </row>
    <row r="650" spans="1:1" x14ac:dyDescent="0.2">
      <c r="A650" t="s">
        <v>6785</v>
      </c>
    </row>
    <row r="651" spans="1:1" x14ac:dyDescent="0.2">
      <c r="A651" t="s">
        <v>6786</v>
      </c>
    </row>
    <row r="652" spans="1:1" x14ac:dyDescent="0.2">
      <c r="A652" t="s">
        <v>6787</v>
      </c>
    </row>
    <row r="653" spans="1:1" x14ac:dyDescent="0.2">
      <c r="A653" t="s">
        <v>6788</v>
      </c>
    </row>
    <row r="654" spans="1:1" x14ac:dyDescent="0.2">
      <c r="A654" t="s">
        <v>6789</v>
      </c>
    </row>
    <row r="655" spans="1:1" x14ac:dyDescent="0.2">
      <c r="A655" t="s">
        <v>6790</v>
      </c>
    </row>
    <row r="656" spans="1:1" x14ac:dyDescent="0.2">
      <c r="A656" t="s">
        <v>6791</v>
      </c>
    </row>
    <row r="657" spans="1:1" x14ac:dyDescent="0.2">
      <c r="A657" t="s">
        <v>6792</v>
      </c>
    </row>
    <row r="658" spans="1:1" x14ac:dyDescent="0.2">
      <c r="A658" t="s">
        <v>6793</v>
      </c>
    </row>
    <row r="659" spans="1:1" x14ac:dyDescent="0.2">
      <c r="A659" t="s">
        <v>6794</v>
      </c>
    </row>
    <row r="660" spans="1:1" x14ac:dyDescent="0.2">
      <c r="A660" t="s">
        <v>6795</v>
      </c>
    </row>
    <row r="661" spans="1:1" x14ac:dyDescent="0.2">
      <c r="A661" t="s">
        <v>6796</v>
      </c>
    </row>
    <row r="662" spans="1:1" x14ac:dyDescent="0.2">
      <c r="A662" t="s">
        <v>6797</v>
      </c>
    </row>
    <row r="663" spans="1:1" x14ac:dyDescent="0.2">
      <c r="A663" t="s">
        <v>6798</v>
      </c>
    </row>
    <row r="664" spans="1:1" x14ac:dyDescent="0.2">
      <c r="A664" t="s">
        <v>6799</v>
      </c>
    </row>
    <row r="665" spans="1:1" x14ac:dyDescent="0.2">
      <c r="A665" t="s">
        <v>6800</v>
      </c>
    </row>
    <row r="666" spans="1:1" x14ac:dyDescent="0.2">
      <c r="A666" t="s">
        <v>6801</v>
      </c>
    </row>
    <row r="667" spans="1:1" x14ac:dyDescent="0.2">
      <c r="A667" t="s">
        <v>6802</v>
      </c>
    </row>
    <row r="668" spans="1:1" x14ac:dyDescent="0.2">
      <c r="A668" t="s">
        <v>6803</v>
      </c>
    </row>
    <row r="669" spans="1:1" x14ac:dyDescent="0.2">
      <c r="A669" t="s">
        <v>6804</v>
      </c>
    </row>
    <row r="670" spans="1:1" x14ac:dyDescent="0.2">
      <c r="A670" t="s">
        <v>6805</v>
      </c>
    </row>
    <row r="671" spans="1:1" x14ac:dyDescent="0.2">
      <c r="A671" t="s">
        <v>6806</v>
      </c>
    </row>
    <row r="672" spans="1:1" x14ac:dyDescent="0.2">
      <c r="A672" t="s">
        <v>6807</v>
      </c>
    </row>
    <row r="673" spans="1:1" x14ac:dyDescent="0.2">
      <c r="A673" t="s">
        <v>6808</v>
      </c>
    </row>
    <row r="674" spans="1:1" x14ac:dyDescent="0.2">
      <c r="A674" t="s">
        <v>6809</v>
      </c>
    </row>
    <row r="675" spans="1:1" x14ac:dyDescent="0.2">
      <c r="A675" t="s">
        <v>6810</v>
      </c>
    </row>
    <row r="676" spans="1:1" x14ac:dyDescent="0.2">
      <c r="A676" t="s">
        <v>6811</v>
      </c>
    </row>
    <row r="677" spans="1:1" x14ac:dyDescent="0.2">
      <c r="A677" t="s">
        <v>6812</v>
      </c>
    </row>
    <row r="678" spans="1:1" x14ac:dyDescent="0.2">
      <c r="A678" t="s">
        <v>6813</v>
      </c>
    </row>
    <row r="679" spans="1:1" x14ac:dyDescent="0.2">
      <c r="A679" t="s">
        <v>6814</v>
      </c>
    </row>
    <row r="680" spans="1:1" x14ac:dyDescent="0.2">
      <c r="A680" t="s">
        <v>6815</v>
      </c>
    </row>
    <row r="681" spans="1:1" x14ac:dyDescent="0.2">
      <c r="A681" t="s">
        <v>6816</v>
      </c>
    </row>
    <row r="682" spans="1:1" x14ac:dyDescent="0.2">
      <c r="A682" t="s">
        <v>6817</v>
      </c>
    </row>
    <row r="683" spans="1:1" x14ac:dyDescent="0.2">
      <c r="A683" t="s">
        <v>6818</v>
      </c>
    </row>
    <row r="684" spans="1:1" x14ac:dyDescent="0.2">
      <c r="A684" t="s">
        <v>6819</v>
      </c>
    </row>
    <row r="685" spans="1:1" x14ac:dyDescent="0.2">
      <c r="A685" t="s">
        <v>6820</v>
      </c>
    </row>
    <row r="686" spans="1:1" x14ac:dyDescent="0.2">
      <c r="A686" t="s">
        <v>6821</v>
      </c>
    </row>
    <row r="687" spans="1:1" x14ac:dyDescent="0.2">
      <c r="A687" t="s">
        <v>6822</v>
      </c>
    </row>
    <row r="688" spans="1:1" x14ac:dyDescent="0.2">
      <c r="A688" t="s">
        <v>6823</v>
      </c>
    </row>
    <row r="689" spans="1:1" x14ac:dyDescent="0.2">
      <c r="A689" t="s">
        <v>6824</v>
      </c>
    </row>
    <row r="690" spans="1:1" x14ac:dyDescent="0.2">
      <c r="A690" t="s">
        <v>6825</v>
      </c>
    </row>
    <row r="691" spans="1:1" x14ac:dyDescent="0.2">
      <c r="A691" t="s">
        <v>6826</v>
      </c>
    </row>
    <row r="692" spans="1:1" x14ac:dyDescent="0.2">
      <c r="A692" t="s">
        <v>6827</v>
      </c>
    </row>
    <row r="693" spans="1:1" x14ac:dyDescent="0.2">
      <c r="A693" t="s">
        <v>6828</v>
      </c>
    </row>
    <row r="694" spans="1:1" x14ac:dyDescent="0.2">
      <c r="A694" t="s">
        <v>6829</v>
      </c>
    </row>
    <row r="695" spans="1:1" x14ac:dyDescent="0.2">
      <c r="A695" t="s">
        <v>6830</v>
      </c>
    </row>
    <row r="696" spans="1:1" x14ac:dyDescent="0.2">
      <c r="A696" t="s">
        <v>6831</v>
      </c>
    </row>
    <row r="697" spans="1:1" x14ac:dyDescent="0.2">
      <c r="A697" t="s">
        <v>6832</v>
      </c>
    </row>
    <row r="698" spans="1:1" x14ac:dyDescent="0.2">
      <c r="A698" t="s">
        <v>6833</v>
      </c>
    </row>
    <row r="699" spans="1:1" x14ac:dyDescent="0.2">
      <c r="A699" t="s">
        <v>6834</v>
      </c>
    </row>
    <row r="700" spans="1:1" x14ac:dyDescent="0.2">
      <c r="A700" t="s">
        <v>6835</v>
      </c>
    </row>
    <row r="701" spans="1:1" x14ac:dyDescent="0.2">
      <c r="A701" t="s">
        <v>6836</v>
      </c>
    </row>
    <row r="702" spans="1:1" x14ac:dyDescent="0.2">
      <c r="A702" t="s">
        <v>6837</v>
      </c>
    </row>
    <row r="703" spans="1:1" x14ac:dyDescent="0.2">
      <c r="A703" t="s">
        <v>6838</v>
      </c>
    </row>
    <row r="704" spans="1:1" x14ac:dyDescent="0.2">
      <c r="A704" t="s">
        <v>6839</v>
      </c>
    </row>
    <row r="705" spans="1:1" x14ac:dyDescent="0.2">
      <c r="A705" t="s">
        <v>6840</v>
      </c>
    </row>
    <row r="706" spans="1:1" x14ac:dyDescent="0.2">
      <c r="A706" t="s">
        <v>6841</v>
      </c>
    </row>
    <row r="707" spans="1:1" x14ac:dyDescent="0.2">
      <c r="A707" t="s">
        <v>6842</v>
      </c>
    </row>
    <row r="708" spans="1:1" x14ac:dyDescent="0.2">
      <c r="A708" t="s">
        <v>6843</v>
      </c>
    </row>
    <row r="709" spans="1:1" x14ac:dyDescent="0.2">
      <c r="A709" t="s">
        <v>6844</v>
      </c>
    </row>
    <row r="710" spans="1:1" x14ac:dyDescent="0.2">
      <c r="A710" t="s">
        <v>6845</v>
      </c>
    </row>
    <row r="711" spans="1:1" x14ac:dyDescent="0.2">
      <c r="A711" t="s">
        <v>6846</v>
      </c>
    </row>
    <row r="712" spans="1:1" x14ac:dyDescent="0.2">
      <c r="A712" t="s">
        <v>6847</v>
      </c>
    </row>
    <row r="713" spans="1:1" x14ac:dyDescent="0.2">
      <c r="A713" t="s">
        <v>6848</v>
      </c>
    </row>
    <row r="714" spans="1:1" x14ac:dyDescent="0.2">
      <c r="A714" t="s">
        <v>6849</v>
      </c>
    </row>
    <row r="715" spans="1:1" x14ac:dyDescent="0.2">
      <c r="A715" t="s">
        <v>6850</v>
      </c>
    </row>
    <row r="716" spans="1:1" x14ac:dyDescent="0.2">
      <c r="A716" t="s">
        <v>6851</v>
      </c>
    </row>
    <row r="717" spans="1:1" x14ac:dyDescent="0.2">
      <c r="A717" t="s">
        <v>6852</v>
      </c>
    </row>
    <row r="718" spans="1:1" x14ac:dyDescent="0.2">
      <c r="A718" t="s">
        <v>6853</v>
      </c>
    </row>
    <row r="719" spans="1:1" x14ac:dyDescent="0.2">
      <c r="A719" t="s">
        <v>6854</v>
      </c>
    </row>
    <row r="720" spans="1:1" x14ac:dyDescent="0.2">
      <c r="A720" t="s">
        <v>6855</v>
      </c>
    </row>
    <row r="721" spans="1:1" x14ac:dyDescent="0.2">
      <c r="A721" t="s">
        <v>6856</v>
      </c>
    </row>
    <row r="722" spans="1:1" x14ac:dyDescent="0.2">
      <c r="A722" t="s">
        <v>6857</v>
      </c>
    </row>
    <row r="723" spans="1:1" x14ac:dyDescent="0.2">
      <c r="A723" t="s">
        <v>6858</v>
      </c>
    </row>
    <row r="724" spans="1:1" x14ac:dyDescent="0.2">
      <c r="A724" t="s">
        <v>6859</v>
      </c>
    </row>
    <row r="725" spans="1:1" x14ac:dyDescent="0.2">
      <c r="A725" t="s">
        <v>6860</v>
      </c>
    </row>
    <row r="726" spans="1:1" x14ac:dyDescent="0.2">
      <c r="A726" t="s">
        <v>6861</v>
      </c>
    </row>
    <row r="727" spans="1:1" x14ac:dyDescent="0.2">
      <c r="A727" t="s">
        <v>6862</v>
      </c>
    </row>
    <row r="728" spans="1:1" x14ac:dyDescent="0.2">
      <c r="A728" t="s">
        <v>6863</v>
      </c>
    </row>
    <row r="729" spans="1:1" x14ac:dyDescent="0.2">
      <c r="A729" t="s">
        <v>6864</v>
      </c>
    </row>
    <row r="730" spans="1:1" x14ac:dyDescent="0.2">
      <c r="A730" t="s">
        <v>6865</v>
      </c>
    </row>
    <row r="731" spans="1:1" x14ac:dyDescent="0.2">
      <c r="A731" t="s">
        <v>6866</v>
      </c>
    </row>
    <row r="732" spans="1:1" x14ac:dyDescent="0.2">
      <c r="A732" t="s">
        <v>6867</v>
      </c>
    </row>
    <row r="733" spans="1:1" x14ac:dyDescent="0.2">
      <c r="A733" t="s">
        <v>6868</v>
      </c>
    </row>
    <row r="734" spans="1:1" x14ac:dyDescent="0.2">
      <c r="A734" t="s">
        <v>6869</v>
      </c>
    </row>
    <row r="735" spans="1:1" x14ac:dyDescent="0.2">
      <c r="A735" t="s">
        <v>6870</v>
      </c>
    </row>
    <row r="736" spans="1:1" x14ac:dyDescent="0.2">
      <c r="A736" t="s">
        <v>6871</v>
      </c>
    </row>
    <row r="737" spans="1:1" x14ac:dyDescent="0.2">
      <c r="A737" t="s">
        <v>6872</v>
      </c>
    </row>
    <row r="738" spans="1:1" x14ac:dyDescent="0.2">
      <c r="A738" t="s">
        <v>6873</v>
      </c>
    </row>
    <row r="739" spans="1:1" x14ac:dyDescent="0.2">
      <c r="A739" t="s">
        <v>6874</v>
      </c>
    </row>
    <row r="740" spans="1:1" x14ac:dyDescent="0.2">
      <c r="A740" t="s">
        <v>6875</v>
      </c>
    </row>
    <row r="741" spans="1:1" x14ac:dyDescent="0.2">
      <c r="A741" t="s">
        <v>6876</v>
      </c>
    </row>
    <row r="742" spans="1:1" x14ac:dyDescent="0.2">
      <c r="A742" t="s">
        <v>6877</v>
      </c>
    </row>
    <row r="743" spans="1:1" x14ac:dyDescent="0.2">
      <c r="A743" t="s">
        <v>6878</v>
      </c>
    </row>
    <row r="744" spans="1:1" x14ac:dyDescent="0.2">
      <c r="A744" t="s">
        <v>6879</v>
      </c>
    </row>
    <row r="745" spans="1:1" x14ac:dyDescent="0.2">
      <c r="A745" t="s">
        <v>6880</v>
      </c>
    </row>
    <row r="746" spans="1:1" x14ac:dyDescent="0.2">
      <c r="A746" t="s">
        <v>6881</v>
      </c>
    </row>
    <row r="747" spans="1:1" x14ac:dyDescent="0.2">
      <c r="A747" t="s">
        <v>6882</v>
      </c>
    </row>
    <row r="748" spans="1:1" x14ac:dyDescent="0.2">
      <c r="A748" t="s">
        <v>6883</v>
      </c>
    </row>
    <row r="749" spans="1:1" x14ac:dyDescent="0.2">
      <c r="A749" t="s">
        <v>6884</v>
      </c>
    </row>
    <row r="750" spans="1:1" x14ac:dyDescent="0.2">
      <c r="A750" t="s">
        <v>6885</v>
      </c>
    </row>
    <row r="751" spans="1:1" x14ac:dyDescent="0.2">
      <c r="A751" t="s">
        <v>6886</v>
      </c>
    </row>
    <row r="752" spans="1:1" x14ac:dyDescent="0.2">
      <c r="A752" t="s">
        <v>6887</v>
      </c>
    </row>
    <row r="753" spans="1:1" x14ac:dyDescent="0.2">
      <c r="A753" t="s">
        <v>6888</v>
      </c>
    </row>
    <row r="754" spans="1:1" x14ac:dyDescent="0.2">
      <c r="A754" t="s">
        <v>6889</v>
      </c>
    </row>
    <row r="755" spans="1:1" x14ac:dyDescent="0.2">
      <c r="A755" t="s">
        <v>6890</v>
      </c>
    </row>
    <row r="756" spans="1:1" x14ac:dyDescent="0.2">
      <c r="A756" t="s">
        <v>6891</v>
      </c>
    </row>
    <row r="757" spans="1:1" x14ac:dyDescent="0.2">
      <c r="A757" t="s">
        <v>6892</v>
      </c>
    </row>
    <row r="758" spans="1:1" x14ac:dyDescent="0.2">
      <c r="A758" t="s">
        <v>6893</v>
      </c>
    </row>
    <row r="759" spans="1:1" x14ac:dyDescent="0.2">
      <c r="A759" t="s">
        <v>6894</v>
      </c>
    </row>
    <row r="760" spans="1:1" x14ac:dyDescent="0.2">
      <c r="A760" t="s">
        <v>6895</v>
      </c>
    </row>
    <row r="761" spans="1:1" x14ac:dyDescent="0.2">
      <c r="A761" t="s">
        <v>6896</v>
      </c>
    </row>
    <row r="762" spans="1:1" x14ac:dyDescent="0.2">
      <c r="A762" t="s">
        <v>6897</v>
      </c>
    </row>
    <row r="763" spans="1:1" x14ac:dyDescent="0.2">
      <c r="A763" t="s">
        <v>6898</v>
      </c>
    </row>
    <row r="764" spans="1:1" x14ac:dyDescent="0.2">
      <c r="A764" t="s">
        <v>6899</v>
      </c>
    </row>
    <row r="765" spans="1:1" x14ac:dyDescent="0.2">
      <c r="A765" t="s">
        <v>6900</v>
      </c>
    </row>
    <row r="766" spans="1:1" x14ac:dyDescent="0.2">
      <c r="A766" t="s">
        <v>6901</v>
      </c>
    </row>
    <row r="767" spans="1:1" x14ac:dyDescent="0.2">
      <c r="A767" t="s">
        <v>6902</v>
      </c>
    </row>
    <row r="768" spans="1:1" x14ac:dyDescent="0.2">
      <c r="A768" t="s">
        <v>6903</v>
      </c>
    </row>
    <row r="769" spans="1:1" x14ac:dyDescent="0.2">
      <c r="A769" t="s">
        <v>6904</v>
      </c>
    </row>
    <row r="770" spans="1:1" x14ac:dyDescent="0.2">
      <c r="A770" t="s">
        <v>6905</v>
      </c>
    </row>
    <row r="771" spans="1:1" x14ac:dyDescent="0.2">
      <c r="A771" t="s">
        <v>6906</v>
      </c>
    </row>
    <row r="772" spans="1:1" x14ac:dyDescent="0.2">
      <c r="A772" t="s">
        <v>6907</v>
      </c>
    </row>
    <row r="773" spans="1:1" x14ac:dyDescent="0.2">
      <c r="A773" t="s">
        <v>6908</v>
      </c>
    </row>
    <row r="774" spans="1:1" x14ac:dyDescent="0.2">
      <c r="A774" t="s">
        <v>6909</v>
      </c>
    </row>
    <row r="775" spans="1:1" x14ac:dyDescent="0.2">
      <c r="A775" t="s">
        <v>6910</v>
      </c>
    </row>
    <row r="776" spans="1:1" x14ac:dyDescent="0.2">
      <c r="A776" t="s">
        <v>6911</v>
      </c>
    </row>
    <row r="777" spans="1:1" x14ac:dyDescent="0.2">
      <c r="A777" t="s">
        <v>6912</v>
      </c>
    </row>
    <row r="778" spans="1:1" x14ac:dyDescent="0.2">
      <c r="A778" t="s">
        <v>6913</v>
      </c>
    </row>
    <row r="779" spans="1:1" x14ac:dyDescent="0.2">
      <c r="A779" t="s">
        <v>6914</v>
      </c>
    </row>
    <row r="780" spans="1:1" x14ac:dyDescent="0.2">
      <c r="A780" t="s">
        <v>6915</v>
      </c>
    </row>
    <row r="781" spans="1:1" x14ac:dyDescent="0.2">
      <c r="A781" t="s">
        <v>6916</v>
      </c>
    </row>
    <row r="782" spans="1:1" x14ac:dyDescent="0.2">
      <c r="A782" t="s">
        <v>6917</v>
      </c>
    </row>
    <row r="783" spans="1:1" x14ac:dyDescent="0.2">
      <c r="A783" t="s">
        <v>6918</v>
      </c>
    </row>
    <row r="784" spans="1:1" x14ac:dyDescent="0.2">
      <c r="A784" t="s">
        <v>6919</v>
      </c>
    </row>
    <row r="785" spans="1:1" x14ac:dyDescent="0.2">
      <c r="A785" t="s">
        <v>6920</v>
      </c>
    </row>
    <row r="786" spans="1:1" x14ac:dyDescent="0.2">
      <c r="A786" t="s">
        <v>6921</v>
      </c>
    </row>
    <row r="787" spans="1:1" x14ac:dyDescent="0.2">
      <c r="A787" t="s">
        <v>6922</v>
      </c>
    </row>
    <row r="788" spans="1:1" x14ac:dyDescent="0.2">
      <c r="A788" t="s">
        <v>6923</v>
      </c>
    </row>
    <row r="789" spans="1:1" x14ac:dyDescent="0.2">
      <c r="A789" t="s">
        <v>6924</v>
      </c>
    </row>
    <row r="790" spans="1:1" x14ac:dyDescent="0.2">
      <c r="A790" t="s">
        <v>6925</v>
      </c>
    </row>
    <row r="791" spans="1:1" x14ac:dyDescent="0.2">
      <c r="A791" t="s">
        <v>6926</v>
      </c>
    </row>
    <row r="792" spans="1:1" x14ac:dyDescent="0.2">
      <c r="A792" t="s">
        <v>6927</v>
      </c>
    </row>
    <row r="793" spans="1:1" x14ac:dyDescent="0.2">
      <c r="A793" t="s">
        <v>6928</v>
      </c>
    </row>
    <row r="794" spans="1:1" x14ac:dyDescent="0.2">
      <c r="A794" t="s">
        <v>6929</v>
      </c>
    </row>
    <row r="795" spans="1:1" x14ac:dyDescent="0.2">
      <c r="A795" t="s">
        <v>6930</v>
      </c>
    </row>
    <row r="796" spans="1:1" x14ac:dyDescent="0.2">
      <c r="A796" t="s">
        <v>6931</v>
      </c>
    </row>
    <row r="797" spans="1:1" x14ac:dyDescent="0.2">
      <c r="A797" t="s">
        <v>6932</v>
      </c>
    </row>
    <row r="798" spans="1:1" x14ac:dyDescent="0.2">
      <c r="A798" t="s">
        <v>6933</v>
      </c>
    </row>
    <row r="799" spans="1:1" x14ac:dyDescent="0.2">
      <c r="A799" t="s">
        <v>6934</v>
      </c>
    </row>
    <row r="800" spans="1:1" x14ac:dyDescent="0.2">
      <c r="A800" t="s">
        <v>6935</v>
      </c>
    </row>
    <row r="801" spans="1:1" x14ac:dyDescent="0.2">
      <c r="A801" t="s">
        <v>6936</v>
      </c>
    </row>
    <row r="802" spans="1:1" x14ac:dyDescent="0.2">
      <c r="A802" t="s">
        <v>6937</v>
      </c>
    </row>
    <row r="803" spans="1:1" x14ac:dyDescent="0.2">
      <c r="A803" t="s">
        <v>6938</v>
      </c>
    </row>
    <row r="804" spans="1:1" x14ac:dyDescent="0.2">
      <c r="A804" t="s">
        <v>6939</v>
      </c>
    </row>
    <row r="805" spans="1:1" x14ac:dyDescent="0.2">
      <c r="A805" t="s">
        <v>6940</v>
      </c>
    </row>
    <row r="806" spans="1:1" x14ac:dyDescent="0.2">
      <c r="A806" t="s">
        <v>6941</v>
      </c>
    </row>
    <row r="807" spans="1:1" x14ac:dyDescent="0.2">
      <c r="A807" t="s">
        <v>6942</v>
      </c>
    </row>
    <row r="808" spans="1:1" x14ac:dyDescent="0.2">
      <c r="A808" t="s">
        <v>6943</v>
      </c>
    </row>
    <row r="809" spans="1:1" x14ac:dyDescent="0.2">
      <c r="A809" t="s">
        <v>6944</v>
      </c>
    </row>
    <row r="810" spans="1:1" x14ac:dyDescent="0.2">
      <c r="A810" t="s">
        <v>6945</v>
      </c>
    </row>
    <row r="811" spans="1:1" x14ac:dyDescent="0.2">
      <c r="A811" t="s">
        <v>6946</v>
      </c>
    </row>
    <row r="812" spans="1:1" x14ac:dyDescent="0.2">
      <c r="A812" t="s">
        <v>6947</v>
      </c>
    </row>
    <row r="813" spans="1:1" x14ac:dyDescent="0.2">
      <c r="A813" t="s">
        <v>6948</v>
      </c>
    </row>
    <row r="814" spans="1:1" x14ac:dyDescent="0.2">
      <c r="A814" t="s">
        <v>6949</v>
      </c>
    </row>
    <row r="815" spans="1:1" x14ac:dyDescent="0.2">
      <c r="A815" t="s">
        <v>6950</v>
      </c>
    </row>
    <row r="816" spans="1:1" x14ac:dyDescent="0.2">
      <c r="A816" t="s">
        <v>6951</v>
      </c>
    </row>
    <row r="817" spans="1:1" x14ac:dyDescent="0.2">
      <c r="A817" t="s">
        <v>6952</v>
      </c>
    </row>
    <row r="818" spans="1:1" x14ac:dyDescent="0.2">
      <c r="A818" t="s">
        <v>6953</v>
      </c>
    </row>
    <row r="819" spans="1:1" x14ac:dyDescent="0.2">
      <c r="A819" t="s">
        <v>6954</v>
      </c>
    </row>
    <row r="820" spans="1:1" x14ac:dyDescent="0.2">
      <c r="A820" t="s">
        <v>6955</v>
      </c>
    </row>
    <row r="821" spans="1:1" x14ac:dyDescent="0.2">
      <c r="A821" t="s">
        <v>6956</v>
      </c>
    </row>
    <row r="822" spans="1:1" x14ac:dyDescent="0.2">
      <c r="A822" t="s">
        <v>6957</v>
      </c>
    </row>
    <row r="823" spans="1:1" x14ac:dyDescent="0.2">
      <c r="A823" t="s">
        <v>6958</v>
      </c>
    </row>
    <row r="824" spans="1:1" x14ac:dyDescent="0.2">
      <c r="A824" t="s">
        <v>6959</v>
      </c>
    </row>
    <row r="825" spans="1:1" x14ac:dyDescent="0.2">
      <c r="A825" t="s">
        <v>6960</v>
      </c>
    </row>
    <row r="826" spans="1:1" x14ac:dyDescent="0.2">
      <c r="A826" t="s">
        <v>6961</v>
      </c>
    </row>
    <row r="827" spans="1:1" x14ac:dyDescent="0.2">
      <c r="A827" t="s">
        <v>6962</v>
      </c>
    </row>
    <row r="828" spans="1:1" x14ac:dyDescent="0.2">
      <c r="A828" t="s">
        <v>6963</v>
      </c>
    </row>
    <row r="829" spans="1:1" x14ac:dyDescent="0.2">
      <c r="A829" t="s">
        <v>6964</v>
      </c>
    </row>
    <row r="830" spans="1:1" x14ac:dyDescent="0.2">
      <c r="A830" t="s">
        <v>6965</v>
      </c>
    </row>
    <row r="831" spans="1:1" x14ac:dyDescent="0.2">
      <c r="A831" t="s">
        <v>6966</v>
      </c>
    </row>
    <row r="832" spans="1:1" x14ac:dyDescent="0.2">
      <c r="A832" t="s">
        <v>6967</v>
      </c>
    </row>
    <row r="833" spans="1:1" x14ac:dyDescent="0.2">
      <c r="A833" t="s">
        <v>6968</v>
      </c>
    </row>
    <row r="834" spans="1:1" x14ac:dyDescent="0.2">
      <c r="A834" t="s">
        <v>6969</v>
      </c>
    </row>
    <row r="835" spans="1:1" x14ac:dyDescent="0.2">
      <c r="A835" t="s">
        <v>6970</v>
      </c>
    </row>
    <row r="836" spans="1:1" x14ac:dyDescent="0.2">
      <c r="A836" t="s">
        <v>6971</v>
      </c>
    </row>
    <row r="837" spans="1:1" x14ac:dyDescent="0.2">
      <c r="A837" t="s">
        <v>6972</v>
      </c>
    </row>
    <row r="838" spans="1:1" x14ac:dyDescent="0.2">
      <c r="A838" t="s">
        <v>6973</v>
      </c>
    </row>
    <row r="839" spans="1:1" x14ac:dyDescent="0.2">
      <c r="A839" t="s">
        <v>6974</v>
      </c>
    </row>
    <row r="840" spans="1:1" x14ac:dyDescent="0.2">
      <c r="A840" t="s">
        <v>6975</v>
      </c>
    </row>
    <row r="841" spans="1:1" x14ac:dyDescent="0.2">
      <c r="A841" t="s">
        <v>6976</v>
      </c>
    </row>
    <row r="842" spans="1:1" x14ac:dyDescent="0.2">
      <c r="A842" t="s">
        <v>6977</v>
      </c>
    </row>
    <row r="843" spans="1:1" x14ac:dyDescent="0.2">
      <c r="A843" t="s">
        <v>6978</v>
      </c>
    </row>
    <row r="844" spans="1:1" x14ac:dyDescent="0.2">
      <c r="A844" t="s">
        <v>6979</v>
      </c>
    </row>
    <row r="845" spans="1:1" x14ac:dyDescent="0.2">
      <c r="A845" t="s">
        <v>6980</v>
      </c>
    </row>
    <row r="846" spans="1:1" x14ac:dyDescent="0.2">
      <c r="A846" t="s">
        <v>6981</v>
      </c>
    </row>
    <row r="847" spans="1:1" x14ac:dyDescent="0.2">
      <c r="A847" t="s">
        <v>6982</v>
      </c>
    </row>
    <row r="848" spans="1:1" x14ac:dyDescent="0.2">
      <c r="A848" t="s">
        <v>6983</v>
      </c>
    </row>
    <row r="849" spans="1:1" x14ac:dyDescent="0.2">
      <c r="A849" t="s">
        <v>6984</v>
      </c>
    </row>
    <row r="850" spans="1:1" x14ac:dyDescent="0.2">
      <c r="A850" t="s">
        <v>6985</v>
      </c>
    </row>
    <row r="851" spans="1:1" x14ac:dyDescent="0.2">
      <c r="A851" t="s">
        <v>6986</v>
      </c>
    </row>
    <row r="852" spans="1:1" x14ac:dyDescent="0.2">
      <c r="A852" t="s">
        <v>6987</v>
      </c>
    </row>
    <row r="853" spans="1:1" x14ac:dyDescent="0.2">
      <c r="A853" t="s">
        <v>6988</v>
      </c>
    </row>
    <row r="854" spans="1:1" x14ac:dyDescent="0.2">
      <c r="A854" t="s">
        <v>6989</v>
      </c>
    </row>
    <row r="855" spans="1:1" x14ac:dyDescent="0.2">
      <c r="A855" t="s">
        <v>6990</v>
      </c>
    </row>
    <row r="856" spans="1:1" x14ac:dyDescent="0.2">
      <c r="A856" t="s">
        <v>6991</v>
      </c>
    </row>
    <row r="857" spans="1:1" x14ac:dyDescent="0.2">
      <c r="A857" t="s">
        <v>6992</v>
      </c>
    </row>
    <row r="858" spans="1:1" x14ac:dyDescent="0.2">
      <c r="A858" t="s">
        <v>6993</v>
      </c>
    </row>
    <row r="859" spans="1:1" x14ac:dyDescent="0.2">
      <c r="A859" t="s">
        <v>6994</v>
      </c>
    </row>
    <row r="860" spans="1:1" x14ac:dyDescent="0.2">
      <c r="A860" t="s">
        <v>6995</v>
      </c>
    </row>
    <row r="861" spans="1:1" x14ac:dyDescent="0.2">
      <c r="A861" t="s">
        <v>6996</v>
      </c>
    </row>
    <row r="862" spans="1:1" x14ac:dyDescent="0.2">
      <c r="A862" t="s">
        <v>6997</v>
      </c>
    </row>
    <row r="863" spans="1:1" x14ac:dyDescent="0.2">
      <c r="A863" t="s">
        <v>6998</v>
      </c>
    </row>
    <row r="864" spans="1:1" x14ac:dyDescent="0.2">
      <c r="A864" t="s">
        <v>6999</v>
      </c>
    </row>
    <row r="865" spans="1:1" x14ac:dyDescent="0.2">
      <c r="A865" t="s">
        <v>7000</v>
      </c>
    </row>
    <row r="866" spans="1:1" x14ac:dyDescent="0.2">
      <c r="A866" t="s">
        <v>7001</v>
      </c>
    </row>
    <row r="867" spans="1:1" x14ac:dyDescent="0.2">
      <c r="A867" t="s">
        <v>7002</v>
      </c>
    </row>
    <row r="868" spans="1:1" x14ac:dyDescent="0.2">
      <c r="A868" t="s">
        <v>7003</v>
      </c>
    </row>
    <row r="869" spans="1:1" x14ac:dyDescent="0.2">
      <c r="A869" t="s">
        <v>7004</v>
      </c>
    </row>
    <row r="870" spans="1:1" x14ac:dyDescent="0.2">
      <c r="A870" t="s">
        <v>7005</v>
      </c>
    </row>
    <row r="871" spans="1:1" x14ac:dyDescent="0.2">
      <c r="A871" t="s">
        <v>7006</v>
      </c>
    </row>
    <row r="872" spans="1:1" x14ac:dyDescent="0.2">
      <c r="A872" t="s">
        <v>7007</v>
      </c>
    </row>
    <row r="873" spans="1:1" x14ac:dyDescent="0.2">
      <c r="A873" t="s">
        <v>7008</v>
      </c>
    </row>
    <row r="874" spans="1:1" x14ac:dyDescent="0.2">
      <c r="A874" t="s">
        <v>7009</v>
      </c>
    </row>
    <row r="875" spans="1:1" x14ac:dyDescent="0.2">
      <c r="A875" t="s">
        <v>7010</v>
      </c>
    </row>
    <row r="876" spans="1:1" x14ac:dyDescent="0.2">
      <c r="A876" t="s">
        <v>7011</v>
      </c>
    </row>
    <row r="877" spans="1:1" x14ac:dyDescent="0.2">
      <c r="A877" t="s">
        <v>7012</v>
      </c>
    </row>
    <row r="878" spans="1:1" x14ac:dyDescent="0.2">
      <c r="A878" t="s">
        <v>7013</v>
      </c>
    </row>
    <row r="879" spans="1:1" x14ac:dyDescent="0.2">
      <c r="A879" t="s">
        <v>7014</v>
      </c>
    </row>
    <row r="880" spans="1:1" x14ac:dyDescent="0.2">
      <c r="A880" t="s">
        <v>7015</v>
      </c>
    </row>
    <row r="881" spans="1:1" x14ac:dyDescent="0.2">
      <c r="A881" t="s">
        <v>7016</v>
      </c>
    </row>
    <row r="882" spans="1:1" x14ac:dyDescent="0.2">
      <c r="A882" t="s">
        <v>7017</v>
      </c>
    </row>
    <row r="883" spans="1:1" x14ac:dyDescent="0.2">
      <c r="A883" t="s">
        <v>7018</v>
      </c>
    </row>
    <row r="884" spans="1:1" x14ac:dyDescent="0.2">
      <c r="A884" t="s">
        <v>7019</v>
      </c>
    </row>
    <row r="885" spans="1:1" x14ac:dyDescent="0.2">
      <c r="A885" t="s">
        <v>7020</v>
      </c>
    </row>
    <row r="886" spans="1:1" x14ac:dyDescent="0.2">
      <c r="A886" t="s">
        <v>7021</v>
      </c>
    </row>
    <row r="887" spans="1:1" x14ac:dyDescent="0.2">
      <c r="A887" t="s">
        <v>7022</v>
      </c>
    </row>
    <row r="888" spans="1:1" x14ac:dyDescent="0.2">
      <c r="A888" t="s">
        <v>7023</v>
      </c>
    </row>
    <row r="889" spans="1:1" x14ac:dyDescent="0.2">
      <c r="A889" t="s">
        <v>7024</v>
      </c>
    </row>
    <row r="890" spans="1:1" x14ac:dyDescent="0.2">
      <c r="A890" t="s">
        <v>7025</v>
      </c>
    </row>
    <row r="891" spans="1:1" x14ac:dyDescent="0.2">
      <c r="A891" t="s">
        <v>7026</v>
      </c>
    </row>
    <row r="892" spans="1:1" x14ac:dyDescent="0.2">
      <c r="A892" t="s">
        <v>7027</v>
      </c>
    </row>
    <row r="893" spans="1:1" x14ac:dyDescent="0.2">
      <c r="A893" t="s">
        <v>7028</v>
      </c>
    </row>
    <row r="894" spans="1:1" x14ac:dyDescent="0.2">
      <c r="A894" t="s">
        <v>7029</v>
      </c>
    </row>
    <row r="895" spans="1:1" x14ac:dyDescent="0.2">
      <c r="A895" t="s">
        <v>7030</v>
      </c>
    </row>
    <row r="896" spans="1:1" x14ac:dyDescent="0.2">
      <c r="A896" t="s">
        <v>7031</v>
      </c>
    </row>
    <row r="897" spans="1:1" x14ac:dyDescent="0.2">
      <c r="A897" t="s">
        <v>7032</v>
      </c>
    </row>
    <row r="898" spans="1:1" x14ac:dyDescent="0.2">
      <c r="A898" t="s">
        <v>7033</v>
      </c>
    </row>
    <row r="899" spans="1:1" x14ac:dyDescent="0.2">
      <c r="A899" t="s">
        <v>7034</v>
      </c>
    </row>
    <row r="900" spans="1:1" x14ac:dyDescent="0.2">
      <c r="A900" t="s">
        <v>7035</v>
      </c>
    </row>
    <row r="901" spans="1:1" x14ac:dyDescent="0.2">
      <c r="A901" t="s">
        <v>7036</v>
      </c>
    </row>
    <row r="902" spans="1:1" x14ac:dyDescent="0.2">
      <c r="A902" t="s">
        <v>7037</v>
      </c>
    </row>
    <row r="903" spans="1:1" x14ac:dyDescent="0.2">
      <c r="A903" t="s">
        <v>7038</v>
      </c>
    </row>
    <row r="904" spans="1:1" x14ac:dyDescent="0.2">
      <c r="A904" t="s">
        <v>7039</v>
      </c>
    </row>
    <row r="905" spans="1:1" x14ac:dyDescent="0.2">
      <c r="A905" t="s">
        <v>7040</v>
      </c>
    </row>
    <row r="906" spans="1:1" x14ac:dyDescent="0.2">
      <c r="A906" t="s">
        <v>7041</v>
      </c>
    </row>
    <row r="907" spans="1:1" x14ac:dyDescent="0.2">
      <c r="A907" t="s">
        <v>7042</v>
      </c>
    </row>
    <row r="908" spans="1:1" x14ac:dyDescent="0.2">
      <c r="A908" t="s">
        <v>7043</v>
      </c>
    </row>
    <row r="909" spans="1:1" x14ac:dyDescent="0.2">
      <c r="A909" t="s">
        <v>7044</v>
      </c>
    </row>
    <row r="910" spans="1:1" x14ac:dyDescent="0.2">
      <c r="A910" t="s">
        <v>7045</v>
      </c>
    </row>
    <row r="911" spans="1:1" x14ac:dyDescent="0.2">
      <c r="A911" t="s">
        <v>7046</v>
      </c>
    </row>
    <row r="912" spans="1:1" x14ac:dyDescent="0.2">
      <c r="A912" t="s">
        <v>7047</v>
      </c>
    </row>
    <row r="913" spans="1:1" x14ac:dyDescent="0.2">
      <c r="A913" t="s">
        <v>7048</v>
      </c>
    </row>
    <row r="914" spans="1:1" x14ac:dyDescent="0.2">
      <c r="A914" t="s">
        <v>7049</v>
      </c>
    </row>
    <row r="915" spans="1:1" x14ac:dyDescent="0.2">
      <c r="A915" t="s">
        <v>7050</v>
      </c>
    </row>
    <row r="916" spans="1:1" x14ac:dyDescent="0.2">
      <c r="A916" t="s">
        <v>7051</v>
      </c>
    </row>
    <row r="917" spans="1:1" x14ac:dyDescent="0.2">
      <c r="A917" t="s">
        <v>7052</v>
      </c>
    </row>
    <row r="918" spans="1:1" x14ac:dyDescent="0.2">
      <c r="A918" t="s">
        <v>7053</v>
      </c>
    </row>
    <row r="919" spans="1:1" x14ac:dyDescent="0.2">
      <c r="A919" t="s">
        <v>7054</v>
      </c>
    </row>
    <row r="920" spans="1:1" x14ac:dyDescent="0.2">
      <c r="A920" t="s">
        <v>7055</v>
      </c>
    </row>
    <row r="921" spans="1:1" x14ac:dyDescent="0.2">
      <c r="A921" t="s">
        <v>7056</v>
      </c>
    </row>
    <row r="922" spans="1:1" x14ac:dyDescent="0.2">
      <c r="A922" t="s">
        <v>7057</v>
      </c>
    </row>
    <row r="923" spans="1:1" x14ac:dyDescent="0.2">
      <c r="A923" t="s">
        <v>7058</v>
      </c>
    </row>
    <row r="924" spans="1:1" x14ac:dyDescent="0.2">
      <c r="A924" t="s">
        <v>7059</v>
      </c>
    </row>
    <row r="925" spans="1:1" x14ac:dyDescent="0.2">
      <c r="A925" t="s">
        <v>7060</v>
      </c>
    </row>
    <row r="926" spans="1:1" x14ac:dyDescent="0.2">
      <c r="A926" t="s">
        <v>7061</v>
      </c>
    </row>
    <row r="927" spans="1:1" x14ac:dyDescent="0.2">
      <c r="A927" t="s">
        <v>7062</v>
      </c>
    </row>
    <row r="928" spans="1:1" x14ac:dyDescent="0.2">
      <c r="A928" t="s">
        <v>7063</v>
      </c>
    </row>
    <row r="929" spans="1:1" x14ac:dyDescent="0.2">
      <c r="A929" t="s">
        <v>7064</v>
      </c>
    </row>
    <row r="930" spans="1:1" x14ac:dyDescent="0.2">
      <c r="A930" t="s">
        <v>7065</v>
      </c>
    </row>
    <row r="931" spans="1:1" x14ac:dyDescent="0.2">
      <c r="A931" t="s">
        <v>7066</v>
      </c>
    </row>
    <row r="932" spans="1:1" x14ac:dyDescent="0.2">
      <c r="A932" t="s">
        <v>7067</v>
      </c>
    </row>
    <row r="933" spans="1:1" x14ac:dyDescent="0.2">
      <c r="A933" t="s">
        <v>7068</v>
      </c>
    </row>
    <row r="934" spans="1:1" x14ac:dyDescent="0.2">
      <c r="A934" t="s">
        <v>7069</v>
      </c>
    </row>
    <row r="935" spans="1:1" x14ac:dyDescent="0.2">
      <c r="A935" t="s">
        <v>7070</v>
      </c>
    </row>
    <row r="936" spans="1:1" x14ac:dyDescent="0.2">
      <c r="A936" t="s">
        <v>7071</v>
      </c>
    </row>
    <row r="937" spans="1:1" x14ac:dyDescent="0.2">
      <c r="A937" t="s">
        <v>7072</v>
      </c>
    </row>
    <row r="938" spans="1:1" x14ac:dyDescent="0.2">
      <c r="A938" t="s">
        <v>7073</v>
      </c>
    </row>
    <row r="939" spans="1:1" x14ac:dyDescent="0.2">
      <c r="A939" t="s">
        <v>7074</v>
      </c>
    </row>
    <row r="940" spans="1:1" x14ac:dyDescent="0.2">
      <c r="A940" t="s">
        <v>7075</v>
      </c>
    </row>
    <row r="941" spans="1:1" x14ac:dyDescent="0.2">
      <c r="A941" t="s">
        <v>7076</v>
      </c>
    </row>
    <row r="942" spans="1:1" x14ac:dyDescent="0.2">
      <c r="A942" t="s">
        <v>7077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4979</v>
      </c>
    </row>
    <row r="2" spans="1:1" x14ac:dyDescent="0.2">
      <c r="A2" t="s">
        <v>4980</v>
      </c>
    </row>
    <row r="3" spans="1:1" x14ac:dyDescent="0.2">
      <c r="A3" t="s">
        <v>4981</v>
      </c>
    </row>
    <row r="4" spans="1:1" x14ac:dyDescent="0.2">
      <c r="A4" t="s">
        <v>4982</v>
      </c>
    </row>
    <row r="5" spans="1:1" x14ac:dyDescent="0.2">
      <c r="A5" t="s">
        <v>4983</v>
      </c>
    </row>
    <row r="6" spans="1:1" x14ac:dyDescent="0.2">
      <c r="A6" t="s">
        <v>4984</v>
      </c>
    </row>
    <row r="7" spans="1:1" x14ac:dyDescent="0.2">
      <c r="A7" t="s">
        <v>4985</v>
      </c>
    </row>
    <row r="8" spans="1:1" x14ac:dyDescent="0.2">
      <c r="A8" t="s">
        <v>4986</v>
      </c>
    </row>
    <row r="9" spans="1:1" x14ac:dyDescent="0.2">
      <c r="A9" t="s">
        <v>4987</v>
      </c>
    </row>
    <row r="10" spans="1:1" x14ac:dyDescent="0.2">
      <c r="A10" t="s">
        <v>4988</v>
      </c>
    </row>
    <row r="11" spans="1:1" x14ac:dyDescent="0.2">
      <c r="A11" t="s">
        <v>4989</v>
      </c>
    </row>
    <row r="12" spans="1:1" x14ac:dyDescent="0.2">
      <c r="A12" t="s">
        <v>4990</v>
      </c>
    </row>
    <row r="13" spans="1:1" x14ac:dyDescent="0.2">
      <c r="A13" t="s">
        <v>4991</v>
      </c>
    </row>
    <row r="14" spans="1:1" x14ac:dyDescent="0.2">
      <c r="A14" t="s">
        <v>4992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G48" sqref="G48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2779</v>
      </c>
      <c r="E1" s="209" t="s">
        <v>892</v>
      </c>
      <c r="G1" s="212"/>
      <c r="H1" s="209" t="s">
        <v>2779</v>
      </c>
      <c r="I1" s="209" t="s">
        <v>892</v>
      </c>
      <c r="K1" s="209" t="s">
        <v>3528</v>
      </c>
      <c r="L1" s="209" t="s">
        <v>3529</v>
      </c>
      <c r="M1" s="209" t="s">
        <v>117</v>
      </c>
      <c r="P1" s="212" t="s">
        <v>3530</v>
      </c>
    </row>
    <row r="2" spans="1:18" ht="13.5" thickBot="1" x14ac:dyDescent="0.25">
      <c r="A2" s="209" t="s">
        <v>888</v>
      </c>
      <c r="B2" t="b">
        <v>1</v>
      </c>
      <c r="D2" s="208" t="s">
        <v>5393</v>
      </c>
      <c r="E2" s="209" t="s">
        <v>2780</v>
      </c>
      <c r="G2" s="209" t="s">
        <v>3525</v>
      </c>
      <c r="H2" s="350" t="s">
        <v>3518</v>
      </c>
      <c r="I2" s="350" t="s">
        <v>3518</v>
      </c>
      <c r="K2" s="209" t="s">
        <v>3531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5394</v>
      </c>
      <c r="E3" s="209" t="s">
        <v>2781</v>
      </c>
      <c r="G3" s="209" t="s">
        <v>3522</v>
      </c>
      <c r="H3" s="370" t="s">
        <v>3522</v>
      </c>
      <c r="I3" s="370" t="s">
        <v>3522</v>
      </c>
      <c r="K3" s="209" t="s">
        <v>3531</v>
      </c>
      <c r="L3" s="209" t="s">
        <v>3522</v>
      </c>
      <c r="M3" s="208" t="e">
        <f>P3:R3</f>
        <v>#VALUE!</v>
      </c>
      <c r="N3" s="208"/>
      <c r="O3" s="208"/>
      <c r="P3" s="411" t="s">
        <v>3530</v>
      </c>
      <c r="Q3" s="411" t="s">
        <v>3522</v>
      </c>
      <c r="R3" s="410"/>
    </row>
    <row r="4" spans="1:18" ht="13.5" thickTop="1" x14ac:dyDescent="0.2">
      <c r="A4" s="209" t="s">
        <v>890</v>
      </c>
      <c r="B4" s="209" t="s">
        <v>892</v>
      </c>
      <c r="C4" s="208"/>
      <c r="D4" s="208" t="s">
        <v>5395</v>
      </c>
      <c r="E4" s="209" t="s">
        <v>2782</v>
      </c>
      <c r="G4" s="209" t="s">
        <v>3521</v>
      </c>
      <c r="H4" s="673" t="s">
        <v>3521</v>
      </c>
      <c r="I4" s="673" t="s">
        <v>3521</v>
      </c>
      <c r="K4" s="209" t="s">
        <v>3531</v>
      </c>
      <c r="L4" s="209" t="s">
        <v>3521</v>
      </c>
      <c r="M4" s="208" t="e">
        <f t="shared" ref="M4:M9" si="0">P4:R4</f>
        <v>#VALUE!</v>
      </c>
      <c r="N4" s="208"/>
      <c r="O4" s="208"/>
      <c r="P4" s="675" t="s">
        <v>3530</v>
      </c>
      <c r="Q4" s="675" t="s">
        <v>3521</v>
      </c>
      <c r="R4" s="675"/>
    </row>
    <row r="5" spans="1:18" x14ac:dyDescent="0.2">
      <c r="A5" s="209" t="s">
        <v>891</v>
      </c>
      <c r="B5" s="209" t="s">
        <v>893</v>
      </c>
      <c r="C5" s="208"/>
      <c r="D5" s="208" t="s">
        <v>5396</v>
      </c>
      <c r="E5" s="209" t="s">
        <v>2783</v>
      </c>
      <c r="G5" s="209" t="s">
        <v>3519</v>
      </c>
      <c r="H5" s="643" t="s">
        <v>3519</v>
      </c>
      <c r="I5" s="643" t="s">
        <v>3519</v>
      </c>
      <c r="K5" s="209" t="s">
        <v>3531</v>
      </c>
      <c r="L5" s="209" t="s">
        <v>3519</v>
      </c>
      <c r="M5" s="208" t="e">
        <f t="shared" si="0"/>
        <v>#VALUE!</v>
      </c>
      <c r="N5" s="208"/>
      <c r="O5" s="208"/>
      <c r="P5" s="644" t="s">
        <v>3530</v>
      </c>
      <c r="Q5" s="644" t="s">
        <v>3519</v>
      </c>
      <c r="R5" s="644"/>
    </row>
    <row r="6" spans="1:18" x14ac:dyDescent="0.2">
      <c r="A6" s="209" t="s">
        <v>894</v>
      </c>
      <c r="B6" s="209" t="s">
        <v>3530</v>
      </c>
      <c r="C6" s="208"/>
      <c r="D6" s="208" t="s">
        <v>5397</v>
      </c>
      <c r="E6" s="209" t="s">
        <v>2784</v>
      </c>
      <c r="G6" s="209" t="s">
        <v>3520</v>
      </c>
      <c r="H6" s="674" t="s">
        <v>3520</v>
      </c>
      <c r="I6" s="674" t="s">
        <v>3520</v>
      </c>
      <c r="K6" s="209" t="s">
        <v>3531</v>
      </c>
      <c r="L6" s="209" t="s">
        <v>3520</v>
      </c>
      <c r="M6" s="208" t="e">
        <f t="shared" si="0"/>
        <v>#VALUE!</v>
      </c>
      <c r="N6" s="208"/>
      <c r="O6" s="208"/>
      <c r="P6" s="687" t="s">
        <v>3530</v>
      </c>
      <c r="Q6" s="687" t="s">
        <v>3520</v>
      </c>
      <c r="R6" s="687"/>
    </row>
    <row r="7" spans="1:18" x14ac:dyDescent="0.2">
      <c r="A7" s="209" t="s">
        <v>895</v>
      </c>
      <c r="B7" t="s">
        <v>896</v>
      </c>
      <c r="C7" s="208"/>
      <c r="D7" s="208" t="s">
        <v>5398</v>
      </c>
      <c r="E7" s="209" t="s">
        <v>2785</v>
      </c>
      <c r="G7" s="209" t="s">
        <v>3523</v>
      </c>
      <c r="H7" s="706" t="s">
        <v>3523</v>
      </c>
      <c r="I7" s="706" t="s">
        <v>3523</v>
      </c>
      <c r="K7" s="209" t="s">
        <v>3531</v>
      </c>
      <c r="L7" s="209" t="s">
        <v>3523</v>
      </c>
      <c r="M7" s="208" t="e">
        <f t="shared" si="0"/>
        <v>#VALUE!</v>
      </c>
      <c r="N7" s="208"/>
      <c r="O7" s="208"/>
      <c r="P7" s="707" t="s">
        <v>3530</v>
      </c>
      <c r="Q7" s="707" t="s">
        <v>3523</v>
      </c>
      <c r="R7" s="707"/>
    </row>
    <row r="8" spans="1:18" x14ac:dyDescent="0.2">
      <c r="A8" s="209" t="s">
        <v>897</v>
      </c>
      <c r="B8" s="209" t="s">
        <v>898</v>
      </c>
      <c r="C8" s="208"/>
      <c r="D8" s="208" t="s">
        <v>5399</v>
      </c>
      <c r="E8" s="209" t="s">
        <v>2786</v>
      </c>
      <c r="G8" s="209" t="s">
        <v>3526</v>
      </c>
      <c r="H8" s="351" t="s">
        <v>89</v>
      </c>
      <c r="I8" s="351" t="s">
        <v>89</v>
      </c>
      <c r="K8" s="209" t="s">
        <v>3531</v>
      </c>
      <c r="L8" s="209" t="s">
        <v>3526</v>
      </c>
      <c r="M8" s="208" t="e">
        <f t="shared" si="0"/>
        <v>#VALUE!</v>
      </c>
      <c r="N8" s="208"/>
      <c r="O8" s="208"/>
      <c r="P8" s="368" t="s">
        <v>3530</v>
      </c>
      <c r="Q8" s="368" t="s">
        <v>3526</v>
      </c>
      <c r="R8" s="368"/>
    </row>
    <row r="9" spans="1:18" x14ac:dyDescent="0.2">
      <c r="A9" s="209" t="s">
        <v>899</v>
      </c>
      <c r="B9" t="s">
        <v>4977</v>
      </c>
      <c r="C9" s="208"/>
      <c r="D9" s="208" t="s">
        <v>5400</v>
      </c>
      <c r="E9" s="209" t="s">
        <v>2787</v>
      </c>
      <c r="G9" s="209" t="s">
        <v>3524</v>
      </c>
      <c r="H9" s="352" t="s">
        <v>3524</v>
      </c>
      <c r="I9" s="352" t="s">
        <v>3524</v>
      </c>
      <c r="K9" s="209" t="s">
        <v>3531</v>
      </c>
      <c r="L9" s="209" t="s">
        <v>3524</v>
      </c>
      <c r="M9" s="208" t="e">
        <f t="shared" si="0"/>
        <v>#VALUE!</v>
      </c>
      <c r="N9" s="208"/>
      <c r="O9" s="208"/>
      <c r="P9" s="369" t="s">
        <v>3530</v>
      </c>
      <c r="Q9" s="369" t="s">
        <v>3524</v>
      </c>
      <c r="R9" s="369"/>
    </row>
    <row r="10" spans="1:18" x14ac:dyDescent="0.2">
      <c r="A10" s="209" t="s">
        <v>902</v>
      </c>
      <c r="B10" s="209" t="s">
        <v>4978</v>
      </c>
      <c r="C10" s="208"/>
      <c r="D10" s="208" t="s">
        <v>5401</v>
      </c>
      <c r="E10" s="209" t="s">
        <v>2788</v>
      </c>
      <c r="G10" s="209" t="s">
        <v>4532</v>
      </c>
      <c r="H10" s="503" t="s">
        <v>4532</v>
      </c>
      <c r="I10" s="503" t="s">
        <v>4532</v>
      </c>
      <c r="K10" s="209" t="s">
        <v>3527</v>
      </c>
      <c r="L10" s="209" t="s">
        <v>3525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5402</v>
      </c>
      <c r="E11" s="209" t="s">
        <v>2789</v>
      </c>
      <c r="G11" s="209" t="s">
        <v>3514</v>
      </c>
      <c r="H11" s="504" t="s">
        <v>3514</v>
      </c>
      <c r="I11" s="504" t="s">
        <v>3514</v>
      </c>
      <c r="K11" s="209" t="s">
        <v>3527</v>
      </c>
      <c r="L11" s="209" t="s">
        <v>3522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5403</v>
      </c>
      <c r="E12" s="209" t="s">
        <v>2790</v>
      </c>
      <c r="G12" s="209" t="s">
        <v>3515</v>
      </c>
      <c r="H12" s="505" t="s">
        <v>3515</v>
      </c>
      <c r="I12" s="505" t="s">
        <v>3515</v>
      </c>
      <c r="K12" s="209" t="s">
        <v>3527</v>
      </c>
      <c r="L12" s="209" t="s">
        <v>3521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5404</v>
      </c>
      <c r="E13" s="209" t="s">
        <v>2791</v>
      </c>
      <c r="K13" s="209" t="s">
        <v>3527</v>
      </c>
      <c r="L13" s="209" t="s">
        <v>3519</v>
      </c>
      <c r="M13" s="214" t="e">
        <f>PedGuiMedIV!B1:O5</f>
        <v>#VALUE!</v>
      </c>
    </row>
    <row r="14" spans="1:18" x14ac:dyDescent="0.2">
      <c r="D14" s="208" t="s">
        <v>5405</v>
      </c>
      <c r="E14" s="209" t="s">
        <v>2792</v>
      </c>
      <c r="K14" s="209" t="s">
        <v>3527</v>
      </c>
      <c r="L14" s="209" t="s">
        <v>3520</v>
      </c>
      <c r="M14" t="str">
        <f>PedGuiMedIV!B7:O7</f>
        <v>Adviesdosering</v>
      </c>
    </row>
    <row r="15" spans="1:18" x14ac:dyDescent="0.2">
      <c r="D15" s="208" t="s">
        <v>5406</v>
      </c>
      <c r="E15" s="209" t="s">
        <v>2793</v>
      </c>
      <c r="K15" s="209" t="s">
        <v>3527</v>
      </c>
      <c r="L15" s="209" t="s">
        <v>3523</v>
      </c>
      <c r="M15" s="214" t="e">
        <f>PedGuiMedIV!B35:O42</f>
        <v>#VALUE!</v>
      </c>
    </row>
    <row r="16" spans="1:18" x14ac:dyDescent="0.2">
      <c r="D16" s="208" t="s">
        <v>5407</v>
      </c>
      <c r="E16" s="209" t="s">
        <v>2794</v>
      </c>
      <c r="K16" s="209" t="s">
        <v>3527</v>
      </c>
      <c r="L16" s="209" t="s">
        <v>3526</v>
      </c>
    </row>
    <row r="17" spans="4:13" x14ac:dyDescent="0.2">
      <c r="D17" s="208" t="s">
        <v>5408</v>
      </c>
      <c r="E17" s="209" t="s">
        <v>2795</v>
      </c>
      <c r="K17" s="209" t="s">
        <v>3527</v>
      </c>
      <c r="L17" s="209" t="s">
        <v>3524</v>
      </c>
    </row>
    <row r="18" spans="4:13" x14ac:dyDescent="0.2">
      <c r="D18" s="208" t="s">
        <v>5409</v>
      </c>
      <c r="E18" s="209" t="s">
        <v>5232</v>
      </c>
      <c r="K18" s="209" t="s">
        <v>3532</v>
      </c>
      <c r="L18" s="209" t="s">
        <v>3525</v>
      </c>
      <c r="M18">
        <f>GlobGuiMedDisc!A1</f>
        <v>0</v>
      </c>
    </row>
    <row r="19" spans="4:13" x14ac:dyDescent="0.2">
      <c r="D19" s="208" t="s">
        <v>5410</v>
      </c>
      <c r="E19" s="209" t="s">
        <v>2796</v>
      </c>
      <c r="K19" s="209" t="s">
        <v>3532</v>
      </c>
      <c r="L19" s="209" t="s">
        <v>3522</v>
      </c>
      <c r="M19" t="str">
        <f>GlobGuiMedDisc!E9:T38</f>
        <v/>
      </c>
    </row>
    <row r="20" spans="4:13" x14ac:dyDescent="0.2">
      <c r="D20" t="s">
        <v>5411</v>
      </c>
      <c r="E20" s="209" t="s">
        <v>2797</v>
      </c>
      <c r="H20" s="218"/>
      <c r="K20" s="209" t="s">
        <v>3532</v>
      </c>
      <c r="L20" s="209" t="s">
        <v>3521</v>
      </c>
      <c r="M20">
        <f>GlobGuiMedDisc!D9:D38</f>
        <v>12</v>
      </c>
    </row>
    <row r="21" spans="4:13" x14ac:dyDescent="0.2">
      <c r="D21" t="s">
        <v>5412</v>
      </c>
      <c r="E21" s="209" t="s">
        <v>2798</v>
      </c>
      <c r="K21" s="209" t="s">
        <v>3532</v>
      </c>
      <c r="L21" s="209" t="s">
        <v>3519</v>
      </c>
      <c r="M21" t="e">
        <f>GlobGuiMedDisc!B1:T5</f>
        <v>#VALUE!</v>
      </c>
    </row>
    <row r="22" spans="4:13" x14ac:dyDescent="0.2">
      <c r="D22" t="s">
        <v>5332</v>
      </c>
      <c r="E22" s="209" t="s">
        <v>2799</v>
      </c>
      <c r="K22" s="209" t="s">
        <v>3532</v>
      </c>
      <c r="L22" s="209" t="s">
        <v>3520</v>
      </c>
      <c r="M22" t="str">
        <f>GlobGuiMedDisc!B7:T7</f>
        <v>Route</v>
      </c>
    </row>
    <row r="23" spans="4:13" x14ac:dyDescent="0.2">
      <c r="D23" t="s">
        <v>5413</v>
      </c>
      <c r="E23" s="209" t="s">
        <v>2800</v>
      </c>
      <c r="K23" s="209" t="s">
        <v>3532</v>
      </c>
      <c r="L23" s="209" t="s">
        <v>3523</v>
      </c>
    </row>
    <row r="24" spans="4:13" x14ac:dyDescent="0.2">
      <c r="D24" t="s">
        <v>5414</v>
      </c>
      <c r="E24" s="209" t="s">
        <v>2801</v>
      </c>
      <c r="K24" s="209" t="s">
        <v>3532</v>
      </c>
      <c r="L24" s="209" t="s">
        <v>3526</v>
      </c>
    </row>
    <row r="25" spans="4:13" x14ac:dyDescent="0.2">
      <c r="D25" t="s">
        <v>5415</v>
      </c>
      <c r="E25" s="209" t="s">
        <v>2802</v>
      </c>
      <c r="K25" s="209" t="s">
        <v>3532</v>
      </c>
      <c r="L25" s="209" t="s">
        <v>3524</v>
      </c>
    </row>
    <row r="26" spans="4:13" x14ac:dyDescent="0.2">
      <c r="D26" t="s">
        <v>5416</v>
      </c>
      <c r="E26" s="209" t="s">
        <v>2803</v>
      </c>
      <c r="K26" s="209" t="s">
        <v>3533</v>
      </c>
      <c r="L26" s="209" t="s">
        <v>3525</v>
      </c>
      <c r="M26">
        <f>PedGuiLijnPM!A1</f>
        <v>0</v>
      </c>
    </row>
    <row r="27" spans="4:13" x14ac:dyDescent="0.2">
      <c r="D27" t="s">
        <v>5417</v>
      </c>
      <c r="E27" s="209" t="s">
        <v>5432</v>
      </c>
      <c r="K27" s="209" t="s">
        <v>3533</v>
      </c>
      <c r="L27" s="209" t="s">
        <v>3522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5418</v>
      </c>
      <c r="E28" s="209" t="s">
        <v>2804</v>
      </c>
      <c r="K28" s="209" t="s">
        <v>3533</v>
      </c>
      <c r="L28" s="209" t="s">
        <v>3521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5419</v>
      </c>
      <c r="E29" s="209" t="s">
        <v>2805</v>
      </c>
      <c r="K29" s="209" t="s">
        <v>3533</v>
      </c>
      <c r="L29" s="209" t="s">
        <v>3519</v>
      </c>
      <c r="M29" t="e">
        <f>PedGuiLijnPM!B1:O5</f>
        <v>#VALUE!</v>
      </c>
    </row>
    <row r="30" spans="4:13" x14ac:dyDescent="0.2">
      <c r="D30" t="s">
        <v>5420</v>
      </c>
      <c r="E30" s="209" t="s">
        <v>2806</v>
      </c>
      <c r="K30" s="209" t="s">
        <v>3533</v>
      </c>
      <c r="L30" s="209" t="s">
        <v>3520</v>
      </c>
      <c r="M30" t="e">
        <f>PedGuiLijnPM!B7:O7,PedGuiLijnPM!B19:O19</f>
        <v>#VALUE!</v>
      </c>
    </row>
    <row r="31" spans="4:13" x14ac:dyDescent="0.2">
      <c r="D31" t="s">
        <v>5421</v>
      </c>
      <c r="E31" s="209" t="s">
        <v>2807</v>
      </c>
      <c r="K31" s="209" t="s">
        <v>3533</v>
      </c>
      <c r="L31" s="209" t="s">
        <v>3523</v>
      </c>
    </row>
    <row r="32" spans="4:13" x14ac:dyDescent="0.2">
      <c r="D32" t="s">
        <v>5422</v>
      </c>
      <c r="E32" s="209" t="s">
        <v>2808</v>
      </c>
      <c r="K32" s="209" t="s">
        <v>3533</v>
      </c>
      <c r="L32" s="209" t="s">
        <v>3526</v>
      </c>
    </row>
    <row r="33" spans="4:13" x14ac:dyDescent="0.2">
      <c r="D33" t="s">
        <v>5423</v>
      </c>
      <c r="E33" s="209" t="s">
        <v>2809</v>
      </c>
      <c r="K33" s="209" t="s">
        <v>3533</v>
      </c>
      <c r="L33" s="209" t="s">
        <v>3524</v>
      </c>
    </row>
    <row r="34" spans="4:13" x14ac:dyDescent="0.2">
      <c r="D34" t="s">
        <v>5424</v>
      </c>
      <c r="E34" s="209" t="s">
        <v>2810</v>
      </c>
      <c r="K34" s="209" t="s">
        <v>3534</v>
      </c>
      <c r="L34" s="209" t="s">
        <v>3525</v>
      </c>
      <c r="M34">
        <f>PedGuiEntTPN!A1</f>
        <v>0</v>
      </c>
    </row>
    <row r="35" spans="4:13" x14ac:dyDescent="0.2">
      <c r="D35" t="s">
        <v>5425</v>
      </c>
      <c r="E35" s="209" t="s">
        <v>2811</v>
      </c>
      <c r="K35" s="209" t="s">
        <v>3534</v>
      </c>
      <c r="L35" s="209" t="s">
        <v>3522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D36" t="s">
        <v>5426</v>
      </c>
      <c r="E36" s="209" t="s">
        <v>2812</v>
      </c>
      <c r="K36" s="209" t="s">
        <v>3534</v>
      </c>
      <c r="L36" s="209" t="s">
        <v>3521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D37" t="s">
        <v>5427</v>
      </c>
      <c r="E37" s="209" t="s">
        <v>2813</v>
      </c>
      <c r="K37" s="209" t="s">
        <v>3534</v>
      </c>
      <c r="L37" s="209" t="s">
        <v>3519</v>
      </c>
      <c r="M37" t="e">
        <f>PedGuiEntTPN!B1:N5</f>
        <v>#VALUE!</v>
      </c>
    </row>
    <row r="38" spans="4:13" x14ac:dyDescent="0.2">
      <c r="D38" t="s">
        <v>5428</v>
      </c>
      <c r="E38" s="209" t="s">
        <v>2814</v>
      </c>
      <c r="K38" s="209" t="s">
        <v>3534</v>
      </c>
      <c r="L38" s="209" t="s">
        <v>3520</v>
      </c>
      <c r="M38" t="e">
        <f>PedGuiEntTPN!B7:N7,PedGuiEntTPN!B20:N20</f>
        <v>#VALUE!</v>
      </c>
    </row>
    <row r="39" spans="4:13" x14ac:dyDescent="0.2">
      <c r="D39" t="s">
        <v>5429</v>
      </c>
      <c r="E39" s="209" t="s">
        <v>2815</v>
      </c>
      <c r="K39" s="209" t="s">
        <v>3534</v>
      </c>
      <c r="L39" s="209" t="s">
        <v>3523</v>
      </c>
      <c r="M39" t="e">
        <f>PedGuiEntTPN!B41:N48</f>
        <v>#VALUE!</v>
      </c>
    </row>
    <row r="40" spans="4:13" x14ac:dyDescent="0.2">
      <c r="D40" t="s">
        <v>5430</v>
      </c>
      <c r="E40" s="209" t="s">
        <v>5433</v>
      </c>
      <c r="K40" s="209" t="s">
        <v>3534</v>
      </c>
      <c r="L40" s="209" t="s">
        <v>3526</v>
      </c>
    </row>
    <row r="41" spans="4:13" x14ac:dyDescent="0.2">
      <c r="D41" t="s">
        <v>5431</v>
      </c>
      <c r="E41" s="209" t="s">
        <v>2816</v>
      </c>
      <c r="K41" s="209" t="s">
        <v>3534</v>
      </c>
      <c r="L41" s="209" t="s">
        <v>3524</v>
      </c>
    </row>
    <row r="42" spans="4:13" x14ac:dyDescent="0.2">
      <c r="E42" s="209" t="s">
        <v>2817</v>
      </c>
      <c r="K42" s="209" t="s">
        <v>3535</v>
      </c>
      <c r="L42" s="209" t="s">
        <v>3525</v>
      </c>
      <c r="M42">
        <f>PedGuiLab!A1</f>
        <v>0</v>
      </c>
    </row>
    <row r="43" spans="4:13" x14ac:dyDescent="0.2">
      <c r="E43" s="209" t="s">
        <v>2818</v>
      </c>
      <c r="K43" s="209" t="s">
        <v>3535</v>
      </c>
      <c r="L43" s="209" t="s">
        <v>3522</v>
      </c>
      <c r="M43" t="str">
        <f>PedGuiLab!D43</f>
        <v/>
      </c>
    </row>
    <row r="44" spans="4:13" x14ac:dyDescent="0.2">
      <c r="E44" s="209" t="s">
        <v>2819</v>
      </c>
      <c r="K44" s="209" t="s">
        <v>3535</v>
      </c>
      <c r="L44" s="209" t="s">
        <v>3521</v>
      </c>
      <c r="M44" t="e">
        <f>PedGuiLab!B9:L9,PedGuiLab!B43:C44</f>
        <v>#VALUE!</v>
      </c>
    </row>
    <row r="45" spans="4:13" x14ac:dyDescent="0.2">
      <c r="E45" s="209" t="s">
        <v>2820</v>
      </c>
      <c r="K45" s="209" t="s">
        <v>3535</v>
      </c>
      <c r="L45" s="209" t="s">
        <v>3519</v>
      </c>
      <c r="M45" t="e">
        <f>PedGuiLab!B1:S5</f>
        <v>#VALUE!</v>
      </c>
    </row>
    <row r="46" spans="4:13" x14ac:dyDescent="0.2">
      <c r="E46" s="209" t="s">
        <v>2821</v>
      </c>
      <c r="K46" s="209" t="s">
        <v>3535</v>
      </c>
      <c r="L46" s="209" t="s">
        <v>3520</v>
      </c>
      <c r="M46">
        <f>PedGuiLab!B7:N7</f>
        <v>0</v>
      </c>
    </row>
    <row r="47" spans="4:13" x14ac:dyDescent="0.2">
      <c r="E47" s="209" t="s">
        <v>2822</v>
      </c>
      <c r="K47" s="209" t="s">
        <v>3535</v>
      </c>
      <c r="L47" s="209" t="s">
        <v>3523</v>
      </c>
    </row>
    <row r="48" spans="4:13" x14ac:dyDescent="0.2">
      <c r="E48" s="209" t="s">
        <v>2823</v>
      </c>
      <c r="K48" s="209" t="s">
        <v>3535</v>
      </c>
      <c r="L48" s="209" t="s">
        <v>3526</v>
      </c>
      <c r="M48" t="e">
        <f>PedGuiLab!B10:I41,PedGuiLab!K10:L41</f>
        <v>#VALUE!</v>
      </c>
    </row>
    <row r="49" spans="5:13" x14ac:dyDescent="0.2">
      <c r="E49" s="209" t="s">
        <v>2824</v>
      </c>
      <c r="K49" s="209" t="s">
        <v>3535</v>
      </c>
      <c r="L49" s="209" t="s">
        <v>3524</v>
      </c>
    </row>
    <row r="50" spans="5:13" x14ac:dyDescent="0.2">
      <c r="E50" s="209" t="s">
        <v>2825</v>
      </c>
      <c r="K50" s="209" t="s">
        <v>3536</v>
      </c>
      <c r="L50" s="209" t="s">
        <v>3525</v>
      </c>
      <c r="M50">
        <f>PedGuiAcuut!A1</f>
        <v>0</v>
      </c>
    </row>
    <row r="51" spans="5:13" x14ac:dyDescent="0.2">
      <c r="E51" s="209" t="s">
        <v>2826</v>
      </c>
      <c r="K51" s="209" t="s">
        <v>3536</v>
      </c>
      <c r="L51" s="209" t="s">
        <v>3522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2827</v>
      </c>
      <c r="K52" s="209" t="s">
        <v>3536</v>
      </c>
      <c r="L52" s="209" t="s">
        <v>3521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2828</v>
      </c>
      <c r="K53" s="209" t="s">
        <v>3536</v>
      </c>
      <c r="L53" s="209" t="s">
        <v>3519</v>
      </c>
      <c r="M53" t="e">
        <f>PedGuiAcuut!B2:G5</f>
        <v>#VALUE!</v>
      </c>
    </row>
    <row r="54" spans="5:13" x14ac:dyDescent="0.2">
      <c r="E54" s="209" t="s">
        <v>2829</v>
      </c>
      <c r="K54" s="209" t="s">
        <v>3536</v>
      </c>
      <c r="L54" s="209" t="s">
        <v>3520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3536</v>
      </c>
      <c r="L55" s="209" t="s">
        <v>3523</v>
      </c>
    </row>
    <row r="56" spans="5:13" x14ac:dyDescent="0.2">
      <c r="K56" s="209" t="s">
        <v>3536</v>
      </c>
      <c r="L56" s="209" t="s">
        <v>3526</v>
      </c>
    </row>
    <row r="57" spans="5:13" x14ac:dyDescent="0.2">
      <c r="K57" s="209" t="s">
        <v>3536</v>
      </c>
      <c r="L57" s="209" t="s">
        <v>3524</v>
      </c>
    </row>
    <row r="58" spans="5:13" x14ac:dyDescent="0.2">
      <c r="K58" s="209" t="s">
        <v>3537</v>
      </c>
      <c r="L58" s="209" t="s">
        <v>3525</v>
      </c>
      <c r="M58">
        <f>PedGuiAfspr!B1</f>
        <v>0</v>
      </c>
    </row>
    <row r="59" spans="5:13" x14ac:dyDescent="0.2">
      <c r="K59" s="209" t="s">
        <v>3537</v>
      </c>
      <c r="L59" s="209" t="s">
        <v>3522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3537</v>
      </c>
      <c r="L60" s="209" t="s">
        <v>3521</v>
      </c>
      <c r="M60" t="e">
        <f>PedGuiAfspr!I10,PedGuiAfspr!G17:J17</f>
        <v>#VALUE!</v>
      </c>
    </row>
    <row r="61" spans="5:13" x14ac:dyDescent="0.2">
      <c r="K61" s="209" t="s">
        <v>3537</v>
      </c>
      <c r="L61" s="209" t="s">
        <v>3519</v>
      </c>
      <c r="M61" t="e">
        <f>PedGuiAfspr!B1:J4</f>
        <v>#VALUE!</v>
      </c>
    </row>
    <row r="62" spans="5:13" x14ac:dyDescent="0.2">
      <c r="K62" s="209" t="s">
        <v>3537</v>
      </c>
      <c r="L62" s="209" t="s">
        <v>3520</v>
      </c>
      <c r="M62" t="e">
        <f>PedGuiAfspr!C6:J6,PedGuiAfspr!C22:J22,PedGuiAfspr!C28:J28</f>
        <v>#VALUE!</v>
      </c>
    </row>
    <row r="63" spans="5:13" x14ac:dyDescent="0.2">
      <c r="K63" s="209" t="s">
        <v>3537</v>
      </c>
      <c r="L63" s="209" t="s">
        <v>3523</v>
      </c>
      <c r="M63" t="e">
        <f>PedGuiAfspr!C37:J41</f>
        <v>#VALUE!</v>
      </c>
    </row>
    <row r="64" spans="5:13" x14ac:dyDescent="0.2">
      <c r="K64" s="209" t="s">
        <v>3537</v>
      </c>
      <c r="L64" s="209" t="s">
        <v>3526</v>
      </c>
    </row>
    <row r="65" spans="11:13" x14ac:dyDescent="0.2">
      <c r="K65" s="209" t="s">
        <v>3537</v>
      </c>
      <c r="L65" s="209" t="s">
        <v>3524</v>
      </c>
    </row>
    <row r="66" spans="11:13" x14ac:dyDescent="0.2">
      <c r="K66" s="209" t="s">
        <v>4298</v>
      </c>
      <c r="L66" s="209" t="s">
        <v>3525</v>
      </c>
      <c r="M66">
        <f>NeoGuiInfB!A1</f>
        <v>0</v>
      </c>
    </row>
    <row r="67" spans="11:13" x14ac:dyDescent="0.2">
      <c r="K67" s="209" t="s">
        <v>4298</v>
      </c>
      <c r="L67" s="209" t="s">
        <v>3522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4298</v>
      </c>
      <c r="L68" s="209" t="s">
        <v>3521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4298</v>
      </c>
      <c r="L69" s="209" t="s">
        <v>3519</v>
      </c>
      <c r="M69" t="e">
        <f>NeoGuiInfB!C9:R12</f>
        <v>#VALUE!</v>
      </c>
    </row>
    <row r="70" spans="11:13" x14ac:dyDescent="0.2">
      <c r="K70" s="209" t="s">
        <v>4298</v>
      </c>
      <c r="L70" s="209" t="s">
        <v>3520</v>
      </c>
      <c r="M70" t="e">
        <f>NeoGuiInfB!C14:R14,NeoGuiInfB!C24:R24,NeoGuiInfB!C45:R45,NeoGuiInfB!C61:R61</f>
        <v>#VALUE!</v>
      </c>
    </row>
    <row r="71" spans="11:13" x14ac:dyDescent="0.2">
      <c r="K71" s="209" t="s">
        <v>4298</v>
      </c>
      <c r="L71" s="209" t="s">
        <v>3523</v>
      </c>
      <c r="M71" t="e">
        <f>NeoGuiInfB!C2:R7</f>
        <v>#VALUE!</v>
      </c>
    </row>
    <row r="72" spans="11:13" x14ac:dyDescent="0.2">
      <c r="K72" s="209" t="s">
        <v>4298</v>
      </c>
      <c r="L72" s="209" t="s">
        <v>3526</v>
      </c>
    </row>
    <row r="73" spans="11:13" x14ac:dyDescent="0.2">
      <c r="K73" s="209" t="s">
        <v>4298</v>
      </c>
      <c r="L73" s="209" t="s">
        <v>3524</v>
      </c>
    </row>
    <row r="74" spans="11:13" x14ac:dyDescent="0.2">
      <c r="K74" s="209" t="s">
        <v>4538</v>
      </c>
      <c r="L74" s="209" t="s">
        <v>3525</v>
      </c>
      <c r="M74">
        <f>NeoGuiAfspr!B1</f>
        <v>0</v>
      </c>
    </row>
    <row r="75" spans="11:13" x14ac:dyDescent="0.2">
      <c r="K75" s="209" t="s">
        <v>4538</v>
      </c>
      <c r="L75" s="209" t="s">
        <v>3522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4538</v>
      </c>
      <c r="L76" s="209" t="s">
        <v>3521</v>
      </c>
      <c r="M76" t="e">
        <f>NeoGuiAfspr!D27,NeoGuiAfspr!F41:G41</f>
        <v>#VALUE!</v>
      </c>
    </row>
    <row r="77" spans="11:13" x14ac:dyDescent="0.2">
      <c r="K77" s="209" t="s">
        <v>4538</v>
      </c>
      <c r="L77" s="209" t="s">
        <v>3519</v>
      </c>
      <c r="M77" t="e">
        <f>NeoGuiAfspr!B1:L4</f>
        <v>#VALUE!</v>
      </c>
    </row>
    <row r="78" spans="11:13" x14ac:dyDescent="0.2">
      <c r="K78" s="209" t="s">
        <v>4538</v>
      </c>
      <c r="L78" s="209" t="s">
        <v>3520</v>
      </c>
      <c r="M78" t="e">
        <f>NeoGuiAfspr!C6:L6,NeoGuiAfspr!C21:F21,NeoGuiAfspr!C34:F34</f>
        <v>#VALUE!</v>
      </c>
    </row>
    <row r="79" spans="11:13" x14ac:dyDescent="0.2">
      <c r="K79" s="209" t="s">
        <v>4538</v>
      </c>
      <c r="L79" s="209" t="s">
        <v>3523</v>
      </c>
      <c r="M79" t="e">
        <f>NeoGuiAfspr!C44:K49</f>
        <v>#VALUE!</v>
      </c>
    </row>
    <row r="80" spans="11:13" x14ac:dyDescent="0.2">
      <c r="K80" s="209" t="s">
        <v>4538</v>
      </c>
      <c r="L80" s="209" t="s">
        <v>3526</v>
      </c>
    </row>
    <row r="81" spans="11:13" x14ac:dyDescent="0.2">
      <c r="K81" s="209" t="s">
        <v>4538</v>
      </c>
      <c r="L81" s="209" t="s">
        <v>3524</v>
      </c>
    </row>
    <row r="82" spans="11:13" x14ac:dyDescent="0.2">
      <c r="K82" s="209" t="s">
        <v>4539</v>
      </c>
      <c r="L82" s="209" t="s">
        <v>3525</v>
      </c>
      <c r="M82">
        <f>NeoGuiLab!A1</f>
        <v>0</v>
      </c>
    </row>
    <row r="83" spans="11:13" x14ac:dyDescent="0.2">
      <c r="K83" s="209" t="s">
        <v>4539</v>
      </c>
      <c r="L83" s="209" t="s">
        <v>3522</v>
      </c>
      <c r="M83" t="str">
        <f>NeoGuiLab!C41</f>
        <v/>
      </c>
    </row>
    <row r="84" spans="11:13" x14ac:dyDescent="0.2">
      <c r="K84" s="209" t="s">
        <v>4539</v>
      </c>
      <c r="L84" s="209" t="s">
        <v>3521</v>
      </c>
      <c r="M84" t="e">
        <f>NeoGuiLab!B41,NeoGuiLab!B8:T8</f>
        <v>#VALUE!</v>
      </c>
    </row>
    <row r="85" spans="11:13" x14ac:dyDescent="0.2">
      <c r="K85" s="209" t="s">
        <v>4539</v>
      </c>
      <c r="L85" s="209" t="s">
        <v>3519</v>
      </c>
      <c r="M85" t="e">
        <f>NeoGuiLab!B1:T4</f>
        <v>#VALUE!</v>
      </c>
    </row>
    <row r="86" spans="11:13" x14ac:dyDescent="0.2">
      <c r="K86" s="209" t="s">
        <v>4539</v>
      </c>
      <c r="L86" s="209" t="s">
        <v>3520</v>
      </c>
      <c r="M86">
        <f>NeoGuiLab!B6:T6</f>
        <v>0</v>
      </c>
    </row>
    <row r="87" spans="11:13" x14ac:dyDescent="0.2">
      <c r="K87" s="209" t="s">
        <v>4539</v>
      </c>
      <c r="L87" s="209" t="s">
        <v>3523</v>
      </c>
    </row>
    <row r="88" spans="11:13" x14ac:dyDescent="0.2">
      <c r="K88" s="209" t="s">
        <v>4539</v>
      </c>
      <c r="L88" s="209" t="s">
        <v>3526</v>
      </c>
      <c r="M88" t="e">
        <f>NeoGuiLab!B9:M40,NeoGuiLab!O9:T40</f>
        <v>#VALUE!</v>
      </c>
    </row>
    <row r="89" spans="11:13" x14ac:dyDescent="0.2">
      <c r="K89" s="209" t="s">
        <v>4539</v>
      </c>
      <c r="L89" s="209" t="s">
        <v>3524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09"/>
  <sheetViews>
    <sheetView showZeros="0" showOutlineSymbols="0" workbookViewId="0">
      <pane ySplit="1" topLeftCell="A2" activePane="bottomLeft" state="frozen"/>
      <selection pane="bottomLeft" activeCell="C16" sqref="C16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4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2844</v>
      </c>
      <c r="B2" t="s">
        <v>906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IFERROR(VLOOKUP(B3,PatData!$A$2:$A$2000,1,),"")&lt;&gt;""</f>
        <v>1</v>
      </c>
      <c r="E3" t="s">
        <v>5396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2845</v>
      </c>
      <c r="B4" t="s">
        <v>908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2846</v>
      </c>
      <c r="B5" t="s">
        <v>909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2847</v>
      </c>
      <c r="B6" t="s">
        <v>910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6127</v>
      </c>
      <c r="B7" t="s">
        <v>1555</v>
      </c>
      <c r="D7" t="b">
        <f>IFERROR(VLOOKUP(B7,PatData!$A$2:$A$2000,1,),"")&lt;&gt;""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949</v>
      </c>
      <c r="B8" t="s">
        <v>911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4306</v>
      </c>
      <c r="B9" t="s">
        <v>912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5150</v>
      </c>
      <c r="B10" t="s">
        <v>5168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5151</v>
      </c>
      <c r="B11" t="s">
        <v>5169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5152</v>
      </c>
      <c r="B12" t="s">
        <v>5170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5153</v>
      </c>
      <c r="B13" t="s">
        <v>5171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5154</v>
      </c>
      <c r="B14" t="s">
        <v>5172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5155</v>
      </c>
      <c r="B15" t="s">
        <v>5173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5156</v>
      </c>
      <c r="B16" t="s">
        <v>5174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5157</v>
      </c>
      <c r="B17" t="s">
        <v>5175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5158</v>
      </c>
      <c r="B18" t="s">
        <v>5176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5159</v>
      </c>
      <c r="B19" t="s">
        <v>5177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5160</v>
      </c>
      <c r="B20" t="s">
        <v>5178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5161</v>
      </c>
      <c r="B21" t="s">
        <v>5179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5162</v>
      </c>
      <c r="B22" t="s">
        <v>5180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5163</v>
      </c>
      <c r="B23" t="s">
        <v>5181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3429</v>
      </c>
      <c r="B24" t="s">
        <v>1760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3430</v>
      </c>
      <c r="B25" t="s">
        <v>1761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3431</v>
      </c>
      <c r="B26" t="s">
        <v>1762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3432</v>
      </c>
      <c r="B27" t="s">
        <v>1763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3433</v>
      </c>
      <c r="B28" t="s">
        <v>1764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3434</v>
      </c>
      <c r="B29" t="s">
        <v>1765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3435</v>
      </c>
      <c r="B30" t="s">
        <v>1766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3436</v>
      </c>
      <c r="B31" t="s">
        <v>1767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3437</v>
      </c>
      <c r="B32" t="s">
        <v>1768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3438</v>
      </c>
      <c r="B33" t="s">
        <v>1769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3439</v>
      </c>
      <c r="B34" t="s">
        <v>1770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3440</v>
      </c>
      <c r="B35" t="s">
        <v>1771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3441</v>
      </c>
      <c r="B36" t="s">
        <v>1772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3442</v>
      </c>
      <c r="B37" t="s">
        <v>1773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3443</v>
      </c>
      <c r="B38" t="s">
        <v>1774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3444</v>
      </c>
      <c r="B39" t="s">
        <v>1775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3445</v>
      </c>
      <c r="B40" t="s">
        <v>1776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3446</v>
      </c>
      <c r="B41" t="s">
        <v>1777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3447</v>
      </c>
      <c r="B42" t="s">
        <v>1778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3448</v>
      </c>
      <c r="B43" t="s">
        <v>1779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3449</v>
      </c>
      <c r="B44" t="s">
        <v>1780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3450</v>
      </c>
      <c r="B45" t="s">
        <v>1781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3451</v>
      </c>
      <c r="B46" t="s">
        <v>1782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3452</v>
      </c>
      <c r="B47" t="s">
        <v>1783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3453</v>
      </c>
      <c r="B48" t="s">
        <v>1784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3454</v>
      </c>
      <c r="B49" t="s">
        <v>1785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3455</v>
      </c>
      <c r="B50" t="s">
        <v>1786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3456</v>
      </c>
      <c r="B51" t="s">
        <v>1787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3457</v>
      </c>
      <c r="B52" t="s">
        <v>1788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3458</v>
      </c>
      <c r="B53" t="s">
        <v>1789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5449</v>
      </c>
      <c r="B54" t="s">
        <v>5450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5451</v>
      </c>
      <c r="B55" t="s">
        <v>5452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5453</v>
      </c>
      <c r="B56" t="s">
        <v>5454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5455</v>
      </c>
      <c r="B57" t="s">
        <v>5456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5457</v>
      </c>
      <c r="B58" t="s">
        <v>5458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5459</v>
      </c>
      <c r="B59" t="s">
        <v>5460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5461</v>
      </c>
      <c r="B60" t="s">
        <v>5462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5463</v>
      </c>
      <c r="B61" t="s">
        <v>5464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5465</v>
      </c>
      <c r="B62" t="s">
        <v>5466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5467</v>
      </c>
      <c r="B63" t="s">
        <v>5468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5469</v>
      </c>
      <c r="B64" t="s">
        <v>5470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5471</v>
      </c>
      <c r="B65" t="s">
        <v>5472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5473</v>
      </c>
      <c r="B66" t="s">
        <v>5474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5475</v>
      </c>
      <c r="B67" t="s">
        <v>5476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5477</v>
      </c>
      <c r="B68" t="s">
        <v>5478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5479</v>
      </c>
      <c r="B69" t="s">
        <v>5480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5481</v>
      </c>
      <c r="B70" t="s">
        <v>5482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5483</v>
      </c>
      <c r="B71" t="s">
        <v>5484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5485</v>
      </c>
      <c r="B72" t="s">
        <v>5486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5487</v>
      </c>
      <c r="B73" t="s">
        <v>5488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5489</v>
      </c>
      <c r="B74" t="s">
        <v>5490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5491</v>
      </c>
      <c r="B75" t="s">
        <v>5492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5493</v>
      </c>
      <c r="B76" t="s">
        <v>5494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5495</v>
      </c>
      <c r="B77" t="s">
        <v>5496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5497</v>
      </c>
      <c r="B78" t="s">
        <v>5498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5499</v>
      </c>
      <c r="B79" t="s">
        <v>5500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5501</v>
      </c>
      <c r="B80" t="s">
        <v>5502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5503</v>
      </c>
      <c r="B81" t="s">
        <v>5504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5505</v>
      </c>
      <c r="B82" t="s">
        <v>5506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5507</v>
      </c>
      <c r="B83" t="s">
        <v>5508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2848</v>
      </c>
      <c r="B84" t="s">
        <v>1790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2849</v>
      </c>
      <c r="B85" t="s">
        <v>1791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2850</v>
      </c>
      <c r="B86" t="s">
        <v>1792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2851</v>
      </c>
      <c r="B87" t="s">
        <v>1793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2852</v>
      </c>
      <c r="B88" t="s">
        <v>1794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2853</v>
      </c>
      <c r="B89" t="s">
        <v>1795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2854</v>
      </c>
      <c r="B90" t="s">
        <v>1796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2855</v>
      </c>
      <c r="B91" t="s">
        <v>1797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2856</v>
      </c>
      <c r="B92" t="s">
        <v>1798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2857</v>
      </c>
      <c r="B93" t="s">
        <v>1799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2858</v>
      </c>
      <c r="B94" t="s">
        <v>1800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2859</v>
      </c>
      <c r="B95" t="s">
        <v>1801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2860</v>
      </c>
      <c r="B96" t="s">
        <v>1802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2861</v>
      </c>
      <c r="B97" t="s">
        <v>1803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2862</v>
      </c>
      <c r="B98" t="s">
        <v>1804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2863</v>
      </c>
      <c r="B99" t="s">
        <v>1805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2864</v>
      </c>
      <c r="B100" t="s">
        <v>1806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2865</v>
      </c>
      <c r="B101" t="s">
        <v>1807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2866</v>
      </c>
      <c r="B102" t="s">
        <v>1808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2867</v>
      </c>
      <c r="B103" t="s">
        <v>1809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2868</v>
      </c>
      <c r="B104" t="s">
        <v>1810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2869</v>
      </c>
      <c r="B105" t="s">
        <v>1811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2870</v>
      </c>
      <c r="B106" t="s">
        <v>1812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2871</v>
      </c>
      <c r="B107" t="s">
        <v>1813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2872</v>
      </c>
      <c r="B108" t="s">
        <v>1814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2873</v>
      </c>
      <c r="B109" t="s">
        <v>1815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2874</v>
      </c>
      <c r="B110" t="s">
        <v>1816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2875</v>
      </c>
      <c r="B111" t="s">
        <v>1817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2876</v>
      </c>
      <c r="B112" t="s">
        <v>1818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2877</v>
      </c>
      <c r="B113" t="s">
        <v>1819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2878</v>
      </c>
      <c r="B114" t="s">
        <v>1820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2879</v>
      </c>
      <c r="B115" t="s">
        <v>1821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2880</v>
      </c>
      <c r="B116" t="s">
        <v>1822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2881</v>
      </c>
      <c r="B117" t="s">
        <v>1823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2882</v>
      </c>
      <c r="B118" t="s">
        <v>1824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2883</v>
      </c>
      <c r="B119" t="s">
        <v>1825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2884</v>
      </c>
      <c r="B120" t="s">
        <v>1826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2885</v>
      </c>
      <c r="B121" t="s">
        <v>1827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2886</v>
      </c>
      <c r="B122" t="s">
        <v>1828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2887</v>
      </c>
      <c r="B123" t="s">
        <v>1829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2888</v>
      </c>
      <c r="B124" t="s">
        <v>1830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2889</v>
      </c>
      <c r="B125" t="s">
        <v>1831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2890</v>
      </c>
      <c r="B126" t="s">
        <v>1832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2891</v>
      </c>
      <c r="B127" t="s">
        <v>1833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2892</v>
      </c>
      <c r="B128" t="s">
        <v>1834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2893</v>
      </c>
      <c r="B129" t="s">
        <v>1835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2894</v>
      </c>
      <c r="B130" t="s">
        <v>1836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2895</v>
      </c>
      <c r="B131" t="s">
        <v>1837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2896</v>
      </c>
      <c r="B132" t="s">
        <v>1838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2897</v>
      </c>
      <c r="B133" t="s">
        <v>1839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2898</v>
      </c>
      <c r="B134" t="s">
        <v>1840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2899</v>
      </c>
      <c r="B135" t="s">
        <v>1841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2900</v>
      </c>
      <c r="B136" t="s">
        <v>1842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2901</v>
      </c>
      <c r="B137" t="s">
        <v>1843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2902</v>
      </c>
      <c r="B138" t="s">
        <v>1844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2903</v>
      </c>
      <c r="B139" t="s">
        <v>1845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2904</v>
      </c>
      <c r="B140" t="s">
        <v>1846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2905</v>
      </c>
      <c r="B141" t="s">
        <v>1847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2906</v>
      </c>
      <c r="B142" t="s">
        <v>1848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2907</v>
      </c>
      <c r="B143" t="s">
        <v>1849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5509</v>
      </c>
      <c r="B144" t="s">
        <v>1850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5510</v>
      </c>
      <c r="B145" t="s">
        <v>1851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5511</v>
      </c>
      <c r="B146" t="s">
        <v>1852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5512</v>
      </c>
      <c r="B147" t="s">
        <v>1853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5513</v>
      </c>
      <c r="B148" t="s">
        <v>1854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5514</v>
      </c>
      <c r="B149" t="s">
        <v>1855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5515</v>
      </c>
      <c r="B150" t="s">
        <v>1856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5516</v>
      </c>
      <c r="B151" t="s">
        <v>1857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5517</v>
      </c>
      <c r="B152" t="s">
        <v>1858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5518</v>
      </c>
      <c r="B153" t="s">
        <v>1859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5519</v>
      </c>
      <c r="B154" t="s">
        <v>1860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5520</v>
      </c>
      <c r="B155" t="s">
        <v>1861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5521</v>
      </c>
      <c r="B156" t="s">
        <v>1862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5522</v>
      </c>
      <c r="B157" t="s">
        <v>1863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5523</v>
      </c>
      <c r="B158" t="s">
        <v>1864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5524</v>
      </c>
      <c r="B159" t="s">
        <v>1865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5525</v>
      </c>
      <c r="B160" t="s">
        <v>1866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5526</v>
      </c>
      <c r="B161" t="s">
        <v>1867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5527</v>
      </c>
      <c r="B162" t="s">
        <v>1868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5528</v>
      </c>
      <c r="B163" t="s">
        <v>1869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5529</v>
      </c>
      <c r="B164" t="s">
        <v>1870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5530</v>
      </c>
      <c r="B165" t="s">
        <v>1871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5531</v>
      </c>
      <c r="B166" t="s">
        <v>1872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5532</v>
      </c>
      <c r="B167" t="s">
        <v>1873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5533</v>
      </c>
      <c r="B168" t="s">
        <v>1874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5534</v>
      </c>
      <c r="B169" t="s">
        <v>1875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5535</v>
      </c>
      <c r="B170" t="s">
        <v>1876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5536</v>
      </c>
      <c r="B171" t="s">
        <v>1877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5537</v>
      </c>
      <c r="B172" t="s">
        <v>1878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5538</v>
      </c>
      <c r="B173" t="s">
        <v>1879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3118</v>
      </c>
      <c r="B174" t="s">
        <v>5828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3119</v>
      </c>
      <c r="B175" t="s">
        <v>5830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3120</v>
      </c>
      <c r="B176" t="s">
        <v>5832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3121</v>
      </c>
      <c r="B177" t="s">
        <v>5834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3122</v>
      </c>
      <c r="B178" t="s">
        <v>5836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3123</v>
      </c>
      <c r="B179" t="s">
        <v>5838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3124</v>
      </c>
      <c r="B180" t="s">
        <v>5840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3125</v>
      </c>
      <c r="B181" t="s">
        <v>5842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3126</v>
      </c>
      <c r="B182" t="s">
        <v>5844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3127</v>
      </c>
      <c r="B183" t="s">
        <v>5846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3128</v>
      </c>
      <c r="B184" t="s">
        <v>5848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3129</v>
      </c>
      <c r="B185" t="s">
        <v>5850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3130</v>
      </c>
      <c r="B186" t="s">
        <v>5852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3131</v>
      </c>
      <c r="B187" t="s">
        <v>5854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3132</v>
      </c>
      <c r="B188" t="s">
        <v>5856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3133</v>
      </c>
      <c r="B189" t="s">
        <v>5858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3134</v>
      </c>
      <c r="B190" t="s">
        <v>5860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3135</v>
      </c>
      <c r="B191" t="s">
        <v>5862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3136</v>
      </c>
      <c r="B192" t="s">
        <v>5864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3137</v>
      </c>
      <c r="B193" t="s">
        <v>5866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3138</v>
      </c>
      <c r="B194" t="s">
        <v>5868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3139</v>
      </c>
      <c r="B195" t="s">
        <v>5870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3140</v>
      </c>
      <c r="B196" t="s">
        <v>5872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3141</v>
      </c>
      <c r="B197" t="s">
        <v>5874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3142</v>
      </c>
      <c r="B198" t="s">
        <v>5876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3143</v>
      </c>
      <c r="B199" t="s">
        <v>5878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3144</v>
      </c>
      <c r="B200" t="s">
        <v>5880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3145</v>
      </c>
      <c r="B201" t="s">
        <v>5882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3146</v>
      </c>
      <c r="B202" t="s">
        <v>5884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3147</v>
      </c>
      <c r="B203" t="s">
        <v>5886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5827</v>
      </c>
      <c r="B204" t="s">
        <v>6097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5829</v>
      </c>
      <c r="B205" t="s">
        <v>6098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5831</v>
      </c>
      <c r="B206" t="s">
        <v>6099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5833</v>
      </c>
      <c r="B207" t="s">
        <v>6100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5835</v>
      </c>
      <c r="B208" t="s">
        <v>6101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5837</v>
      </c>
      <c r="B209" t="s">
        <v>6102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5839</v>
      </c>
      <c r="B210" t="s">
        <v>6103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5841</v>
      </c>
      <c r="B211" t="s">
        <v>6104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5843</v>
      </c>
      <c r="B212" t="s">
        <v>6105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5845</v>
      </c>
      <c r="B213" t="s">
        <v>6106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5847</v>
      </c>
      <c r="B214" t="s">
        <v>6107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5849</v>
      </c>
      <c r="B215" t="s">
        <v>6108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5851</v>
      </c>
      <c r="B216" t="s">
        <v>6109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5853</v>
      </c>
      <c r="B217" t="s">
        <v>6110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5855</v>
      </c>
      <c r="B218" t="s">
        <v>6111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5857</v>
      </c>
      <c r="B219" t="s">
        <v>6112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5859</v>
      </c>
      <c r="B220" t="s">
        <v>6113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5861</v>
      </c>
      <c r="B221" t="s">
        <v>6114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5863</v>
      </c>
      <c r="B222" t="s">
        <v>6115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5865</v>
      </c>
      <c r="B223" t="s">
        <v>6116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5867</v>
      </c>
      <c r="B224" t="s">
        <v>6117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5869</v>
      </c>
      <c r="B225" t="s">
        <v>6118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5871</v>
      </c>
      <c r="B226" t="s">
        <v>6119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5873</v>
      </c>
      <c r="B227" t="s">
        <v>6120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5875</v>
      </c>
      <c r="B228" t="s">
        <v>6121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5877</v>
      </c>
      <c r="B229" t="s">
        <v>6122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5879</v>
      </c>
      <c r="B230" t="s">
        <v>6123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5881</v>
      </c>
      <c r="B231" t="s">
        <v>6124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5883</v>
      </c>
      <c r="B232" t="s">
        <v>6125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5885</v>
      </c>
      <c r="B233" t="s">
        <v>6126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2938</v>
      </c>
      <c r="B234" t="s">
        <v>1880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2939</v>
      </c>
      <c r="B235" t="s">
        <v>1881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2940</v>
      </c>
      <c r="B236" t="s">
        <v>1882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2941</v>
      </c>
      <c r="B237" t="s">
        <v>1883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2942</v>
      </c>
      <c r="B238" t="s">
        <v>1884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2943</v>
      </c>
      <c r="B239" t="s">
        <v>1885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2944</v>
      </c>
      <c r="B240" t="s">
        <v>1886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2945</v>
      </c>
      <c r="B241" t="s">
        <v>1887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2946</v>
      </c>
      <c r="B242" t="s">
        <v>1888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2947</v>
      </c>
      <c r="B243" t="s">
        <v>1889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2948</v>
      </c>
      <c r="B244" t="s">
        <v>1890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2949</v>
      </c>
      <c r="B245" t="s">
        <v>1891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2950</v>
      </c>
      <c r="B246" t="s">
        <v>1892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2951</v>
      </c>
      <c r="B247" t="s">
        <v>1893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2952</v>
      </c>
      <c r="B248" t="s">
        <v>1894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2953</v>
      </c>
      <c r="B249" t="s">
        <v>1895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2954</v>
      </c>
      <c r="B250" t="s">
        <v>1896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2955</v>
      </c>
      <c r="B251" t="s">
        <v>1897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2956</v>
      </c>
      <c r="B252" t="s">
        <v>1898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2957</v>
      </c>
      <c r="B253" t="s">
        <v>1899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2958</v>
      </c>
      <c r="B254" t="s">
        <v>1900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2959</v>
      </c>
      <c r="B255" t="s">
        <v>1901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2960</v>
      </c>
      <c r="B256" t="s">
        <v>1902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2961</v>
      </c>
      <c r="B257" t="s">
        <v>1903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2962</v>
      </c>
      <c r="B258" t="s">
        <v>1904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2963</v>
      </c>
      <c r="B259" t="s">
        <v>1905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2964</v>
      </c>
      <c r="B260" t="s">
        <v>1906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2965</v>
      </c>
      <c r="B261" t="s">
        <v>1907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2966</v>
      </c>
      <c r="B262" t="s">
        <v>1908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2967</v>
      </c>
      <c r="B263" t="s">
        <v>1909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4607</v>
      </c>
      <c r="B264" t="s">
        <v>1910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4608</v>
      </c>
      <c r="B265" t="s">
        <v>1911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4609</v>
      </c>
      <c r="B266" t="s">
        <v>1912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4610</v>
      </c>
      <c r="B267" t="s">
        <v>1913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4611</v>
      </c>
      <c r="B268" t="s">
        <v>1914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4612</v>
      </c>
      <c r="B269" t="s">
        <v>1915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4613</v>
      </c>
      <c r="B270" t="s">
        <v>1916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4614</v>
      </c>
      <c r="B271" t="s">
        <v>1917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4615</v>
      </c>
      <c r="B272" t="s">
        <v>1918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4616</v>
      </c>
      <c r="B273" t="s">
        <v>1919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4617</v>
      </c>
      <c r="B274" t="s">
        <v>1920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4618</v>
      </c>
      <c r="B275" t="s">
        <v>1921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4619</v>
      </c>
      <c r="B276" t="s">
        <v>1922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4620</v>
      </c>
      <c r="B277" t="s">
        <v>1923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4621</v>
      </c>
      <c r="B278" t="s">
        <v>1924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4622</v>
      </c>
      <c r="B279" t="s">
        <v>1925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4623</v>
      </c>
      <c r="B280" t="s">
        <v>1926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4624</v>
      </c>
      <c r="B281" t="s">
        <v>1927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4625</v>
      </c>
      <c r="B282" t="s">
        <v>1928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4626</v>
      </c>
      <c r="B283" t="s">
        <v>1929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4627</v>
      </c>
      <c r="B284" t="s">
        <v>1930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4628</v>
      </c>
      <c r="B285" t="s">
        <v>1931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4629</v>
      </c>
      <c r="B286" t="s">
        <v>1932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4630</v>
      </c>
      <c r="B287" t="s">
        <v>1933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4631</v>
      </c>
      <c r="B288" t="s">
        <v>1934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4632</v>
      </c>
      <c r="B289" t="s">
        <v>1935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4633</v>
      </c>
      <c r="B290" t="s">
        <v>1936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4634</v>
      </c>
      <c r="B291" t="s">
        <v>1937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4635</v>
      </c>
      <c r="B292" t="s">
        <v>1938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4636</v>
      </c>
      <c r="B293" t="s">
        <v>1939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2968</v>
      </c>
      <c r="B294" t="s">
        <v>1940</v>
      </c>
      <c r="D294" t="b">
        <f>IFERROR(VLOOKUP(B294,PatData!$A$2:$A$2000,1,),"")&lt;&gt;""</f>
        <v>1</v>
      </c>
      <c r="E294"/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2969</v>
      </c>
      <c r="B295" t="s">
        <v>1941</v>
      </c>
      <c r="D295" t="b">
        <f>IFERROR(VLOOKUP(B295,PatData!$A$2:$A$2000,1,),"")&lt;&gt;""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2970</v>
      </c>
      <c r="B296" t="s">
        <v>1942</v>
      </c>
      <c r="D296" t="b">
        <f>IFERROR(VLOOKUP(B296,PatData!$A$2:$A$2000,1,),"")&lt;&gt;""</f>
        <v>1</v>
      </c>
      <c r="E296"/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2971</v>
      </c>
      <c r="B297" t="s">
        <v>1943</v>
      </c>
      <c r="D297" t="b">
        <f>IFERROR(VLOOKUP(B297,PatData!$A$2:$A$2000,1,),"")&lt;&gt;""</f>
        <v>1</v>
      </c>
      <c r="E297"/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2972</v>
      </c>
      <c r="B298" t="s">
        <v>1944</v>
      </c>
      <c r="D298" t="b">
        <f>IFERROR(VLOOKUP(B298,PatData!$A$2:$A$2000,1,),"")&lt;&gt;""</f>
        <v>1</v>
      </c>
      <c r="E298"/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2973</v>
      </c>
      <c r="B299" t="s">
        <v>1945</v>
      </c>
      <c r="D299" t="b">
        <f>IFERROR(VLOOKUP(B299,PatData!$A$2:$A$2000,1,),"")&lt;&gt;""</f>
        <v>1</v>
      </c>
      <c r="E299"/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2974</v>
      </c>
      <c r="B300" t="s">
        <v>1946</v>
      </c>
      <c r="D300" t="b">
        <f>IFERROR(VLOOKUP(B300,PatData!$A$2:$A$2000,1,),"")&lt;&gt;""</f>
        <v>1</v>
      </c>
      <c r="E300"/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2975</v>
      </c>
      <c r="B301" t="s">
        <v>1947</v>
      </c>
      <c r="D301" t="b">
        <f>IFERROR(VLOOKUP(B301,PatData!$A$2:$A$2000,1,),"")&lt;&gt;""</f>
        <v>1</v>
      </c>
      <c r="E301"/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2976</v>
      </c>
      <c r="B302" t="s">
        <v>1948</v>
      </c>
      <c r="D302" t="b">
        <f>IFERROR(VLOOKUP(B302,PatData!$A$2:$A$2000,1,),"")&lt;&gt;""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2977</v>
      </c>
      <c r="B303" t="s">
        <v>1949</v>
      </c>
      <c r="D303" t="b">
        <f>IFERROR(VLOOKUP(B303,PatData!$A$2:$A$2000,1,),"")&lt;&gt;""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2978</v>
      </c>
      <c r="B304" t="s">
        <v>1950</v>
      </c>
      <c r="D304" t="b">
        <f>IFERROR(VLOOKUP(B304,PatData!$A$2:$A$2000,1,),"")&lt;&gt;""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2979</v>
      </c>
      <c r="B305" t="s">
        <v>1951</v>
      </c>
      <c r="D305" t="b">
        <f>IFERROR(VLOOKUP(B305,PatData!$A$2:$A$2000,1,),"")&lt;&gt;""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2980</v>
      </c>
      <c r="B306" t="s">
        <v>1952</v>
      </c>
      <c r="D306" t="b">
        <f>IFERROR(VLOOKUP(B306,PatData!$A$2:$A$2000,1,),"")&lt;&gt;""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2981</v>
      </c>
      <c r="B307" t="s">
        <v>1953</v>
      </c>
      <c r="D307" t="b">
        <f>IFERROR(VLOOKUP(B307,PatData!$A$2:$A$2000,1,),"")&lt;&gt;""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2982</v>
      </c>
      <c r="B308" t="s">
        <v>1954</v>
      </c>
      <c r="D308" t="b">
        <f>IFERROR(VLOOKUP(B308,PatData!$A$2:$A$2000,1,),"")&lt;&gt;""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2983</v>
      </c>
      <c r="B309" t="s">
        <v>1955</v>
      </c>
      <c r="D309" t="b">
        <f>IFERROR(VLOOKUP(B309,PatData!$A$2:$A$2000,1,),"")&lt;&gt;""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2984</v>
      </c>
      <c r="B310" t="s">
        <v>1956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2985</v>
      </c>
      <c r="B311" t="s">
        <v>1957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2986</v>
      </c>
      <c r="B312" t="s">
        <v>1958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2987</v>
      </c>
      <c r="B313" t="s">
        <v>1959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2988</v>
      </c>
      <c r="B314" t="s">
        <v>1960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2989</v>
      </c>
      <c r="B315" t="s">
        <v>1961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2990</v>
      </c>
      <c r="B316" t="s">
        <v>1962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2991</v>
      </c>
      <c r="B317" t="s">
        <v>1963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2992</v>
      </c>
      <c r="B318" t="s">
        <v>1964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2993</v>
      </c>
      <c r="B319" t="s">
        <v>1965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2994</v>
      </c>
      <c r="B320" t="s">
        <v>1966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2995</v>
      </c>
      <c r="B321" t="s">
        <v>1967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2996</v>
      </c>
      <c r="B322" t="s">
        <v>1968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2997</v>
      </c>
      <c r="B323" t="s">
        <v>1969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4637</v>
      </c>
      <c r="B324" t="s">
        <v>1970</v>
      </c>
      <c r="D324" t="b">
        <f>IFERROR(VLOOKUP(B324,PatData!$A$2:$A$2000,1,),"")&lt;&gt;""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4638</v>
      </c>
      <c r="B325" t="s">
        <v>1971</v>
      </c>
      <c r="D325" t="b">
        <f>IFERROR(VLOOKUP(B325,PatData!$A$2:$A$2000,1,),"")&lt;&gt;""</f>
        <v>1</v>
      </c>
      <c r="E325">
        <v>0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4639</v>
      </c>
      <c r="B326" t="s">
        <v>1972</v>
      </c>
      <c r="D326" t="b">
        <f>IFERROR(VLOOKUP(B326,PatData!$A$2:$A$2000,1,),"")&lt;&gt;""</f>
        <v>1</v>
      </c>
      <c r="E326">
        <v>0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4640</v>
      </c>
      <c r="B327" t="s">
        <v>1973</v>
      </c>
      <c r="D327" t="b">
        <f>IFERROR(VLOOKUP(B327,PatData!$A$2:$A$2000,1,),"")&lt;&gt;""</f>
        <v>1</v>
      </c>
      <c r="E327">
        <v>0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4641</v>
      </c>
      <c r="B328" t="s">
        <v>1974</v>
      </c>
      <c r="D328" t="b">
        <f>IFERROR(VLOOKUP(B328,PatData!$A$2:$A$2000,1,),"")&lt;&gt;""</f>
        <v>1</v>
      </c>
      <c r="E328">
        <v>0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4642</v>
      </c>
      <c r="B329" t="s">
        <v>1975</v>
      </c>
      <c r="D329" t="b">
        <f>IFERROR(VLOOKUP(B329,PatData!$A$2:$A$2000,1,),"")&lt;&gt;""</f>
        <v>1</v>
      </c>
      <c r="E329">
        <v>0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4643</v>
      </c>
      <c r="B330" t="s">
        <v>1976</v>
      </c>
      <c r="D330" t="b">
        <f>IFERROR(VLOOKUP(B330,PatData!$A$2:$A$2000,1,),"")&lt;&gt;""</f>
        <v>1</v>
      </c>
      <c r="E330">
        <v>0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4644</v>
      </c>
      <c r="B331" t="s">
        <v>1977</v>
      </c>
      <c r="D331" t="b">
        <f>IFERROR(VLOOKUP(B331,PatData!$A$2:$A$2000,1,),"")&lt;&gt;""</f>
        <v>1</v>
      </c>
      <c r="E331">
        <v>0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4645</v>
      </c>
      <c r="B332" t="s">
        <v>1978</v>
      </c>
      <c r="D332" t="b">
        <f>IFERROR(VLOOKUP(B332,PatData!$A$2:$A$2000,1,),"")&lt;&gt;""</f>
        <v>1</v>
      </c>
      <c r="E332">
        <v>0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4646</v>
      </c>
      <c r="B333" t="s">
        <v>1979</v>
      </c>
      <c r="D333" t="b">
        <f>IFERROR(VLOOKUP(B333,PatData!$A$2:$A$2000,1,),"")&lt;&gt;""</f>
        <v>1</v>
      </c>
      <c r="E333">
        <v>0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4647</v>
      </c>
      <c r="B334" t="s">
        <v>1980</v>
      </c>
      <c r="D334" t="b">
        <f>IFERROR(VLOOKUP(B334,PatData!$A$2:$A$2000,1,),"")&lt;&gt;""</f>
        <v>1</v>
      </c>
      <c r="E334">
        <v>0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4648</v>
      </c>
      <c r="B335" t="s">
        <v>1981</v>
      </c>
      <c r="D335" t="b">
        <f>IFERROR(VLOOKUP(B335,PatData!$A$2:$A$2000,1,),"")&lt;&gt;""</f>
        <v>1</v>
      </c>
      <c r="E335">
        <v>0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4649</v>
      </c>
      <c r="B336" t="s">
        <v>1982</v>
      </c>
      <c r="D336" t="b">
        <f>IFERROR(VLOOKUP(B336,PatData!$A$2:$A$2000,1,),"")&lt;&gt;""</f>
        <v>1</v>
      </c>
      <c r="E336">
        <v>0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4650</v>
      </c>
      <c r="B337" t="s">
        <v>1983</v>
      </c>
      <c r="D337" t="b">
        <f>IFERROR(VLOOKUP(B337,PatData!$A$2:$A$2000,1,),"")&lt;&gt;""</f>
        <v>1</v>
      </c>
      <c r="E337">
        <v>0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4651</v>
      </c>
      <c r="B338" t="s">
        <v>1984</v>
      </c>
      <c r="D338" t="b">
        <f>IFERROR(VLOOKUP(B338,PatData!$A$2:$A$2000,1,),"")&lt;&gt;""</f>
        <v>1</v>
      </c>
      <c r="E338">
        <v>0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4652</v>
      </c>
      <c r="B339" t="s">
        <v>1985</v>
      </c>
      <c r="D339" t="b">
        <f>IFERROR(VLOOKUP(B339,PatData!$A$2:$A$2000,1,),"")&lt;&gt;""</f>
        <v>1</v>
      </c>
      <c r="E339">
        <v>0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4653</v>
      </c>
      <c r="B340" t="s">
        <v>1986</v>
      </c>
      <c r="D340" t="b">
        <f>IFERROR(VLOOKUP(B340,PatData!$A$2:$A$2000,1,),"")&lt;&gt;""</f>
        <v>1</v>
      </c>
      <c r="E340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4654</v>
      </c>
      <c r="B341" t="s">
        <v>1987</v>
      </c>
      <c r="D341" t="b">
        <f>IFERROR(VLOOKUP(B341,PatData!$A$2:$A$2000,1,),"")&lt;&gt;""</f>
        <v>1</v>
      </c>
      <c r="E341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4655</v>
      </c>
      <c r="B342" t="s">
        <v>1988</v>
      </c>
      <c r="D342" t="b">
        <f>IFERROR(VLOOKUP(B342,PatData!$A$2:$A$2000,1,),"")&lt;&gt;""</f>
        <v>1</v>
      </c>
      <c r="E342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4656</v>
      </c>
      <c r="B343" t="s">
        <v>1989</v>
      </c>
      <c r="D343" t="b">
        <f>IFERROR(VLOOKUP(B343,PatData!$A$2:$A$2000,1,),"")&lt;&gt;""</f>
        <v>1</v>
      </c>
      <c r="E343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4657</v>
      </c>
      <c r="B344" t="s">
        <v>1990</v>
      </c>
      <c r="D344" t="b">
        <f>IFERROR(VLOOKUP(B344,PatData!$A$2:$A$2000,1,),"")&lt;&gt;""</f>
        <v>1</v>
      </c>
      <c r="E344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4658</v>
      </c>
      <c r="B345" t="s">
        <v>1991</v>
      </c>
      <c r="D345" t="b">
        <f>IFERROR(VLOOKUP(B345,PatData!$A$2:$A$2000,1,),"")&lt;&gt;""</f>
        <v>1</v>
      </c>
      <c r="E345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4659</v>
      </c>
      <c r="B346" t="s">
        <v>1992</v>
      </c>
      <c r="D346" t="b">
        <f>IFERROR(VLOOKUP(B346,PatData!$A$2:$A$2000,1,),"")&lt;&gt;""</f>
        <v>1</v>
      </c>
      <c r="E346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4660</v>
      </c>
      <c r="B347" t="s">
        <v>1993</v>
      </c>
      <c r="D347" t="b">
        <f>IFERROR(VLOOKUP(B347,PatData!$A$2:$A$2000,1,),"")&lt;&gt;""</f>
        <v>1</v>
      </c>
      <c r="E347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4661</v>
      </c>
      <c r="B348" t="s">
        <v>1994</v>
      </c>
      <c r="D348" t="b">
        <f>IFERROR(VLOOKUP(B348,PatData!$A$2:$A$2000,1,),"")&lt;&gt;""</f>
        <v>1</v>
      </c>
      <c r="E348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4662</v>
      </c>
      <c r="B349" t="s">
        <v>1995</v>
      </c>
      <c r="D349" t="b">
        <f>IFERROR(VLOOKUP(B349,PatData!$A$2:$A$2000,1,),"")&lt;&gt;""</f>
        <v>1</v>
      </c>
      <c r="E349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4663</v>
      </c>
      <c r="B350" t="s">
        <v>1996</v>
      </c>
      <c r="D350" t="b">
        <f>IFERROR(VLOOKUP(B350,PatData!$A$2:$A$2000,1,),"")&lt;&gt;""</f>
        <v>1</v>
      </c>
      <c r="E350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4664</v>
      </c>
      <c r="B351" t="s">
        <v>1997</v>
      </c>
      <c r="D351" t="b">
        <f>IFERROR(VLOOKUP(B351,PatData!$A$2:$A$2000,1,),"")&lt;&gt;""</f>
        <v>1</v>
      </c>
      <c r="E351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4665</v>
      </c>
      <c r="B352" t="s">
        <v>1998</v>
      </c>
      <c r="D352" t="b">
        <f>IFERROR(VLOOKUP(B352,PatData!$A$2:$A$2000,1,),"")&lt;&gt;""</f>
        <v>1</v>
      </c>
      <c r="E352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4666</v>
      </c>
      <c r="B353" t="s">
        <v>1999</v>
      </c>
      <c r="D353" t="b">
        <f>IFERROR(VLOOKUP(B353,PatData!$A$2:$A$2000,1,),"")&lt;&gt;""</f>
        <v>1</v>
      </c>
      <c r="E353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5539</v>
      </c>
      <c r="B354" t="s">
        <v>5540</v>
      </c>
      <c r="D354" t="b">
        <f>IFERROR(VLOOKUP(B354,PatData!$A$2:$A$2000,1,),"")&lt;&gt;""</f>
        <v>1</v>
      </c>
      <c r="E354"/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5541</v>
      </c>
      <c r="B355" t="s">
        <v>5542</v>
      </c>
      <c r="D355" t="b">
        <f>IFERROR(VLOOKUP(B355,PatData!$A$2:$A$2000,1,),"")&lt;&gt;""</f>
        <v>1</v>
      </c>
      <c r="E355"/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5543</v>
      </c>
      <c r="B356" t="s">
        <v>5544</v>
      </c>
      <c r="D356" t="b">
        <f>IFERROR(VLOOKUP(B356,PatData!$A$2:$A$2000,1,),"")&lt;&gt;""</f>
        <v>1</v>
      </c>
      <c r="E356"/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5545</v>
      </c>
      <c r="B357" t="s">
        <v>5546</v>
      </c>
      <c r="D357" t="b">
        <f>IFERROR(VLOOKUP(B357,PatData!$A$2:$A$2000,1,),"")&lt;&gt;""</f>
        <v>1</v>
      </c>
      <c r="E357"/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5547</v>
      </c>
      <c r="B358" t="s">
        <v>5548</v>
      </c>
      <c r="D358" t="b">
        <f>IFERROR(VLOOKUP(B358,PatData!$A$2:$A$2000,1,),"")&lt;&gt;""</f>
        <v>1</v>
      </c>
      <c r="E358"/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5549</v>
      </c>
      <c r="B359" t="s">
        <v>5550</v>
      </c>
      <c r="D359" t="b">
        <f>IFERROR(VLOOKUP(B359,PatData!$A$2:$A$2000,1,),"")&lt;&gt;""</f>
        <v>1</v>
      </c>
      <c r="E359"/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5551</v>
      </c>
      <c r="B360" t="s">
        <v>5552</v>
      </c>
      <c r="D360" t="b">
        <f>IFERROR(VLOOKUP(B360,PatData!$A$2:$A$2000,1,),"")&lt;&gt;""</f>
        <v>1</v>
      </c>
      <c r="E360"/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5553</v>
      </c>
      <c r="B361" t="s">
        <v>5554</v>
      </c>
      <c r="D361" t="b">
        <f>IFERROR(VLOOKUP(B361,PatData!$A$2:$A$2000,1,),"")&lt;&gt;""</f>
        <v>1</v>
      </c>
      <c r="E361"/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5555</v>
      </c>
      <c r="B362" t="s">
        <v>5556</v>
      </c>
      <c r="D362" t="b">
        <f>IFERROR(VLOOKUP(B362,PatData!$A$2:$A$2000,1,),"")&lt;&gt;""</f>
        <v>1</v>
      </c>
      <c r="E362"/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5557</v>
      </c>
      <c r="B363" t="s">
        <v>5558</v>
      </c>
      <c r="D363" t="b">
        <f>IFERROR(VLOOKUP(B363,PatData!$A$2:$A$2000,1,),"")&lt;&gt;""</f>
        <v>1</v>
      </c>
      <c r="E363"/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5559</v>
      </c>
      <c r="B364" t="s">
        <v>5560</v>
      </c>
      <c r="D364" t="b">
        <f>IFERROR(VLOOKUP(B364,PatData!$A$2:$A$2000,1,),"")&lt;&gt;""</f>
        <v>1</v>
      </c>
      <c r="E364"/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5561</v>
      </c>
      <c r="B365" t="s">
        <v>5562</v>
      </c>
      <c r="D365" t="b">
        <f>IFERROR(VLOOKUP(B365,PatData!$A$2:$A$2000,1,),"")&lt;&gt;""</f>
        <v>1</v>
      </c>
      <c r="E365"/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5563</v>
      </c>
      <c r="B366" t="s">
        <v>5564</v>
      </c>
      <c r="D366" t="b">
        <f>IFERROR(VLOOKUP(B366,PatData!$A$2:$A$2000,1,),"")&lt;&gt;""</f>
        <v>1</v>
      </c>
      <c r="E366"/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5565</v>
      </c>
      <c r="B367" t="s">
        <v>5566</v>
      </c>
      <c r="D367" t="b">
        <f>IFERROR(VLOOKUP(B367,PatData!$A$2:$A$2000,1,),"")&lt;&gt;""</f>
        <v>1</v>
      </c>
      <c r="E367"/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5567</v>
      </c>
      <c r="B368" t="s">
        <v>5568</v>
      </c>
      <c r="D368" t="b">
        <f>IFERROR(VLOOKUP(B368,PatData!$A$2:$A$2000,1,),"")&lt;&gt;""</f>
        <v>1</v>
      </c>
      <c r="E368"/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5569</v>
      </c>
      <c r="B369" t="s">
        <v>5570</v>
      </c>
      <c r="D369" t="b">
        <f>IFERROR(VLOOKUP(B369,PatData!$A$2:$A$2000,1,),"")&lt;&gt;""</f>
        <v>1</v>
      </c>
      <c r="E369"/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5571</v>
      </c>
      <c r="B370" t="s">
        <v>5572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5573</v>
      </c>
      <c r="B371" t="s">
        <v>5574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5575</v>
      </c>
      <c r="B372" t="s">
        <v>5576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5577</v>
      </c>
      <c r="B373" t="s">
        <v>5578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5579</v>
      </c>
      <c r="B374" t="s">
        <v>5580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5581</v>
      </c>
      <c r="B375" t="s">
        <v>5582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5583</v>
      </c>
      <c r="B376" t="s">
        <v>5584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5585</v>
      </c>
      <c r="B377" t="s">
        <v>5586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5587</v>
      </c>
      <c r="B378" t="s">
        <v>5588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5589</v>
      </c>
      <c r="B379" t="s">
        <v>5590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5591</v>
      </c>
      <c r="B380" t="s">
        <v>5592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5593</v>
      </c>
      <c r="B381" t="s">
        <v>5594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5595</v>
      </c>
      <c r="B382" t="s">
        <v>5596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5597</v>
      </c>
      <c r="B383" t="s">
        <v>5598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5887</v>
      </c>
      <c r="B384" t="s">
        <v>5888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5889</v>
      </c>
      <c r="B385" t="s">
        <v>5890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5891</v>
      </c>
      <c r="B386" t="s">
        <v>5892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5893</v>
      </c>
      <c r="B387" t="s">
        <v>5894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5895</v>
      </c>
      <c r="B388" t="s">
        <v>5896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5897</v>
      </c>
      <c r="B389" t="s">
        <v>5898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5899</v>
      </c>
      <c r="B390" t="s">
        <v>5900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5901</v>
      </c>
      <c r="B391" t="s">
        <v>5902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5903</v>
      </c>
      <c r="B392" t="s">
        <v>5904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5905</v>
      </c>
      <c r="B393" t="s">
        <v>5906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5907</v>
      </c>
      <c r="B394" t="s">
        <v>5908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5909</v>
      </c>
      <c r="B395" t="s">
        <v>5910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5911</v>
      </c>
      <c r="B396" t="s">
        <v>5912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5913</v>
      </c>
      <c r="B397" t="s">
        <v>5914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5915</v>
      </c>
      <c r="B398" t="s">
        <v>5916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5917</v>
      </c>
      <c r="B399" t="s">
        <v>5918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5919</v>
      </c>
      <c r="B400" t="s">
        <v>5920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5921</v>
      </c>
      <c r="B401" t="s">
        <v>5922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5923</v>
      </c>
      <c r="B402" t="s">
        <v>5924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5925</v>
      </c>
      <c r="B403" t="s">
        <v>5926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5927</v>
      </c>
      <c r="B404" t="s">
        <v>5928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5929</v>
      </c>
      <c r="B405" t="s">
        <v>5930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5931</v>
      </c>
      <c r="B406" t="s">
        <v>5932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5933</v>
      </c>
      <c r="B407" t="s">
        <v>5934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5935</v>
      </c>
      <c r="B408" t="s">
        <v>5936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5937</v>
      </c>
      <c r="B409" t="s">
        <v>5938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5939</v>
      </c>
      <c r="B410" t="s">
        <v>5940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5941</v>
      </c>
      <c r="B411" t="s">
        <v>5942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5943</v>
      </c>
      <c r="B412" t="s">
        <v>5944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5945</v>
      </c>
      <c r="B413" t="s">
        <v>5946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5599</v>
      </c>
      <c r="B414" t="s">
        <v>5600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5601</v>
      </c>
      <c r="B415" t="s">
        <v>5602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5603</v>
      </c>
      <c r="B416" t="s">
        <v>5604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5605</v>
      </c>
      <c r="B417" t="s">
        <v>5606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5607</v>
      </c>
      <c r="B418" t="s">
        <v>5608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5609</v>
      </c>
      <c r="B419" t="s">
        <v>5610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5611</v>
      </c>
      <c r="B420" t="s">
        <v>5612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5613</v>
      </c>
      <c r="B421" t="s">
        <v>5614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5615</v>
      </c>
      <c r="B422" t="s">
        <v>5616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5617</v>
      </c>
      <c r="B423" t="s">
        <v>5618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5619</v>
      </c>
      <c r="B424" t="s">
        <v>5620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5621</v>
      </c>
      <c r="B425" t="s">
        <v>5622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5623</v>
      </c>
      <c r="B426" t="s">
        <v>5624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5625</v>
      </c>
      <c r="B427" t="s">
        <v>5626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5627</v>
      </c>
      <c r="B428" t="s">
        <v>5628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5629</v>
      </c>
      <c r="B429" t="s">
        <v>5630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5631</v>
      </c>
      <c r="B430" t="s">
        <v>5632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5633</v>
      </c>
      <c r="B431" t="s">
        <v>5634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5635</v>
      </c>
      <c r="B432" t="s">
        <v>5636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5637</v>
      </c>
      <c r="B433" t="s">
        <v>5638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5639</v>
      </c>
      <c r="B434" t="s">
        <v>5640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5641</v>
      </c>
      <c r="B435" t="s">
        <v>5642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5643</v>
      </c>
      <c r="B436" t="s">
        <v>5644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5645</v>
      </c>
      <c r="B437" t="s">
        <v>5646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5647</v>
      </c>
      <c r="B438" t="s">
        <v>5648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5649</v>
      </c>
      <c r="B439" t="s">
        <v>5650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5651</v>
      </c>
      <c r="B440" t="s">
        <v>5652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5653</v>
      </c>
      <c r="B441" t="s">
        <v>5654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5655</v>
      </c>
      <c r="B442" t="s">
        <v>5656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5657</v>
      </c>
      <c r="B443" t="s">
        <v>5658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5947</v>
      </c>
      <c r="B444" t="s">
        <v>5948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5949</v>
      </c>
      <c r="B445" t="s">
        <v>5950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5951</v>
      </c>
      <c r="B446" t="s">
        <v>5952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5953</v>
      </c>
      <c r="B447" t="s">
        <v>5954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5955</v>
      </c>
      <c r="B448" t="s">
        <v>5956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5957</v>
      </c>
      <c r="B449" t="s">
        <v>5958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5959</v>
      </c>
      <c r="B450" t="s">
        <v>5960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5961</v>
      </c>
      <c r="B451" t="s">
        <v>5962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5963</v>
      </c>
      <c r="B452" t="s">
        <v>5964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5965</v>
      </c>
      <c r="B453" t="s">
        <v>5966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5967</v>
      </c>
      <c r="B454" t="s">
        <v>5968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5969</v>
      </c>
      <c r="B455" t="s">
        <v>5970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5971</v>
      </c>
      <c r="B456" t="s">
        <v>5972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5973</v>
      </c>
      <c r="B457" t="s">
        <v>5974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5975</v>
      </c>
      <c r="B458" t="s">
        <v>5976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5977</v>
      </c>
      <c r="B459" t="s">
        <v>5978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5979</v>
      </c>
      <c r="B460" t="s">
        <v>5980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5981</v>
      </c>
      <c r="B461" t="s">
        <v>5982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5983</v>
      </c>
      <c r="B462" t="s">
        <v>5984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5985</v>
      </c>
      <c r="B463" t="s">
        <v>5986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5987</v>
      </c>
      <c r="B464" t="s">
        <v>5988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5989</v>
      </c>
      <c r="B465" t="s">
        <v>5990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5991</v>
      </c>
      <c r="B466" t="s">
        <v>5992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5993</v>
      </c>
      <c r="B467" t="s">
        <v>5994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5995</v>
      </c>
      <c r="B468" t="s">
        <v>5996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5997</v>
      </c>
      <c r="B469" t="s">
        <v>5998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5999</v>
      </c>
      <c r="B470" t="s">
        <v>6000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6001</v>
      </c>
      <c r="B471" t="s">
        <v>6002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6003</v>
      </c>
      <c r="B472" t="s">
        <v>6004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6005</v>
      </c>
      <c r="B473" t="s">
        <v>6006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5659</v>
      </c>
      <c r="B474" t="s">
        <v>5660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5661</v>
      </c>
      <c r="B475" t="s">
        <v>5662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5663</v>
      </c>
      <c r="B476" t="s">
        <v>5664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5665</v>
      </c>
      <c r="B477" t="s">
        <v>5666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5667</v>
      </c>
      <c r="B478" t="s">
        <v>5668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5669</v>
      </c>
      <c r="B479" t="s">
        <v>5670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5671</v>
      </c>
      <c r="B480" t="s">
        <v>5672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5673</v>
      </c>
      <c r="B481" t="s">
        <v>5674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5675</v>
      </c>
      <c r="B482" t="s">
        <v>5676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5677</v>
      </c>
      <c r="B483" t="s">
        <v>5678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5679</v>
      </c>
      <c r="B484" t="s">
        <v>5680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5681</v>
      </c>
      <c r="B485" t="s">
        <v>5682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5683</v>
      </c>
      <c r="B486" t="s">
        <v>5684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5685</v>
      </c>
      <c r="B487" t="s">
        <v>5686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5687</v>
      </c>
      <c r="B488" t="s">
        <v>5688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5689</v>
      </c>
      <c r="B489" t="s">
        <v>5690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5691</v>
      </c>
      <c r="B490" t="s">
        <v>5692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5693</v>
      </c>
      <c r="B491" t="s">
        <v>5694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5695</v>
      </c>
      <c r="B492" t="s">
        <v>5696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5697</v>
      </c>
      <c r="B493" t="s">
        <v>5698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5699</v>
      </c>
      <c r="B494" t="s">
        <v>5700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5701</v>
      </c>
      <c r="B495" t="s">
        <v>5702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5703</v>
      </c>
      <c r="B496" t="s">
        <v>5704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5705</v>
      </c>
      <c r="B497" t="s">
        <v>5706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5707</v>
      </c>
      <c r="B498" t="s">
        <v>5708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5709</v>
      </c>
      <c r="B499" t="s">
        <v>5710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5711</v>
      </c>
      <c r="B500" t="s">
        <v>5712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5713</v>
      </c>
      <c r="B501" t="s">
        <v>5714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5715</v>
      </c>
      <c r="B502" t="s">
        <v>5716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5717</v>
      </c>
      <c r="B503" t="s">
        <v>5718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4667</v>
      </c>
      <c r="B504" t="s">
        <v>2000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4668</v>
      </c>
      <c r="B505" t="s">
        <v>2001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4669</v>
      </c>
      <c r="B506" t="s">
        <v>2002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4670</v>
      </c>
      <c r="B507" t="s">
        <v>2003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4671</v>
      </c>
      <c r="B508" t="s">
        <v>2004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4672</v>
      </c>
      <c r="B509" t="s">
        <v>2005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4673</v>
      </c>
      <c r="B510" t="s">
        <v>2006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4674</v>
      </c>
      <c r="B511" t="s">
        <v>2007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4675</v>
      </c>
      <c r="B512" t="s">
        <v>2008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4676</v>
      </c>
      <c r="B513" t="s">
        <v>2009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4677</v>
      </c>
      <c r="B514" t="s">
        <v>2010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4678</v>
      </c>
      <c r="B515" t="s">
        <v>2011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4679</v>
      </c>
      <c r="B516" t="s">
        <v>2012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4680</v>
      </c>
      <c r="B517" t="s">
        <v>2013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4681</v>
      </c>
      <c r="B518" t="s">
        <v>2014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4682</v>
      </c>
      <c r="B519" t="s">
        <v>2015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4683</v>
      </c>
      <c r="B520" t="s">
        <v>2016</v>
      </c>
      <c r="D520" t="b">
        <f>IFERROR(VLOOKUP(B520,PatData!$A$2:$A$2000,1,),"")&lt;&gt;""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4684</v>
      </c>
      <c r="B521" t="s">
        <v>2017</v>
      </c>
      <c r="D521" t="b">
        <f>IFERROR(VLOOKUP(B521,PatData!$A$2:$A$2000,1,),"")&lt;&gt;""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4685</v>
      </c>
      <c r="B522" t="s">
        <v>2018</v>
      </c>
      <c r="D522" t="b">
        <f>IFERROR(VLOOKUP(B522,PatData!$A$2:$A$2000,1,),"")&lt;&gt;""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4686</v>
      </c>
      <c r="B523" t="s">
        <v>2019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4687</v>
      </c>
      <c r="B524" t="s">
        <v>2020</v>
      </c>
      <c r="D524" t="b">
        <f>IFERROR(VLOOKUP(B524,PatData!$A$2:$A$2000,1,),"")&lt;&gt;""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4688</v>
      </c>
      <c r="B525" t="s">
        <v>2021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4689</v>
      </c>
      <c r="B526" t="s">
        <v>2022</v>
      </c>
      <c r="D526" t="b">
        <f>IFERROR(VLOOKUP(B526,PatData!$A$2:$A$2000,1,),"")&lt;&gt;""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4690</v>
      </c>
      <c r="B527" t="s">
        <v>2023</v>
      </c>
      <c r="D527" t="b">
        <f>IFERROR(VLOOKUP(B527,PatData!$A$2:$A$2000,1,),"")&lt;&gt;""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4691</v>
      </c>
      <c r="B528" t="s">
        <v>2024</v>
      </c>
      <c r="D528" t="b">
        <f>IFERROR(VLOOKUP(B528,PatData!$A$2:$A$2000,1,),"")&lt;&gt;""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4692</v>
      </c>
      <c r="B529" t="s">
        <v>2025</v>
      </c>
      <c r="D529" t="b">
        <f>IFERROR(VLOOKUP(B529,PatData!$A$2:$A$2000,1,),"")&lt;&gt;""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4693</v>
      </c>
      <c r="B530" t="s">
        <v>2026</v>
      </c>
      <c r="D530" t="b">
        <f>IFERROR(VLOOKUP(B530,PatData!$A$2:$A$2000,1,),"")&lt;&gt;""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4694</v>
      </c>
      <c r="B531" t="s">
        <v>2027</v>
      </c>
      <c r="D531" t="b">
        <f>IFERROR(VLOOKUP(B531,PatData!$A$2:$A$2000,1,),"")&lt;&gt;""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4695</v>
      </c>
      <c r="B532" t="s">
        <v>2028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4696</v>
      </c>
      <c r="B533" t="s">
        <v>2029</v>
      </c>
      <c r="D533" t="b">
        <f>IFERROR(VLOOKUP(B533,PatData!$A$2:$A$2000,1,),"")&lt;&gt;""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5719</v>
      </c>
      <c r="B534" t="s">
        <v>5720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5721</v>
      </c>
      <c r="B535" t="s">
        <v>5722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5723</v>
      </c>
      <c r="B536" t="s">
        <v>5724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5725</v>
      </c>
      <c r="B537" t="s">
        <v>5726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5727</v>
      </c>
      <c r="B538" t="s">
        <v>5728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5729</v>
      </c>
      <c r="B539" t="s">
        <v>5730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5731</v>
      </c>
      <c r="B540" t="s">
        <v>5732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5733</v>
      </c>
      <c r="B541" t="s">
        <v>5734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5735</v>
      </c>
      <c r="B542" t="s">
        <v>5736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5737</v>
      </c>
      <c r="B543" t="s">
        <v>5738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5739</v>
      </c>
      <c r="B544" t="s">
        <v>5740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5741</v>
      </c>
      <c r="B545" t="s">
        <v>5742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5743</v>
      </c>
      <c r="B546" t="s">
        <v>5744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5745</v>
      </c>
      <c r="B547" t="s">
        <v>5746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5747</v>
      </c>
      <c r="B548" t="s">
        <v>5748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5749</v>
      </c>
      <c r="B549" t="s">
        <v>5750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5751</v>
      </c>
      <c r="B550" t="s">
        <v>5752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5753</v>
      </c>
      <c r="B551" t="s">
        <v>5754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5755</v>
      </c>
      <c r="B552" t="s">
        <v>5756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5757</v>
      </c>
      <c r="B553" t="s">
        <v>5758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5759</v>
      </c>
      <c r="B554" t="s">
        <v>5760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5761</v>
      </c>
      <c r="B555" t="s">
        <v>5762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5763</v>
      </c>
      <c r="B556" t="s">
        <v>5764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5765</v>
      </c>
      <c r="B557" t="s">
        <v>5766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5767</v>
      </c>
      <c r="B558" t="s">
        <v>5768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5769</v>
      </c>
      <c r="B559" t="s">
        <v>5770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5771</v>
      </c>
      <c r="B560" t="s">
        <v>5772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5773</v>
      </c>
      <c r="B561" t="s">
        <v>5774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5775</v>
      </c>
      <c r="B562" t="s">
        <v>5776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5777</v>
      </c>
      <c r="B563" t="s">
        <v>5778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3028</v>
      </c>
      <c r="B564" t="s">
        <v>2030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3029</v>
      </c>
      <c r="B565" t="s">
        <v>2031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3030</v>
      </c>
      <c r="B566" t="s">
        <v>2032</v>
      </c>
      <c r="D566" t="b">
        <f>IFERROR(VLOOKUP(B566,PatData!$A$2:$A$2000,1,),"")&lt;&gt;""</f>
        <v>1</v>
      </c>
      <c r="E566">
        <v>0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3031</v>
      </c>
      <c r="B567" t="s">
        <v>2033</v>
      </c>
      <c r="D567" t="b">
        <f>IFERROR(VLOOKUP(B567,PatData!$A$2:$A$2000,1,),"")&lt;&gt;""</f>
        <v>1</v>
      </c>
      <c r="E567">
        <v>0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3032</v>
      </c>
      <c r="B568" t="s">
        <v>2034</v>
      </c>
      <c r="D568" t="b">
        <f>IFERROR(VLOOKUP(B568,PatData!$A$2:$A$2000,1,),"")&lt;&gt;""</f>
        <v>1</v>
      </c>
      <c r="E568">
        <v>0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3033</v>
      </c>
      <c r="B569" t="s">
        <v>2035</v>
      </c>
      <c r="D569" t="b">
        <f>IFERROR(VLOOKUP(B569,PatData!$A$2:$A$2000,1,),"")&lt;&gt;""</f>
        <v>1</v>
      </c>
      <c r="E569">
        <v>0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3034</v>
      </c>
      <c r="B570" t="s">
        <v>2036</v>
      </c>
      <c r="D570" t="b">
        <f>IFERROR(VLOOKUP(B570,PatData!$A$2:$A$2000,1,),"")&lt;&gt;""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3035</v>
      </c>
      <c r="B571" t="s">
        <v>2037</v>
      </c>
      <c r="D571" t="b">
        <f>IFERROR(VLOOKUP(B571,PatData!$A$2:$A$2000,1,),"")&lt;&gt;""</f>
        <v>1</v>
      </c>
      <c r="E571">
        <v>0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3036</v>
      </c>
      <c r="B572" t="s">
        <v>2038</v>
      </c>
      <c r="D572" t="b">
        <f>IFERROR(VLOOKUP(B572,PatData!$A$2:$A$2000,1,),"")&lt;&gt;""</f>
        <v>1</v>
      </c>
      <c r="E572">
        <v>0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3037</v>
      </c>
      <c r="B573" t="s">
        <v>2039</v>
      </c>
      <c r="D573" t="b">
        <f>IFERROR(VLOOKUP(B573,PatData!$A$2:$A$2000,1,),"")&lt;&gt;""</f>
        <v>1</v>
      </c>
      <c r="E573">
        <v>0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3038</v>
      </c>
      <c r="B574" t="s">
        <v>2040</v>
      </c>
      <c r="D574" t="b">
        <f>IFERROR(VLOOKUP(B574,PatData!$A$2:$A$2000,1,),"")&lt;&gt;""</f>
        <v>1</v>
      </c>
      <c r="E574">
        <v>0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3039</v>
      </c>
      <c r="B575" t="s">
        <v>2041</v>
      </c>
      <c r="D575" t="b">
        <f>IFERROR(VLOOKUP(B575,PatData!$A$2:$A$2000,1,),"")&lt;&gt;""</f>
        <v>1</v>
      </c>
      <c r="E575">
        <v>0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3040</v>
      </c>
      <c r="B576" t="s">
        <v>2042</v>
      </c>
      <c r="D576" t="b">
        <f>IFERROR(VLOOKUP(B576,PatData!$A$2:$A$2000,1,),"")&lt;&gt;""</f>
        <v>1</v>
      </c>
      <c r="E576">
        <v>0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3041</v>
      </c>
      <c r="B577" t="s">
        <v>2043</v>
      </c>
      <c r="D577" t="b">
        <f>IFERROR(VLOOKUP(B577,PatData!$A$2:$A$2000,1,),"")&lt;&gt;""</f>
        <v>1</v>
      </c>
      <c r="E577">
        <v>0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3042</v>
      </c>
      <c r="B578" t="s">
        <v>2044</v>
      </c>
      <c r="D578" t="b">
        <f>IFERROR(VLOOKUP(B578,PatData!$A$2:$A$2000,1,),"")&lt;&gt;""</f>
        <v>1</v>
      </c>
      <c r="E578">
        <v>0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3043</v>
      </c>
      <c r="B579" t="s">
        <v>2045</v>
      </c>
      <c r="D579" t="b">
        <f>IFERROR(VLOOKUP(B579,PatData!$A$2:$A$2000,1,),"")&lt;&gt;""</f>
        <v>1</v>
      </c>
      <c r="E579">
        <v>0</v>
      </c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3044</v>
      </c>
      <c r="B580" t="s">
        <v>2046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3045</v>
      </c>
      <c r="B581" t="s">
        <v>2047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3046</v>
      </c>
      <c r="B582" t="s">
        <v>2048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3047</v>
      </c>
      <c r="B583" t="s">
        <v>2049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3048</v>
      </c>
      <c r="B584" t="s">
        <v>2050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3049</v>
      </c>
      <c r="B585" t="s">
        <v>2051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3050</v>
      </c>
      <c r="B586" t="s">
        <v>2052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3051</v>
      </c>
      <c r="B587" t="s">
        <v>2053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3052</v>
      </c>
      <c r="B588" t="s">
        <v>2054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3053</v>
      </c>
      <c r="B589" t="s">
        <v>2055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3054</v>
      </c>
      <c r="B590" t="s">
        <v>2056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3055</v>
      </c>
      <c r="B591" t="s">
        <v>2057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3056</v>
      </c>
      <c r="B592" t="s">
        <v>2058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3057</v>
      </c>
      <c r="B593" t="s">
        <v>2059</v>
      </c>
      <c r="C593"/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5779</v>
      </c>
      <c r="B594" t="s">
        <v>2060</v>
      </c>
      <c r="C594"/>
      <c r="D594" t="b">
        <f>IFERROR(VLOOKUP(B594,PatData!$A$2:$A$2000,1,),"")&lt;&gt;""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5780</v>
      </c>
      <c r="B595" t="s">
        <v>2061</v>
      </c>
      <c r="C595"/>
      <c r="D595" t="b">
        <f>IFERROR(VLOOKUP(B595,PatData!$A$2:$A$2000,1,),"")&lt;&gt;""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5781</v>
      </c>
      <c r="B596" t="s">
        <v>2062</v>
      </c>
      <c r="C596"/>
      <c r="D596" t="b">
        <f>IFERROR(VLOOKUP(B596,PatData!$A$2:$A$2000,1,),"")&lt;&gt;""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5782</v>
      </c>
      <c r="B597" t="s">
        <v>2063</v>
      </c>
      <c r="C597"/>
      <c r="D597" t="b">
        <f>IFERROR(VLOOKUP(B597,PatData!$A$2:$A$2000,1,),"")&lt;&gt;""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5783</v>
      </c>
      <c r="B598" t="s">
        <v>2064</v>
      </c>
      <c r="C598"/>
      <c r="D598" t="b">
        <f>IFERROR(VLOOKUP(B598,PatData!$A$2:$A$2000,1,),"")&lt;&gt;""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5784</v>
      </c>
      <c r="B599" t="s">
        <v>2065</v>
      </c>
      <c r="C599"/>
      <c r="D599" t="b">
        <f>IFERROR(VLOOKUP(B599,PatData!$A$2:$A$2000,1,),"")&lt;&gt;""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5785</v>
      </c>
      <c r="B600" t="s">
        <v>2066</v>
      </c>
      <c r="C600"/>
      <c r="D600" t="b">
        <f>IFERROR(VLOOKUP(B600,PatData!$A$2:$A$2000,1,),"")&lt;&gt;""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5786</v>
      </c>
      <c r="B601" t="s">
        <v>2067</v>
      </c>
      <c r="C601"/>
      <c r="D601" t="b">
        <f>IFERROR(VLOOKUP(B601,PatData!$A$2:$A$2000,1,),"")&lt;&gt;""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5787</v>
      </c>
      <c r="B602" t="s">
        <v>2068</v>
      </c>
      <c r="C602"/>
      <c r="D602" t="b">
        <f>IFERROR(VLOOKUP(B602,PatData!$A$2:$A$2000,1,),"")&lt;&gt;""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5788</v>
      </c>
      <c r="B603" t="s">
        <v>2069</v>
      </c>
      <c r="C603"/>
      <c r="D603" t="b">
        <f>IFERROR(VLOOKUP(B603,PatData!$A$2:$A$2000,1,),"")&lt;&gt;""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5789</v>
      </c>
      <c r="B604" t="s">
        <v>2070</v>
      </c>
      <c r="C604"/>
      <c r="D604" t="b">
        <f>IFERROR(VLOOKUP(B604,PatData!$A$2:$A$2000,1,),"")&lt;&gt;""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5790</v>
      </c>
      <c r="B605" t="s">
        <v>2071</v>
      </c>
      <c r="C605"/>
      <c r="D605" t="b">
        <f>IFERROR(VLOOKUP(B605,PatData!$A$2:$A$2000,1,),"")&lt;&gt;""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5791</v>
      </c>
      <c r="B606" t="s">
        <v>2072</v>
      </c>
      <c r="C606"/>
      <c r="D606" t="b">
        <f>IFERROR(VLOOKUP(B606,PatData!$A$2:$A$2000,1,),"")&lt;&gt;""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5792</v>
      </c>
      <c r="B607" t="s">
        <v>2073</v>
      </c>
      <c r="C607"/>
      <c r="D607" t="b">
        <f>IFERROR(VLOOKUP(B607,PatData!$A$2:$A$2000,1,),"")&lt;&gt;""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5793</v>
      </c>
      <c r="B608" t="s">
        <v>2074</v>
      </c>
      <c r="C608"/>
      <c r="D608" t="b">
        <f>IFERROR(VLOOKUP(B608,PatData!$A$2:$A$2000,1,),"")&lt;&gt;""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5794</v>
      </c>
      <c r="B609" t="s">
        <v>2075</v>
      </c>
      <c r="C609"/>
      <c r="D609" t="b">
        <f>IFERROR(VLOOKUP(B609,PatData!$A$2:$A$2000,1,),"")&lt;&gt;""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5795</v>
      </c>
      <c r="B610" t="s">
        <v>2076</v>
      </c>
      <c r="C610"/>
      <c r="D610" t="b">
        <f>IFERROR(VLOOKUP(B610,PatData!$A$2:$A$2000,1,),"")&lt;&gt;""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5796</v>
      </c>
      <c r="B611" t="s">
        <v>2077</v>
      </c>
      <c r="C611"/>
      <c r="D611" t="b">
        <f>IFERROR(VLOOKUP(B611,PatData!$A$2:$A$2000,1,),"")&lt;&gt;""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5797</v>
      </c>
      <c r="B612" t="s">
        <v>2078</v>
      </c>
      <c r="C612"/>
      <c r="D612" t="b">
        <f>IFERROR(VLOOKUP(B612,PatData!$A$2:$A$2000,1,),"")&lt;&gt;""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5798</v>
      </c>
      <c r="B613" t="s">
        <v>2079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5799</v>
      </c>
      <c r="B614" t="s">
        <v>2080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5800</v>
      </c>
      <c r="B615" t="s">
        <v>2081</v>
      </c>
      <c r="C615"/>
      <c r="D615" t="b">
        <f>IFERROR(VLOOKUP(B615,PatData!$A$2:$A$2000,1,),"")&lt;&gt;""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5801</v>
      </c>
      <c r="B616" t="s">
        <v>2082</v>
      </c>
      <c r="C616"/>
      <c r="D616" t="b">
        <f>IFERROR(VLOOKUP(B616,PatData!$A$2:$A$2000,1,),"")&lt;&gt;""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5802</v>
      </c>
      <c r="B617" t="s">
        <v>2083</v>
      </c>
      <c r="C617"/>
      <c r="D617" t="b">
        <f>IFERROR(VLOOKUP(B617,PatData!$A$2:$A$2000,1,),"")&lt;&gt;""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5803</v>
      </c>
      <c r="B618" t="s">
        <v>2084</v>
      </c>
      <c r="C618"/>
      <c r="D618" t="b">
        <f>IFERROR(VLOOKUP(B618,PatData!$A$2:$A$2000,1,),"")&lt;&gt;""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5804</v>
      </c>
      <c r="B619" t="s">
        <v>2085</v>
      </c>
      <c r="C619"/>
      <c r="D619" t="b">
        <f>IFERROR(VLOOKUP(B619,PatData!$A$2:$A$2000,1,),"")&lt;&gt;""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5805</v>
      </c>
      <c r="B620" t="s">
        <v>2086</v>
      </c>
      <c r="C620"/>
      <c r="D620" t="b">
        <f>IFERROR(VLOOKUP(B620,PatData!$A$2:$A$2000,1,),"")&lt;&gt;""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5806</v>
      </c>
      <c r="B621" t="s">
        <v>2087</v>
      </c>
      <c r="C621"/>
      <c r="D621" t="b">
        <f>IFERROR(VLOOKUP(B621,PatData!$A$2:$A$2000,1,),"")&lt;&gt;""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5807</v>
      </c>
      <c r="B622" t="s">
        <v>2088</v>
      </c>
      <c r="C622"/>
      <c r="D622" t="b">
        <f>IFERROR(VLOOKUP(B622,PatData!$A$2:$A$2000,1,),"")&lt;&gt;""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5808</v>
      </c>
      <c r="B623" t="s">
        <v>2089</v>
      </c>
      <c r="C623"/>
      <c r="D623" t="b">
        <f>IFERROR(VLOOKUP(B623,PatData!$A$2:$A$2000,1,),"")&lt;&gt;""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3088</v>
      </c>
      <c r="B624" t="s">
        <v>3369</v>
      </c>
      <c r="C624"/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3089</v>
      </c>
      <c r="B625" t="s">
        <v>3370</v>
      </c>
      <c r="C625"/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3090</v>
      </c>
      <c r="B626" t="s">
        <v>3371</v>
      </c>
      <c r="C626"/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3091</v>
      </c>
      <c r="B627" t="s">
        <v>3372</v>
      </c>
      <c r="C627"/>
      <c r="D627" t="b">
        <f>IFERROR(VLOOKUP(B627,PatData!$A$2:$A$2000,1,),"")&lt;&gt;""</f>
        <v>1</v>
      </c>
      <c r="E627" t="b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3092</v>
      </c>
      <c r="B628" t="s">
        <v>3373</v>
      </c>
      <c r="C628"/>
      <c r="D628" t="b">
        <f>IFERROR(VLOOKUP(B628,PatData!$A$2:$A$2000,1,),"")&lt;&gt;""</f>
        <v>1</v>
      </c>
      <c r="E628" t="b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3093</v>
      </c>
      <c r="B629" t="s">
        <v>3374</v>
      </c>
      <c r="C629"/>
      <c r="D629" t="b">
        <f>IFERROR(VLOOKUP(B629,PatData!$A$2:$A$2000,1,),"")&lt;&gt;""</f>
        <v>1</v>
      </c>
      <c r="E629" t="b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3094</v>
      </c>
      <c r="B630" t="s">
        <v>3375</v>
      </c>
      <c r="C630"/>
      <c r="D630" t="b">
        <f>IFERROR(VLOOKUP(B630,PatData!$A$2:$A$2000,1,),"")&lt;&gt;""</f>
        <v>1</v>
      </c>
      <c r="E630" t="b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3095</v>
      </c>
      <c r="B631" t="s">
        <v>3376</v>
      </c>
      <c r="C631"/>
      <c r="D631" t="b">
        <f>IFERROR(VLOOKUP(B631,PatData!$A$2:$A$2000,1,),"")&lt;&gt;""</f>
        <v>1</v>
      </c>
      <c r="E631" t="b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3096</v>
      </c>
      <c r="B632" t="s">
        <v>3377</v>
      </c>
      <c r="C632"/>
      <c r="D632" t="b">
        <f>IFERROR(VLOOKUP(B632,PatData!$A$2:$A$2000,1,),"")&lt;&gt;""</f>
        <v>1</v>
      </c>
      <c r="E632" t="b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3097</v>
      </c>
      <c r="B633" t="s">
        <v>3378</v>
      </c>
      <c r="C633"/>
      <c r="D633" t="b">
        <f>IFERROR(VLOOKUP(B633,PatData!$A$2:$A$2000,1,),"")&lt;&gt;""</f>
        <v>1</v>
      </c>
      <c r="E633" t="b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3098</v>
      </c>
      <c r="B634" t="s">
        <v>3379</v>
      </c>
      <c r="C634"/>
      <c r="D634" t="b">
        <f>IFERROR(VLOOKUP(B634,PatData!$A$2:$A$2000,1,),"")&lt;&gt;""</f>
        <v>1</v>
      </c>
      <c r="E634" t="b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3099</v>
      </c>
      <c r="B635" t="s">
        <v>3380</v>
      </c>
      <c r="C635"/>
      <c r="D635" t="b">
        <f>IFERROR(VLOOKUP(B635,PatData!$A$2:$A$2000,1,),"")&lt;&gt;""</f>
        <v>1</v>
      </c>
      <c r="E635" t="b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3100</v>
      </c>
      <c r="B636" t="s">
        <v>3381</v>
      </c>
      <c r="C636"/>
      <c r="D636" t="b">
        <f>IFERROR(VLOOKUP(B636,PatData!$A$2:$A$2000,1,),"")&lt;&gt;""</f>
        <v>1</v>
      </c>
      <c r="E636" t="b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3101</v>
      </c>
      <c r="B637" t="s">
        <v>3382</v>
      </c>
      <c r="C637"/>
      <c r="D637" t="b">
        <f>IFERROR(VLOOKUP(B637,PatData!$A$2:$A$2000,1,),"")&lt;&gt;""</f>
        <v>1</v>
      </c>
      <c r="E637" t="b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3102</v>
      </c>
      <c r="B638" t="s">
        <v>3383</v>
      </c>
      <c r="C638"/>
      <c r="D638" t="b">
        <f>IFERROR(VLOOKUP(B638,PatData!$A$2:$A$2000,1,),"")&lt;&gt;""</f>
        <v>1</v>
      </c>
      <c r="E638" t="b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3103</v>
      </c>
      <c r="B639" t="s">
        <v>3384</v>
      </c>
      <c r="C639"/>
      <c r="D639" t="b">
        <f>IFERROR(VLOOKUP(B639,PatData!$A$2:$A$2000,1,),"")&lt;&gt;""</f>
        <v>1</v>
      </c>
      <c r="E639" t="b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3104</v>
      </c>
      <c r="B640" t="s">
        <v>3385</v>
      </c>
      <c r="C640"/>
      <c r="D640" t="b">
        <f>IFERROR(VLOOKUP(B640,PatData!$A$2:$A$2000,1,),"")&lt;&gt;""</f>
        <v>1</v>
      </c>
      <c r="E640" t="b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3105</v>
      </c>
      <c r="B641" t="s">
        <v>3386</v>
      </c>
      <c r="C641"/>
      <c r="D641" t="b">
        <f>IFERROR(VLOOKUP(B641,PatData!$A$2:$A$2000,1,),"")&lt;&gt;""</f>
        <v>1</v>
      </c>
      <c r="E641" t="b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3106</v>
      </c>
      <c r="B642" t="s">
        <v>3387</v>
      </c>
      <c r="C642"/>
      <c r="D642" t="b">
        <f>IFERROR(VLOOKUP(B642,PatData!$A$2:$A$2000,1,),"")&lt;&gt;""</f>
        <v>1</v>
      </c>
      <c r="E642" t="b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3107</v>
      </c>
      <c r="B643" t="s">
        <v>3388</v>
      </c>
      <c r="C643"/>
      <c r="D643" t="b">
        <f>IFERROR(VLOOKUP(B643,PatData!$A$2:$A$2000,1,),"")&lt;&gt;""</f>
        <v>1</v>
      </c>
      <c r="E643" t="b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3108</v>
      </c>
      <c r="B644" t="s">
        <v>3389</v>
      </c>
      <c r="C644"/>
      <c r="D644" t="b">
        <f>IFERROR(VLOOKUP(B644,PatData!$A$2:$A$2000,1,),"")&lt;&gt;""</f>
        <v>1</v>
      </c>
      <c r="E644" t="b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3109</v>
      </c>
      <c r="B645" t="s">
        <v>3390</v>
      </c>
      <c r="C645"/>
      <c r="D645" t="b">
        <f>IFERROR(VLOOKUP(B645,PatData!$A$2:$A$2000,1,),"")&lt;&gt;""</f>
        <v>1</v>
      </c>
      <c r="E645" t="b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3110</v>
      </c>
      <c r="B646" t="s">
        <v>3391</v>
      </c>
      <c r="C646"/>
      <c r="D646" t="b">
        <f>IFERROR(VLOOKUP(B646,PatData!$A$2:$A$2000,1,),"")&lt;&gt;""</f>
        <v>1</v>
      </c>
      <c r="E646" t="b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3111</v>
      </c>
      <c r="B647" t="s">
        <v>3392</v>
      </c>
      <c r="C647"/>
      <c r="D647" t="b">
        <f>IFERROR(VLOOKUP(B647,PatData!$A$2:$A$2000,1,),"")&lt;&gt;""</f>
        <v>1</v>
      </c>
      <c r="E647" t="b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3112</v>
      </c>
      <c r="B648" t="s">
        <v>3393</v>
      </c>
      <c r="C648"/>
      <c r="D648" t="b">
        <f>IFERROR(VLOOKUP(B648,PatData!$A$2:$A$2000,1,),"")&lt;&gt;""</f>
        <v>1</v>
      </c>
      <c r="E648" t="b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3113</v>
      </c>
      <c r="B649" t="s">
        <v>3394</v>
      </c>
      <c r="C649"/>
      <c r="D649" t="b">
        <f>IFERROR(VLOOKUP(B649,PatData!$A$2:$A$2000,1,),"")&lt;&gt;""</f>
        <v>1</v>
      </c>
      <c r="E649" t="b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3114</v>
      </c>
      <c r="B650" t="s">
        <v>3395</v>
      </c>
      <c r="C650"/>
      <c r="D650" t="b">
        <f>IFERROR(VLOOKUP(B650,PatData!$A$2:$A$2000,1,),"")&lt;&gt;""</f>
        <v>1</v>
      </c>
      <c r="E650" t="b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3115</v>
      </c>
      <c r="B651" t="s">
        <v>3396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3116</v>
      </c>
      <c r="B652" t="s">
        <v>3397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3117</v>
      </c>
      <c r="B653" t="s">
        <v>3398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2908</v>
      </c>
      <c r="B654" t="s">
        <v>3399</v>
      </c>
      <c r="C654"/>
      <c r="D654" t="b">
        <f>IFERROR(VLOOKUP(B654,PatData!$A$2:$A$2000,1,),"")&lt;&gt;""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2909</v>
      </c>
      <c r="B655" t="s">
        <v>3400</v>
      </c>
      <c r="C655"/>
      <c r="D655" t="b">
        <f>IFERROR(VLOOKUP(B655,PatData!$A$2:$A$2000,1,),"")&lt;&gt;""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2910</v>
      </c>
      <c r="B656" t="s">
        <v>3401</v>
      </c>
      <c r="C656"/>
      <c r="D656" t="b">
        <f>IFERROR(VLOOKUP(B656,PatData!$A$2:$A$2000,1,),"")&lt;&gt;""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2911</v>
      </c>
      <c r="B657" t="s">
        <v>3402</v>
      </c>
      <c r="C657"/>
      <c r="D657" t="b">
        <f>IFERROR(VLOOKUP(B657,PatData!$A$2:$A$2000,1,),"")&lt;&gt;""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2912</v>
      </c>
      <c r="B658" t="s">
        <v>3403</v>
      </c>
      <c r="C658"/>
      <c r="D658" t="b">
        <f>IFERROR(VLOOKUP(B658,PatData!$A$2:$A$2000,1,),"")&lt;&gt;""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2913</v>
      </c>
      <c r="B659" t="s">
        <v>3404</v>
      </c>
      <c r="C659"/>
      <c r="D659" t="b">
        <f>IFERROR(VLOOKUP(B659,PatData!$A$2:$A$2000,1,),"")&lt;&gt;""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2914</v>
      </c>
      <c r="B660" t="s">
        <v>3405</v>
      </c>
      <c r="C660"/>
      <c r="D660" t="b">
        <f>IFERROR(VLOOKUP(B660,PatData!$A$2:$A$2000,1,),"")&lt;&gt;""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2915</v>
      </c>
      <c r="B661" t="s">
        <v>3406</v>
      </c>
      <c r="C661"/>
      <c r="D661" t="b">
        <f>IFERROR(VLOOKUP(B661,PatData!$A$2:$A$2000,1,),"")&lt;&gt;""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2916</v>
      </c>
      <c r="B662" t="s">
        <v>3407</v>
      </c>
      <c r="C662"/>
      <c r="D662" t="b">
        <f>IFERROR(VLOOKUP(B662,PatData!$A$2:$A$2000,1,),"")&lt;&gt;""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2917</v>
      </c>
      <c r="B663" t="s">
        <v>3408</v>
      </c>
      <c r="C663"/>
      <c r="D663" t="b">
        <f>IFERROR(VLOOKUP(B663,PatData!$A$2:$A$2000,1,),"")&lt;&gt;""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2918</v>
      </c>
      <c r="B664" t="s">
        <v>3409</v>
      </c>
      <c r="C664"/>
      <c r="D664" t="b">
        <f>IFERROR(VLOOKUP(B664,PatData!$A$2:$A$2000,1,),"")&lt;&gt;""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2919</v>
      </c>
      <c r="B665" t="s">
        <v>3410</v>
      </c>
      <c r="C665"/>
      <c r="D665" t="b">
        <f>IFERROR(VLOOKUP(B665,PatData!$A$2:$A$2000,1,),"")&lt;&gt;""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2920</v>
      </c>
      <c r="B666" t="s">
        <v>3411</v>
      </c>
      <c r="C666"/>
      <c r="D666" t="b">
        <f>IFERROR(VLOOKUP(B666,PatData!$A$2:$A$2000,1,),"")&lt;&gt;""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2921</v>
      </c>
      <c r="B667" t="s">
        <v>3412</v>
      </c>
      <c r="C667"/>
      <c r="D667" t="b">
        <f>IFERROR(VLOOKUP(B667,PatData!$A$2:$A$2000,1,),"")&lt;&gt;""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2922</v>
      </c>
      <c r="B668" t="s">
        <v>3413</v>
      </c>
      <c r="C668"/>
      <c r="D668" t="b">
        <f>IFERROR(VLOOKUP(B668,PatData!$A$2:$A$2000,1,),"")&lt;&gt;""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2923</v>
      </c>
      <c r="B669" t="s">
        <v>3414</v>
      </c>
      <c r="C669"/>
      <c r="D669" t="b">
        <f>IFERROR(VLOOKUP(B669,PatData!$A$2:$A$2000,1,),"")&lt;&gt;""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2924</v>
      </c>
      <c r="B670" t="s">
        <v>3415</v>
      </c>
      <c r="C670"/>
      <c r="D670" t="b">
        <f>IFERROR(VLOOKUP(B670,PatData!$A$2:$A$2000,1,),"")&lt;&gt;""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2925</v>
      </c>
      <c r="B671" t="s">
        <v>3416</v>
      </c>
      <c r="C671"/>
      <c r="D671" t="b">
        <f>IFERROR(VLOOKUP(B671,PatData!$A$2:$A$2000,1,),"")&lt;&gt;""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2926</v>
      </c>
      <c r="B672" t="s">
        <v>3417</v>
      </c>
      <c r="C672"/>
      <c r="D672" t="b">
        <f>IFERROR(VLOOKUP(B672,PatData!$A$2:$A$2000,1,),"")&lt;&gt;""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2927</v>
      </c>
      <c r="B673" t="s">
        <v>3418</v>
      </c>
      <c r="C673"/>
      <c r="D673" t="b">
        <f>IFERROR(VLOOKUP(B673,PatData!$A$2:$A$2000,1,),"")&lt;&gt;""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2928</v>
      </c>
      <c r="B674" t="s">
        <v>3419</v>
      </c>
      <c r="C674"/>
      <c r="D674" t="b">
        <f>IFERROR(VLOOKUP(B674,PatData!$A$2:$A$2000,1,),"")&lt;&gt;""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2929</v>
      </c>
      <c r="B675" t="s">
        <v>3420</v>
      </c>
      <c r="C675"/>
      <c r="D675" t="b">
        <f>IFERROR(VLOOKUP(B675,PatData!$A$2:$A$2000,1,),"")&lt;&gt;""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2930</v>
      </c>
      <c r="B676" t="s">
        <v>3421</v>
      </c>
      <c r="C676"/>
      <c r="D676" t="b">
        <f>IFERROR(VLOOKUP(B676,PatData!$A$2:$A$2000,1,),"")&lt;&gt;""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2931</v>
      </c>
      <c r="B677" t="s">
        <v>3422</v>
      </c>
      <c r="C677"/>
      <c r="D677" t="b">
        <f>IFERROR(VLOOKUP(B677,PatData!$A$2:$A$2000,1,),"")&lt;&gt;""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2932</v>
      </c>
      <c r="B678" t="s">
        <v>3423</v>
      </c>
      <c r="C678"/>
      <c r="D678" t="b">
        <f>IFERROR(VLOOKUP(B678,PatData!$A$2:$A$2000,1,),"")&lt;&gt;""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2933</v>
      </c>
      <c r="B679" t="s">
        <v>3424</v>
      </c>
      <c r="C679"/>
      <c r="D679" t="b">
        <f>IFERROR(VLOOKUP(B679,PatData!$A$2:$A$2000,1,),"")&lt;&gt;""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2934</v>
      </c>
      <c r="B680" t="s">
        <v>3425</v>
      </c>
      <c r="C680"/>
      <c r="D680" t="b">
        <f>IFERROR(VLOOKUP(B680,PatData!$A$2:$A$2000,1,),"")&lt;&gt;""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2935</v>
      </c>
      <c r="B681" t="s">
        <v>3426</v>
      </c>
      <c r="C681"/>
      <c r="D681" t="b">
        <f>IFERROR(VLOOKUP(B681,PatData!$A$2:$A$2000,1,),"")&lt;&gt;""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2936</v>
      </c>
      <c r="B682" t="s">
        <v>3427</v>
      </c>
      <c r="C682"/>
      <c r="D682" t="b">
        <f>IFERROR(VLOOKUP(B682,PatData!$A$2:$A$2000,1,),"")&lt;&gt;""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2937</v>
      </c>
      <c r="B683" t="s">
        <v>3428</v>
      </c>
      <c r="C683"/>
      <c r="D683" t="b">
        <f>IFERROR(VLOOKUP(B683,PatData!$A$2:$A$2000,1,),"")&lt;&gt;""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3058</v>
      </c>
      <c r="B684" t="s">
        <v>2090</v>
      </c>
      <c r="C684"/>
      <c r="D684" t="b">
        <f>IFERROR(VLOOKUP(B684,PatData!$A$2:$A$2000,1,),"")&lt;&gt;""</f>
        <v>1</v>
      </c>
      <c r="E684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3059</v>
      </c>
      <c r="B685" t="s">
        <v>2091</v>
      </c>
      <c r="C685"/>
      <c r="D685" t="b">
        <f>IFERROR(VLOOKUP(B685,PatData!$A$2:$A$2000,1,),"")&lt;&gt;""</f>
        <v>1</v>
      </c>
      <c r="E685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3060</v>
      </c>
      <c r="B686" t="s">
        <v>2092</v>
      </c>
      <c r="C686"/>
      <c r="D686" t="b">
        <f>IFERROR(VLOOKUP(B686,PatData!$A$2:$A$2000,1,),"")&lt;&gt;""</f>
        <v>1</v>
      </c>
      <c r="E686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3061</v>
      </c>
      <c r="B687" t="s">
        <v>2093</v>
      </c>
      <c r="C687"/>
      <c r="D687" t="b">
        <f>IFERROR(VLOOKUP(B687,PatData!$A$2:$A$2000,1,),"")&lt;&gt;""</f>
        <v>1</v>
      </c>
      <c r="E687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3062</v>
      </c>
      <c r="B688" t="s">
        <v>2094</v>
      </c>
      <c r="C688"/>
      <c r="D688" t="b">
        <f>IFERROR(VLOOKUP(B688,PatData!$A$2:$A$2000,1,),"")&lt;&gt;""</f>
        <v>1</v>
      </c>
      <c r="E688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3063</v>
      </c>
      <c r="B689" t="s">
        <v>2095</v>
      </c>
      <c r="C689"/>
      <c r="D689" t="b">
        <f>IFERROR(VLOOKUP(B689,PatData!$A$2:$A$2000,1,),"")&lt;&gt;""</f>
        <v>1</v>
      </c>
      <c r="E689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3064</v>
      </c>
      <c r="B690" t="s">
        <v>2096</v>
      </c>
      <c r="C690"/>
      <c r="D690" t="b">
        <f>IFERROR(VLOOKUP(B690,PatData!$A$2:$A$2000,1,),"")&lt;&gt;""</f>
        <v>1</v>
      </c>
      <c r="E690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3065</v>
      </c>
      <c r="B691" t="s">
        <v>2097</v>
      </c>
      <c r="C691"/>
      <c r="D691" t="b">
        <f>IFERROR(VLOOKUP(B691,PatData!$A$2:$A$2000,1,),"")&lt;&gt;""</f>
        <v>1</v>
      </c>
      <c r="E691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3066</v>
      </c>
      <c r="B692" t="s">
        <v>2098</v>
      </c>
      <c r="C692"/>
      <c r="D692" t="b">
        <f>IFERROR(VLOOKUP(B692,PatData!$A$2:$A$2000,1,),"")&lt;&gt;""</f>
        <v>1</v>
      </c>
      <c r="E692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3067</v>
      </c>
      <c r="B693" t="s">
        <v>2099</v>
      </c>
      <c r="C693"/>
      <c r="D693" t="b">
        <f>IFERROR(VLOOKUP(B693,PatData!$A$2:$A$2000,1,),"")&lt;&gt;""</f>
        <v>1</v>
      </c>
      <c r="E693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3068</v>
      </c>
      <c r="B694" t="s">
        <v>2100</v>
      </c>
      <c r="C694"/>
      <c r="D694" t="b">
        <f>IFERROR(VLOOKUP(B694,PatData!$A$2:$A$2000,1,),"")&lt;&gt;""</f>
        <v>1</v>
      </c>
      <c r="E694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3069</v>
      </c>
      <c r="B695" t="s">
        <v>2101</v>
      </c>
      <c r="C695"/>
      <c r="D695" t="b">
        <f>IFERROR(VLOOKUP(B695,PatData!$A$2:$A$2000,1,),"")&lt;&gt;""</f>
        <v>1</v>
      </c>
      <c r="E695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3070</v>
      </c>
      <c r="B696" t="s">
        <v>2102</v>
      </c>
      <c r="C696"/>
      <c r="D696" t="b">
        <f>IFERROR(VLOOKUP(B696,PatData!$A$2:$A$2000,1,),"")&lt;&gt;""</f>
        <v>1</v>
      </c>
      <c r="E696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3071</v>
      </c>
      <c r="B697" t="s">
        <v>2103</v>
      </c>
      <c r="D697" t="b">
        <f>IFERROR(VLOOKUP(B697,PatData!$A$2:$A$2000,1,),"")&lt;&gt;""</f>
        <v>1</v>
      </c>
      <c r="E697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3072</v>
      </c>
      <c r="B698" t="s">
        <v>2104</v>
      </c>
      <c r="D698" t="b">
        <f>IFERROR(VLOOKUP(B698,PatData!$A$2:$A$2000,1,),"")&lt;&gt;""</f>
        <v>1</v>
      </c>
      <c r="E698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3073</v>
      </c>
      <c r="B699" t="s">
        <v>2105</v>
      </c>
      <c r="D699" t="b">
        <f>IFERROR(VLOOKUP(B699,PatData!$A$2:$A$2000,1,),"")&lt;&gt;""</f>
        <v>1</v>
      </c>
      <c r="E699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3074</v>
      </c>
      <c r="B700" t="s">
        <v>2106</v>
      </c>
      <c r="D700" t="b">
        <f>IFERROR(VLOOKUP(B700,PatData!$A$2:$A$2000,1,),"")&lt;&gt;""</f>
        <v>1</v>
      </c>
      <c r="E700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3075</v>
      </c>
      <c r="B701" t="s">
        <v>2107</v>
      </c>
      <c r="D701" t="b">
        <f>IFERROR(VLOOKUP(B701,PatData!$A$2:$A$2000,1,),"")&lt;&gt;""</f>
        <v>1</v>
      </c>
      <c r="E701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3076</v>
      </c>
      <c r="B702" t="s">
        <v>2108</v>
      </c>
      <c r="D702" t="b">
        <f>IFERROR(VLOOKUP(B702,PatData!$A$2:$A$2000,1,),"")&lt;&gt;""</f>
        <v>1</v>
      </c>
      <c r="E702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3077</v>
      </c>
      <c r="B703" t="s">
        <v>2109</v>
      </c>
      <c r="D703" t="b">
        <f>IFERROR(VLOOKUP(B703,PatData!$A$2:$A$2000,1,),"")&lt;&gt;""</f>
        <v>1</v>
      </c>
      <c r="E703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3078</v>
      </c>
      <c r="B704" t="s">
        <v>2110</v>
      </c>
      <c r="D704" t="b">
        <f>IFERROR(VLOOKUP(B704,PatData!$A$2:$A$2000,1,),"")&lt;&gt;""</f>
        <v>1</v>
      </c>
      <c r="E704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3079</v>
      </c>
      <c r="B705" t="s">
        <v>2111</v>
      </c>
      <c r="D705" t="b">
        <f>IFERROR(VLOOKUP(B705,PatData!$A$2:$A$2000,1,),"")&lt;&gt;""</f>
        <v>1</v>
      </c>
      <c r="E705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3080</v>
      </c>
      <c r="B706" t="s">
        <v>2112</v>
      </c>
      <c r="D706" t="b">
        <f>IFERROR(VLOOKUP(B706,PatData!$A$2:$A$2000,1,),"")&lt;&gt;""</f>
        <v>1</v>
      </c>
      <c r="E706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3081</v>
      </c>
      <c r="B707" t="s">
        <v>2113</v>
      </c>
      <c r="D707" t="b">
        <f>IFERROR(VLOOKUP(B707,PatData!$A$2:$A$2000,1,),"")&lt;&gt;""</f>
        <v>1</v>
      </c>
      <c r="E707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3082</v>
      </c>
      <c r="B708" t="s">
        <v>2114</v>
      </c>
      <c r="D708" t="b">
        <f>IFERROR(VLOOKUP(B708,PatData!$A$2:$A$2000,1,),"")&lt;&gt;""</f>
        <v>1</v>
      </c>
      <c r="E708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3083</v>
      </c>
      <c r="B709" t="s">
        <v>2115</v>
      </c>
      <c r="D709" t="b">
        <f>IFERROR(VLOOKUP(B709,PatData!$A$2:$A$2000,1,),"")&lt;&gt;""</f>
        <v>1</v>
      </c>
      <c r="E709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3084</v>
      </c>
      <c r="B710" t="s">
        <v>2116</v>
      </c>
      <c r="D710" t="b">
        <f>IFERROR(VLOOKUP(B710,PatData!$A$2:$A$2000,1,),"")&lt;&gt;""</f>
        <v>1</v>
      </c>
      <c r="E710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3085</v>
      </c>
      <c r="B711" t="s">
        <v>2117</v>
      </c>
      <c r="D711" t="b">
        <f>IFERROR(VLOOKUP(B711,PatData!$A$2:$A$2000,1,),"")&lt;&gt;""</f>
        <v>1</v>
      </c>
      <c r="E711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3086</v>
      </c>
      <c r="B712" t="s">
        <v>2118</v>
      </c>
      <c r="D712" t="b">
        <f>IFERROR(VLOOKUP(B712,PatData!$A$2:$A$2000,1,),"")&lt;&gt;""</f>
        <v>1</v>
      </c>
      <c r="E712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3087</v>
      </c>
      <c r="B713" t="s">
        <v>2119</v>
      </c>
      <c r="D713" t="b">
        <f>IFERROR(VLOOKUP(B713,PatData!$A$2:$A$2000,1,),"")&lt;&gt;""</f>
        <v>1</v>
      </c>
      <c r="E713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3339</v>
      </c>
      <c r="B714" t="s">
        <v>2120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3340</v>
      </c>
      <c r="B715" t="s">
        <v>2121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3341</v>
      </c>
      <c r="B716" t="s">
        <v>2122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3342</v>
      </c>
      <c r="B717" t="s">
        <v>2123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3343</v>
      </c>
      <c r="B718" t="s">
        <v>2124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3344</v>
      </c>
      <c r="B719" t="s">
        <v>2125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3345</v>
      </c>
      <c r="B720" t="s">
        <v>2126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3346</v>
      </c>
      <c r="B721" t="s">
        <v>2127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3347</v>
      </c>
      <c r="B722" t="s">
        <v>2128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3348</v>
      </c>
      <c r="B723" t="s">
        <v>2129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3349</v>
      </c>
      <c r="B724" t="s">
        <v>2130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3350</v>
      </c>
      <c r="B725" t="s">
        <v>2131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3351</v>
      </c>
      <c r="B726" t="s">
        <v>2132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3352</v>
      </c>
      <c r="B727" t="s">
        <v>2133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3353</v>
      </c>
      <c r="B728" t="s">
        <v>2134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3354</v>
      </c>
      <c r="B729" t="s">
        <v>2135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3355</v>
      </c>
      <c r="B730" t="s">
        <v>2136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3356</v>
      </c>
      <c r="B731" t="s">
        <v>2137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3357</v>
      </c>
      <c r="B732" t="s">
        <v>2138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3358</v>
      </c>
      <c r="B733" t="s">
        <v>2139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3359</v>
      </c>
      <c r="B734" t="s">
        <v>2140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3360</v>
      </c>
      <c r="B735" t="s">
        <v>2141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3361</v>
      </c>
      <c r="B736" t="s">
        <v>2142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3362</v>
      </c>
      <c r="B737" t="s">
        <v>2143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3363</v>
      </c>
      <c r="B738" t="s">
        <v>2144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3364</v>
      </c>
      <c r="B739" t="s">
        <v>2145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3365</v>
      </c>
      <c r="B740" t="s">
        <v>2146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3366</v>
      </c>
      <c r="B741" t="s">
        <v>2147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3367</v>
      </c>
      <c r="B742" t="s">
        <v>2148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3368</v>
      </c>
      <c r="B743" t="s">
        <v>2149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4577</v>
      </c>
      <c r="B744" t="s">
        <v>2150</v>
      </c>
      <c r="D744" t="b">
        <f>IFERROR(VLOOKUP(B744,PatData!$A$2:$A$2000,1,),"")&lt;&gt;""</f>
        <v>1</v>
      </c>
      <c r="E744"/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4578</v>
      </c>
      <c r="B745" t="s">
        <v>2151</v>
      </c>
      <c r="D745" t="b">
        <f>IFERROR(VLOOKUP(B745,PatData!$A$2:$A$2000,1,),"")&lt;&gt;""</f>
        <v>1</v>
      </c>
      <c r="E745"/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4579</v>
      </c>
      <c r="B746" t="s">
        <v>2152</v>
      </c>
      <c r="D746" t="b">
        <f>IFERROR(VLOOKUP(B746,PatData!$A$2:$A$2000,1,),"")&lt;&gt;""</f>
        <v>1</v>
      </c>
      <c r="E746"/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4580</v>
      </c>
      <c r="B747" t="s">
        <v>2153</v>
      </c>
      <c r="D747" t="b">
        <f>IFERROR(VLOOKUP(B747,PatData!$A$2:$A$2000,1,),"")&lt;&gt;""</f>
        <v>1</v>
      </c>
      <c r="E747"/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4581</v>
      </c>
      <c r="B748" t="s">
        <v>2154</v>
      </c>
      <c r="D748" t="b">
        <f>IFERROR(VLOOKUP(B748,PatData!$A$2:$A$2000,1,),"")&lt;&gt;""</f>
        <v>1</v>
      </c>
      <c r="E748"/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4582</v>
      </c>
      <c r="B749" t="s">
        <v>2155</v>
      </c>
      <c r="D749" t="b">
        <f>IFERROR(VLOOKUP(B749,PatData!$A$2:$A$2000,1,),"")&lt;&gt;""</f>
        <v>1</v>
      </c>
      <c r="E749"/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4583</v>
      </c>
      <c r="B750" t="s">
        <v>2156</v>
      </c>
      <c r="D750" t="b">
        <f>IFERROR(VLOOKUP(B750,PatData!$A$2:$A$2000,1,),"")&lt;&gt;""</f>
        <v>1</v>
      </c>
      <c r="E750"/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4584</v>
      </c>
      <c r="B751" t="s">
        <v>2157</v>
      </c>
      <c r="D751" t="b">
        <f>IFERROR(VLOOKUP(B751,PatData!$A$2:$A$2000,1,),"")&lt;&gt;""</f>
        <v>1</v>
      </c>
      <c r="E751"/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4585</v>
      </c>
      <c r="B752" t="s">
        <v>2158</v>
      </c>
      <c r="D752" t="b">
        <f>IFERROR(VLOOKUP(B752,PatData!$A$2:$A$2000,1,),"")&lt;&gt;""</f>
        <v>1</v>
      </c>
      <c r="E752"/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4586</v>
      </c>
      <c r="B753" t="s">
        <v>2159</v>
      </c>
      <c r="D753" t="b">
        <f>IFERROR(VLOOKUP(B753,PatData!$A$2:$A$2000,1,),"")&lt;&gt;""</f>
        <v>1</v>
      </c>
      <c r="E753"/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4587</v>
      </c>
      <c r="B754" t="s">
        <v>2160</v>
      </c>
      <c r="D754" t="b">
        <f>IFERROR(VLOOKUP(B754,PatData!$A$2:$A$2000,1,),"")&lt;&gt;""</f>
        <v>1</v>
      </c>
      <c r="E754"/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4588</v>
      </c>
      <c r="B755" t="s">
        <v>2161</v>
      </c>
      <c r="D755" t="b">
        <f>IFERROR(VLOOKUP(B755,PatData!$A$2:$A$2000,1,),"")&lt;&gt;""</f>
        <v>1</v>
      </c>
      <c r="E755"/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4589</v>
      </c>
      <c r="B756" t="s">
        <v>2162</v>
      </c>
      <c r="D756" t="b">
        <f>IFERROR(VLOOKUP(B756,PatData!$A$2:$A$2000,1,),"")&lt;&gt;""</f>
        <v>1</v>
      </c>
      <c r="E756"/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4590</v>
      </c>
      <c r="B757" t="s">
        <v>2163</v>
      </c>
      <c r="D757" t="b">
        <f>IFERROR(VLOOKUP(B757,PatData!$A$2:$A$2000,1,),"")&lt;&gt;""</f>
        <v>1</v>
      </c>
      <c r="E757"/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4591</v>
      </c>
      <c r="B758" t="s">
        <v>2164</v>
      </c>
      <c r="D758" t="b">
        <f>IFERROR(VLOOKUP(B758,PatData!$A$2:$A$2000,1,),"")&lt;&gt;""</f>
        <v>1</v>
      </c>
      <c r="E758"/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4592</v>
      </c>
      <c r="B759" t="s">
        <v>2165</v>
      </c>
      <c r="D759" t="b">
        <f>IFERROR(VLOOKUP(B759,PatData!$A$2:$A$2000,1,),"")&lt;&gt;""</f>
        <v>1</v>
      </c>
      <c r="E759"/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4593</v>
      </c>
      <c r="B760" t="s">
        <v>2166</v>
      </c>
      <c r="D760" t="b">
        <f>IFERROR(VLOOKUP(B760,PatData!$A$2:$A$2000,1,),"")&lt;&gt;""</f>
        <v>1</v>
      </c>
      <c r="E760"/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4594</v>
      </c>
      <c r="B761" t="s">
        <v>2167</v>
      </c>
      <c r="D761" t="b">
        <f>IFERROR(VLOOKUP(B761,PatData!$A$2:$A$2000,1,),"")&lt;&gt;""</f>
        <v>1</v>
      </c>
      <c r="E761"/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4595</v>
      </c>
      <c r="B762" t="s">
        <v>2168</v>
      </c>
      <c r="D762" t="b">
        <f>IFERROR(VLOOKUP(B762,PatData!$A$2:$A$2000,1,),"")&lt;&gt;""</f>
        <v>1</v>
      </c>
      <c r="E762"/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4596</v>
      </c>
      <c r="B763" t="s">
        <v>2169</v>
      </c>
      <c r="D763" t="b">
        <f>IFERROR(VLOOKUP(B763,PatData!$A$2:$A$2000,1,),"")&lt;&gt;""</f>
        <v>1</v>
      </c>
      <c r="E763"/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4597</v>
      </c>
      <c r="B764" t="s">
        <v>2170</v>
      </c>
      <c r="D764" t="b">
        <f>IFERROR(VLOOKUP(B764,PatData!$A$2:$A$2000,1,),"")&lt;&gt;""</f>
        <v>1</v>
      </c>
      <c r="E764"/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4598</v>
      </c>
      <c r="B765" t="s">
        <v>2171</v>
      </c>
      <c r="D765" t="b">
        <f>IFERROR(VLOOKUP(B765,PatData!$A$2:$A$2000,1,),"")&lt;&gt;""</f>
        <v>1</v>
      </c>
      <c r="E765"/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4599</v>
      </c>
      <c r="B766" t="s">
        <v>2172</v>
      </c>
      <c r="D766" t="b">
        <f>IFERROR(VLOOKUP(B766,PatData!$A$2:$A$2000,1,),"")&lt;&gt;""</f>
        <v>1</v>
      </c>
      <c r="E766"/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4600</v>
      </c>
      <c r="B767" t="s">
        <v>2173</v>
      </c>
      <c r="D767" t="b">
        <f>IFERROR(VLOOKUP(B767,PatData!$A$2:$A$2000,1,),"")&lt;&gt;""</f>
        <v>1</v>
      </c>
      <c r="E767"/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4601</v>
      </c>
      <c r="B768" t="s">
        <v>2174</v>
      </c>
      <c r="D768" t="b">
        <f>IFERROR(VLOOKUP(B768,PatData!$A$2:$A$2000,1,),"")&lt;&gt;""</f>
        <v>1</v>
      </c>
      <c r="E768"/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4602</v>
      </c>
      <c r="B769" t="s">
        <v>2175</v>
      </c>
      <c r="D769" t="b">
        <f>IFERROR(VLOOKUP(B769,PatData!$A$2:$A$2000,1,),"")&lt;&gt;""</f>
        <v>1</v>
      </c>
      <c r="E769"/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4603</v>
      </c>
      <c r="B770" t="s">
        <v>2176</v>
      </c>
      <c r="D770" t="b">
        <f>IFERROR(VLOOKUP(B770,PatData!$A$2:$A$2000,1,),"")&lt;&gt;""</f>
        <v>1</v>
      </c>
      <c r="E770"/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4604</v>
      </c>
      <c r="B771" t="s">
        <v>2177</v>
      </c>
      <c r="D771" t="b">
        <f>IFERROR(VLOOKUP(B771,PatData!$A$2:$A$2000,1,),"")&lt;&gt;""</f>
        <v>1</v>
      </c>
      <c r="E771"/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4605</v>
      </c>
      <c r="B772" t="s">
        <v>2178</v>
      </c>
      <c r="D772" t="b">
        <f>IFERROR(VLOOKUP(B772,PatData!$A$2:$A$2000,1,),"")&lt;&gt;""</f>
        <v>1</v>
      </c>
      <c r="E772"/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4606</v>
      </c>
      <c r="B773" t="s">
        <v>2179</v>
      </c>
      <c r="D773" t="b">
        <f>IFERROR(VLOOKUP(B773,PatData!$A$2:$A$2000,1,),"")&lt;&gt;""</f>
        <v>1</v>
      </c>
      <c r="E773"/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3148</v>
      </c>
      <c r="B774" t="s">
        <v>2180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3149</v>
      </c>
      <c r="B775" t="s">
        <v>2181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3150</v>
      </c>
      <c r="B776" t="s">
        <v>2182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3151</v>
      </c>
      <c r="B777" t="s">
        <v>2183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3152</v>
      </c>
      <c r="B778" t="s">
        <v>2184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3153</v>
      </c>
      <c r="B779" t="s">
        <v>2185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3154</v>
      </c>
      <c r="B780" t="s">
        <v>2186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3155</v>
      </c>
      <c r="B781" t="s">
        <v>2187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3156</v>
      </c>
      <c r="B782" t="s">
        <v>2188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3157</v>
      </c>
      <c r="B783" t="s">
        <v>2189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3158</v>
      </c>
      <c r="B784" t="s">
        <v>2190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3159</v>
      </c>
      <c r="B785" t="s">
        <v>2191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3160</v>
      </c>
      <c r="B786" t="s">
        <v>2192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3161</v>
      </c>
      <c r="B787" t="s">
        <v>2193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3162</v>
      </c>
      <c r="B788" t="s">
        <v>2194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3163</v>
      </c>
      <c r="B789" t="s">
        <v>2195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3164</v>
      </c>
      <c r="B790" t="s">
        <v>2196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3165</v>
      </c>
      <c r="B791" t="s">
        <v>2197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3166</v>
      </c>
      <c r="B792" t="s">
        <v>2198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3167</v>
      </c>
      <c r="B793" t="s">
        <v>2199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3168</v>
      </c>
      <c r="B794" t="s">
        <v>2200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3169</v>
      </c>
      <c r="B795" t="s">
        <v>2201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3170</v>
      </c>
      <c r="B796" t="s">
        <v>2202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3171</v>
      </c>
      <c r="B797" t="s">
        <v>2203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3172</v>
      </c>
      <c r="B798" t="s">
        <v>2204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3173</v>
      </c>
      <c r="B799" t="s">
        <v>2205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3174</v>
      </c>
      <c r="B800" t="s">
        <v>2206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3175</v>
      </c>
      <c r="B801" t="s">
        <v>2207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3176</v>
      </c>
      <c r="B802" t="s">
        <v>2208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3177</v>
      </c>
      <c r="B803" t="s">
        <v>2209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2998</v>
      </c>
      <c r="B804" t="s">
        <v>3461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2999</v>
      </c>
      <c r="B805" t="s">
        <v>3462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3000</v>
      </c>
      <c r="B806" t="s">
        <v>3463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3001</v>
      </c>
      <c r="B807" t="s">
        <v>3464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3002</v>
      </c>
      <c r="B808" t="s">
        <v>3465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3003</v>
      </c>
      <c r="B809" t="s">
        <v>3466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3004</v>
      </c>
      <c r="B810" t="s">
        <v>3467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3005</v>
      </c>
      <c r="B811" t="s">
        <v>3468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8" customFormat="1" x14ac:dyDescent="0.2">
      <c r="A812" t="s">
        <v>3006</v>
      </c>
      <c r="B812" t="s">
        <v>3469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8" customFormat="1" x14ac:dyDescent="0.2">
      <c r="A813" t="s">
        <v>3007</v>
      </c>
      <c r="B813" t="s">
        <v>3470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8" customFormat="1" x14ac:dyDescent="0.2">
      <c r="A814" t="s">
        <v>3008</v>
      </c>
      <c r="B814" t="s">
        <v>3471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8" customFormat="1" x14ac:dyDescent="0.2">
      <c r="A815" t="s">
        <v>3009</v>
      </c>
      <c r="B815" t="s">
        <v>3472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8" customFormat="1" x14ac:dyDescent="0.2">
      <c r="A816" t="s">
        <v>3010</v>
      </c>
      <c r="B816" t="s">
        <v>3473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8" customFormat="1" x14ac:dyDescent="0.2">
      <c r="A817" t="s">
        <v>3011</v>
      </c>
      <c r="B817" t="s">
        <v>3474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8" customFormat="1" x14ac:dyDescent="0.2">
      <c r="A818" t="s">
        <v>3012</v>
      </c>
      <c r="B818" t="s">
        <v>3475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8" customFormat="1" x14ac:dyDescent="0.2">
      <c r="A819" t="s">
        <v>3013</v>
      </c>
      <c r="B819" t="s">
        <v>3476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8" customFormat="1" x14ac:dyDescent="0.2">
      <c r="A820" t="s">
        <v>3014</v>
      </c>
      <c r="B820" t="s">
        <v>3477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8" customFormat="1" x14ac:dyDescent="0.2">
      <c r="A821" t="s">
        <v>3015</v>
      </c>
      <c r="B821" t="s">
        <v>3478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8" customFormat="1" x14ac:dyDescent="0.2">
      <c r="A822" t="s">
        <v>3016</v>
      </c>
      <c r="B822" t="s">
        <v>3479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8" customFormat="1" x14ac:dyDescent="0.2">
      <c r="A823" t="s">
        <v>3017</v>
      </c>
      <c r="B823" t="s">
        <v>3480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8" customFormat="1" x14ac:dyDescent="0.2">
      <c r="A824" t="s">
        <v>3018</v>
      </c>
      <c r="B824" t="s">
        <v>3481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8" customFormat="1" x14ac:dyDescent="0.2">
      <c r="A825" t="s">
        <v>3019</v>
      </c>
      <c r="B825" t="s">
        <v>3482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8" customFormat="1" x14ac:dyDescent="0.2">
      <c r="A826" t="s">
        <v>3020</v>
      </c>
      <c r="B826" t="s">
        <v>3483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8" customFormat="1" x14ac:dyDescent="0.2">
      <c r="A827" t="s">
        <v>3021</v>
      </c>
      <c r="B827" t="s">
        <v>3484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8" customFormat="1" x14ac:dyDescent="0.2">
      <c r="A828" t="s">
        <v>3022</v>
      </c>
      <c r="B828" t="s">
        <v>3485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8" customFormat="1" x14ac:dyDescent="0.2">
      <c r="A829" t="s">
        <v>3023</v>
      </c>
      <c r="B829" t="s">
        <v>3486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8" customFormat="1" x14ac:dyDescent="0.2">
      <c r="A830" t="s">
        <v>3024</v>
      </c>
      <c r="B830" t="s">
        <v>3487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8" customFormat="1" x14ac:dyDescent="0.2">
      <c r="A831" t="s">
        <v>3025</v>
      </c>
      <c r="B831" t="s">
        <v>3488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8" customFormat="1" x14ac:dyDescent="0.2">
      <c r="A832" t="s">
        <v>3026</v>
      </c>
      <c r="B832" t="s">
        <v>3489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8" customFormat="1" x14ac:dyDescent="0.2">
      <c r="A833" t="s">
        <v>3027</v>
      </c>
      <c r="B833" t="s">
        <v>3490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8" customFormat="1" x14ac:dyDescent="0.2">
      <c r="A834" t="s">
        <v>4129</v>
      </c>
      <c r="B834" t="s">
        <v>4130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208" customFormat="1" x14ac:dyDescent="0.2">
      <c r="A835" t="s">
        <v>4131</v>
      </c>
      <c r="B835" t="s">
        <v>4132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208" customFormat="1" x14ac:dyDescent="0.2">
      <c r="A836" t="s">
        <v>4133</v>
      </c>
      <c r="B836" t="s">
        <v>4134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208" customFormat="1" x14ac:dyDescent="0.2">
      <c r="A837" t="s">
        <v>4135</v>
      </c>
      <c r="B837" t="s">
        <v>4136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208" customFormat="1" x14ac:dyDescent="0.2">
      <c r="A838" t="s">
        <v>4137</v>
      </c>
      <c r="B838" t="s">
        <v>4138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208" customFormat="1" x14ac:dyDescent="0.2">
      <c r="A839" t="s">
        <v>4139</v>
      </c>
      <c r="B839" t="s">
        <v>4140</v>
      </c>
      <c r="C839"/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208" customFormat="1" x14ac:dyDescent="0.2">
      <c r="A840" t="s">
        <v>4141</v>
      </c>
      <c r="B840" t="s">
        <v>4142</v>
      </c>
      <c r="C840"/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208" customFormat="1" x14ac:dyDescent="0.2">
      <c r="A841" t="s">
        <v>4143</v>
      </c>
      <c r="B841" t="s">
        <v>4144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208" customFormat="1" x14ac:dyDescent="0.2">
      <c r="A842" t="s">
        <v>4145</v>
      </c>
      <c r="B842" t="s">
        <v>4146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208" customFormat="1" x14ac:dyDescent="0.2">
      <c r="A843" t="s">
        <v>4147</v>
      </c>
      <c r="B843" t="s">
        <v>4148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208" customFormat="1" x14ac:dyDescent="0.2">
      <c r="A844" t="s">
        <v>4149</v>
      </c>
      <c r="B844" t="s">
        <v>4150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208" customFormat="1" x14ac:dyDescent="0.2">
      <c r="A845" t="s">
        <v>4151</v>
      </c>
      <c r="B845" t="s">
        <v>4152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208" customFormat="1" x14ac:dyDescent="0.2">
      <c r="A846" t="s">
        <v>3543</v>
      </c>
      <c r="B846" t="s">
        <v>3844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4153</v>
      </c>
      <c r="B847" t="s">
        <v>4491</v>
      </c>
      <c r="C847"/>
      <c r="D847" t="b">
        <f>IFERROR(VLOOKUP(B847,PatData!$A$2:$A$2000,1,),"")&lt;&gt;""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3544</v>
      </c>
      <c r="B848" t="s">
        <v>4492</v>
      </c>
      <c r="C848"/>
      <c r="D848" t="b">
        <f>IFERROR(VLOOKUP(B848,PatData!$A$2:$A$2000,1,),"")&lt;&gt;""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3545</v>
      </c>
      <c r="B849" t="s">
        <v>4493</v>
      </c>
      <c r="C849"/>
      <c r="D849" t="b">
        <f>IFERROR(VLOOKUP(B849,PatData!$A$2:$A$2000,1,),"")&lt;&gt;""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3546</v>
      </c>
      <c r="B850" t="s">
        <v>4494</v>
      </c>
      <c r="C850"/>
      <c r="D850" t="b">
        <f>IFERROR(VLOOKUP(B850,PatData!$A$2:$A$2000,1,),"")&lt;&gt;""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3547</v>
      </c>
      <c r="B851" t="s">
        <v>4495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3548</v>
      </c>
      <c r="B852" t="s">
        <v>4496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3549</v>
      </c>
      <c r="B853" t="s">
        <v>4497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3550</v>
      </c>
      <c r="B854" t="s">
        <v>4498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3551</v>
      </c>
      <c r="B855" t="s">
        <v>4499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3552</v>
      </c>
      <c r="B856" t="s">
        <v>4500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3553</v>
      </c>
      <c r="B857" t="s">
        <v>4307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3554</v>
      </c>
      <c r="B858" t="s">
        <v>4308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3555</v>
      </c>
      <c r="B859" t="s">
        <v>4309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3556</v>
      </c>
      <c r="B860" t="s">
        <v>4310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3557</v>
      </c>
      <c r="B861" t="s">
        <v>4311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3558</v>
      </c>
      <c r="B862" t="s">
        <v>4312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3559</v>
      </c>
      <c r="B863" t="s">
        <v>4313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3560</v>
      </c>
      <c r="B864" t="s">
        <v>4314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3561</v>
      </c>
      <c r="B865" t="s">
        <v>4315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3562</v>
      </c>
      <c r="B866" t="s">
        <v>4316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3563</v>
      </c>
      <c r="B867" t="s">
        <v>3845</v>
      </c>
      <c r="C867"/>
      <c r="D867" t="b">
        <f>IFERROR(VLOOKUP(B867,PatData!$A$2:$A$2000,1,),"")&lt;&gt;""</f>
        <v>1</v>
      </c>
      <c r="E867"/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3564</v>
      </c>
      <c r="B868" t="s">
        <v>3846</v>
      </c>
      <c r="C868"/>
      <c r="D868" t="b">
        <f>IFERROR(VLOOKUP(B868,PatData!$A$2:$A$2000,1,),"")&lt;&gt;""</f>
        <v>1</v>
      </c>
      <c r="E868"/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3565</v>
      </c>
      <c r="B869" t="s">
        <v>4317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3566</v>
      </c>
      <c r="B870" t="s">
        <v>4318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3567</v>
      </c>
      <c r="B871" t="s">
        <v>4319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3568</v>
      </c>
      <c r="B872" t="s">
        <v>4320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3569</v>
      </c>
      <c r="B873" t="s">
        <v>4321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3570</v>
      </c>
      <c r="B874" t="s">
        <v>4322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3571</v>
      </c>
      <c r="B875" t="s">
        <v>4323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3572</v>
      </c>
      <c r="B876" t="s">
        <v>4324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3573</v>
      </c>
      <c r="B877" t="s">
        <v>4325</v>
      </c>
      <c r="C877"/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3574</v>
      </c>
      <c r="B878" t="s">
        <v>4326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3575</v>
      </c>
      <c r="B879" t="s">
        <v>3847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3576</v>
      </c>
      <c r="B880" t="s">
        <v>3848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3577</v>
      </c>
      <c r="B881" t="s">
        <v>3849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3578</v>
      </c>
      <c r="B882" t="s">
        <v>3850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3579</v>
      </c>
      <c r="B883" t="s">
        <v>3851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3580</v>
      </c>
      <c r="B884" t="s">
        <v>3852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3581</v>
      </c>
      <c r="B885" t="s">
        <v>3853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3582</v>
      </c>
      <c r="B886" t="s">
        <v>3854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3583</v>
      </c>
      <c r="B887" t="s">
        <v>3855</v>
      </c>
      <c r="C887"/>
      <c r="D887" t="b">
        <f>IFERROR(VLOOKUP(B887,PatData!$A$2:$A$2000,1,),"")&lt;&gt;""</f>
        <v>1</v>
      </c>
      <c r="E887"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3584</v>
      </c>
      <c r="B888" t="s">
        <v>3856</v>
      </c>
      <c r="C888"/>
      <c r="D888" t="b">
        <f>IFERROR(VLOOKUP(B888,PatData!$A$2:$A$2000,1,),"")&lt;&gt;""</f>
        <v>1</v>
      </c>
      <c r="E888"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3585</v>
      </c>
      <c r="B889" t="s">
        <v>3857</v>
      </c>
      <c r="C889"/>
      <c r="D889" t="b">
        <f>IFERROR(VLOOKUP(B889,PatData!$A$2:$A$2000,1,),"")&lt;&gt;""</f>
        <v>1</v>
      </c>
      <c r="E889"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3586</v>
      </c>
      <c r="B890" t="s">
        <v>3858</v>
      </c>
      <c r="C890"/>
      <c r="D890" t="b">
        <f>IFERROR(VLOOKUP(B890,PatData!$A$2:$A$2000,1,),"")&lt;&gt;""</f>
        <v>1</v>
      </c>
      <c r="E890"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3587</v>
      </c>
      <c r="B891" t="s">
        <v>4327</v>
      </c>
      <c r="C891"/>
      <c r="D891" t="b">
        <f>IFERROR(VLOOKUP(B891,PatData!$A$2:$A$2000,1,),"")&lt;&gt;""</f>
        <v>1</v>
      </c>
      <c r="E891"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3588</v>
      </c>
      <c r="B892" t="s">
        <v>3859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3589</v>
      </c>
      <c r="B893" t="s">
        <v>3860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3590</v>
      </c>
      <c r="B894" t="s">
        <v>3861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3591</v>
      </c>
      <c r="B895" t="s">
        <v>3862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3592</v>
      </c>
      <c r="B896" t="s">
        <v>3863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3593</v>
      </c>
      <c r="B897" t="s">
        <v>3864</v>
      </c>
      <c r="C897"/>
      <c r="D897" t="b">
        <f>IFERROR(VLOOKUP(B897,PatData!$A$2:$A$2000,1,),"")&lt;&gt;""</f>
        <v>1</v>
      </c>
      <c r="E897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3594</v>
      </c>
      <c r="B898" t="s">
        <v>3865</v>
      </c>
      <c r="C898"/>
      <c r="D898" t="b">
        <f>IFERROR(VLOOKUP(B898,PatData!$A$2:$A$2000,1,),"")&lt;&gt;""</f>
        <v>1</v>
      </c>
      <c r="E898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3595</v>
      </c>
      <c r="B899" t="s">
        <v>3866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3596</v>
      </c>
      <c r="B900" t="s">
        <v>3867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3597</v>
      </c>
      <c r="B901" t="s">
        <v>3868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3598</v>
      </c>
      <c r="B902" t="s">
        <v>3869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3599</v>
      </c>
      <c r="B903" t="s">
        <v>3870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3600</v>
      </c>
      <c r="B904" t="s">
        <v>4328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3601</v>
      </c>
      <c r="B905" t="s">
        <v>3871</v>
      </c>
      <c r="C905"/>
      <c r="D905" t="b">
        <f>IFERROR(VLOOKUP(B905,PatData!$A$2:$A$2000,1,),"")&lt;&gt;""</f>
        <v>1</v>
      </c>
      <c r="E905" t="b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3602</v>
      </c>
      <c r="B906" t="s">
        <v>3872</v>
      </c>
      <c r="C906"/>
      <c r="D906" t="b">
        <f>IFERROR(VLOOKUP(B906,PatData!$A$2:$A$2000,1,),"")&lt;&gt;""</f>
        <v>1</v>
      </c>
      <c r="E906" t="b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3603</v>
      </c>
      <c r="B907" t="s">
        <v>3873</v>
      </c>
      <c r="C907"/>
      <c r="D907" t="b">
        <f>IFERROR(VLOOKUP(B907,PatData!$A$2:$A$2000,1,),"")&lt;&gt;""</f>
        <v>1</v>
      </c>
      <c r="E907" t="b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3604</v>
      </c>
      <c r="B908" t="s">
        <v>3874</v>
      </c>
      <c r="C908"/>
      <c r="D908" t="b">
        <f>IFERROR(VLOOKUP(B908,PatData!$A$2:$A$2000,1,),"")&lt;&gt;""</f>
        <v>1</v>
      </c>
      <c r="E908" t="b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3605</v>
      </c>
      <c r="B909" t="s">
        <v>3875</v>
      </c>
      <c r="C909"/>
      <c r="D909" t="b">
        <f>IFERROR(VLOOKUP(B909,PatData!$A$2:$A$2000,1,),"")&lt;&gt;""</f>
        <v>1</v>
      </c>
      <c r="E909" t="b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3606</v>
      </c>
      <c r="B910" t="s">
        <v>3876</v>
      </c>
      <c r="C910"/>
      <c r="D910" t="b">
        <f>IFERROR(VLOOKUP(B910,PatData!$A$2:$A$2000,1,),"")&lt;&gt;""</f>
        <v>1</v>
      </c>
      <c r="E910" t="b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3607</v>
      </c>
      <c r="B911" t="s">
        <v>3877</v>
      </c>
      <c r="C911"/>
      <c r="D911" t="b">
        <f>IFERROR(VLOOKUP(B911,PatData!$A$2:$A$2000,1,),"")&lt;&gt;""</f>
        <v>1</v>
      </c>
      <c r="E911" t="b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3608</v>
      </c>
      <c r="B912" t="s">
        <v>3878</v>
      </c>
      <c r="C912"/>
      <c r="D912" t="b">
        <f>IFERROR(VLOOKUP(B912,PatData!$A$2:$A$2000,1,),"")&lt;&gt;""</f>
        <v>1</v>
      </c>
      <c r="E912" t="b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3609</v>
      </c>
      <c r="B913" t="s">
        <v>3879</v>
      </c>
      <c r="C913"/>
      <c r="D913" t="b">
        <f>IFERROR(VLOOKUP(B913,PatData!$A$2:$A$2000,1,),"")&lt;&gt;""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3610</v>
      </c>
      <c r="B914" t="s">
        <v>3880</v>
      </c>
      <c r="C914"/>
      <c r="D914" t="b">
        <f>IFERROR(VLOOKUP(B914,PatData!$A$2:$A$2000,1,),"")&lt;&gt;""</f>
        <v>1</v>
      </c>
      <c r="E914" t="b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3611</v>
      </c>
      <c r="B915" t="s">
        <v>3881</v>
      </c>
      <c r="C915"/>
      <c r="D915" t="b">
        <f>IFERROR(VLOOKUP(B915,PatData!$A$2:$A$2000,1,),"")&lt;&gt;""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3612</v>
      </c>
      <c r="B916" t="s">
        <v>3882</v>
      </c>
      <c r="C916"/>
      <c r="D916" t="b">
        <f>IFERROR(VLOOKUP(B916,PatData!$A$2:$A$2000,1,),"")&lt;&gt;""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3613</v>
      </c>
      <c r="B917" t="s">
        <v>3883</v>
      </c>
      <c r="C917"/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3614</v>
      </c>
      <c r="B918" t="s">
        <v>3884</v>
      </c>
      <c r="C918"/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3615</v>
      </c>
      <c r="B919" t="s">
        <v>4501</v>
      </c>
      <c r="C919"/>
      <c r="D919" t="b">
        <f>IFERROR(VLOOKUP(B919,PatData!$A$2:$A$2000,1,),"")&lt;&gt;""</f>
        <v>1</v>
      </c>
      <c r="E919">
        <v>2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3616</v>
      </c>
      <c r="B920" t="s">
        <v>3885</v>
      </c>
      <c r="C920"/>
      <c r="D920" t="b">
        <f>IFERROR(VLOOKUP(B920,PatData!$A$2:$A$2000,1,),"")&lt;&gt;""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3617</v>
      </c>
      <c r="B921" t="s">
        <v>3886</v>
      </c>
      <c r="C921"/>
      <c r="D921" t="b">
        <f>IFERROR(VLOOKUP(B921,PatData!$A$2:$A$2000,1,),"")&lt;&gt;""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3618</v>
      </c>
      <c r="B922" t="s">
        <v>3887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3619</v>
      </c>
      <c r="B923" t="s">
        <v>3888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3620</v>
      </c>
      <c r="B924" t="s">
        <v>3889</v>
      </c>
      <c r="C924"/>
      <c r="D924" t="b">
        <f>IFERROR(VLOOKUP(B924,PatData!$A$2:$A$2000,1,),"")&lt;&gt;""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3621</v>
      </c>
      <c r="B925" t="s">
        <v>3890</v>
      </c>
      <c r="C925"/>
      <c r="D925" t="b">
        <f>IFERROR(VLOOKUP(B925,PatData!$A$2:$A$2000,1,),"")&lt;&gt;""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3622</v>
      </c>
      <c r="B926" t="s">
        <v>3891</v>
      </c>
      <c r="C926"/>
      <c r="D926" t="b">
        <f>IFERROR(VLOOKUP(B926,PatData!$A$2:$A$2000,1,),"")&lt;&gt;""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4154</v>
      </c>
      <c r="B927" t="s">
        <v>3892</v>
      </c>
      <c r="C927"/>
      <c r="D927" t="b">
        <f>IFERROR(VLOOKUP(B927,PatData!$A$2:$A$2000,1,),"")&lt;&gt;""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4155</v>
      </c>
      <c r="B928" t="s">
        <v>3893</v>
      </c>
      <c r="C928"/>
      <c r="D928" t="b">
        <f>IFERROR(VLOOKUP(B928,PatData!$A$2:$A$2000,1,),"")&lt;&gt;""</f>
        <v>1</v>
      </c>
      <c r="E928"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3623</v>
      </c>
      <c r="B929" t="s">
        <v>3894</v>
      </c>
      <c r="D929" t="b">
        <f>IFERROR(VLOOKUP(B929,PatData!$A$2:$A$2000,1,),"")&lt;&gt;""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3624</v>
      </c>
      <c r="B930" t="s">
        <v>3895</v>
      </c>
      <c r="D930" t="b">
        <f>IFERROR(VLOOKUP(B930,PatData!$A$2:$A$2000,1,),"")&lt;&gt;""</f>
        <v>1</v>
      </c>
      <c r="E930"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3625</v>
      </c>
      <c r="B931" t="s">
        <v>3896</v>
      </c>
      <c r="D931" t="b">
        <f>IFERROR(VLOOKUP(B931,PatData!$A$2:$A$2000,1,),"")&lt;&gt;""</f>
        <v>1</v>
      </c>
      <c r="E931"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3626</v>
      </c>
      <c r="B932" t="s">
        <v>3897</v>
      </c>
      <c r="D932" t="b">
        <f>IFERROR(VLOOKUP(B932,PatData!$A$2:$A$2000,1,),"")&lt;&gt;""</f>
        <v>1</v>
      </c>
      <c r="E932"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3627</v>
      </c>
      <c r="B933" t="s">
        <v>3898</v>
      </c>
      <c r="D933" t="b">
        <f>IFERROR(VLOOKUP(B933,PatData!$A$2:$A$2000,1,),"")&lt;&gt;""</f>
        <v>1</v>
      </c>
      <c r="E933"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3628</v>
      </c>
      <c r="B934" t="s">
        <v>3899</v>
      </c>
      <c r="D934" t="b">
        <f>IFERROR(VLOOKUP(B934,PatData!$A$2:$A$2000,1,),"")&lt;&gt;""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3629</v>
      </c>
      <c r="B935" t="s">
        <v>3900</v>
      </c>
      <c r="D935" t="b">
        <f>IFERROR(VLOOKUP(B935,PatData!$A$2:$A$2000,1,),"")&lt;&gt;""</f>
        <v>1</v>
      </c>
      <c r="E935"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3630</v>
      </c>
      <c r="B936" t="s">
        <v>3901</v>
      </c>
      <c r="D936" t="b">
        <f>IFERROR(VLOOKUP(B936,PatData!$A$2:$A$2000,1,),"")&lt;&gt;""</f>
        <v>1</v>
      </c>
      <c r="E936"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3631</v>
      </c>
      <c r="B937" t="s">
        <v>3902</v>
      </c>
      <c r="D937" t="b">
        <f>IFERROR(VLOOKUP(B937,PatData!$A$2:$A$2000,1,),"")&lt;&gt;""</f>
        <v>1</v>
      </c>
      <c r="E937"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3632</v>
      </c>
      <c r="B938" t="s">
        <v>3903</v>
      </c>
      <c r="D938" t="b">
        <f>IFERROR(VLOOKUP(B938,PatData!$A$2:$A$2000,1,),"")&lt;&gt;""</f>
        <v>1</v>
      </c>
      <c r="E938"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3633</v>
      </c>
      <c r="B939" t="s">
        <v>3904</v>
      </c>
      <c r="D939" t="b">
        <f>IFERROR(VLOOKUP(B939,PatData!$A$2:$A$2000,1,),"")&lt;&gt;""</f>
        <v>1</v>
      </c>
      <c r="E939"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3634</v>
      </c>
      <c r="B940" t="s">
        <v>3905</v>
      </c>
      <c r="D940" t="b">
        <f>IFERROR(VLOOKUP(B940,PatData!$A$2:$A$2000,1,),"")&lt;&gt;""</f>
        <v>1</v>
      </c>
      <c r="E940"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3635</v>
      </c>
      <c r="B941" t="s">
        <v>3906</v>
      </c>
      <c r="D941" t="b">
        <f>IFERROR(VLOOKUP(B941,PatData!$A$2:$A$2000,1,),"")&lt;&gt;""</f>
        <v>1</v>
      </c>
      <c r="E941"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3636</v>
      </c>
      <c r="B942" t="s">
        <v>3907</v>
      </c>
      <c r="D942" t="b">
        <f>IFERROR(VLOOKUP(B942,PatData!$A$2:$A$2000,1,),"")&lt;&gt;""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3637</v>
      </c>
      <c r="B943" t="s">
        <v>3908</v>
      </c>
      <c r="D943" t="b">
        <f>IFERROR(VLOOKUP(B943,PatData!$A$2:$A$2000,1,),"")&lt;&gt;""</f>
        <v>1</v>
      </c>
      <c r="E943"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3638</v>
      </c>
      <c r="B944" t="s">
        <v>3909</v>
      </c>
      <c r="D944" t="b">
        <f>IFERROR(VLOOKUP(B944,PatData!$A$2:$A$2000,1,),"")&lt;&gt;""</f>
        <v>1</v>
      </c>
      <c r="E944">
        <v>2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3639</v>
      </c>
      <c r="B945" t="s">
        <v>3910</v>
      </c>
      <c r="D945" t="b">
        <f>IFERROR(VLOOKUP(B945,PatData!$A$2:$A$2000,1,),"")&lt;&gt;""</f>
        <v>1</v>
      </c>
      <c r="E945">
        <v>2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3640</v>
      </c>
      <c r="B946" t="s">
        <v>3911</v>
      </c>
      <c r="D946" t="b">
        <f>IFERROR(VLOOKUP(B946,PatData!$A$2:$A$2000,1,),"")&lt;&gt;""</f>
        <v>1</v>
      </c>
      <c r="E946">
        <v>5000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3641</v>
      </c>
      <c r="B947" t="s">
        <v>3912</v>
      </c>
      <c r="D947" t="b">
        <f>IFERROR(VLOOKUP(B947,PatData!$A$2:$A$2000,1,),"")&lt;&gt;""</f>
        <v>1</v>
      </c>
      <c r="E947">
        <v>5000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3642</v>
      </c>
      <c r="B948" t="s">
        <v>3913</v>
      </c>
      <c r="D948" t="b">
        <f>IFERROR(VLOOKUP(B948,PatData!$A$2:$A$2000,1,),"")&lt;&gt;""</f>
        <v>1</v>
      </c>
      <c r="E948"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3643</v>
      </c>
      <c r="B949" t="s">
        <v>3914</v>
      </c>
      <c r="D949" t="b">
        <f>IFERROR(VLOOKUP(B949,PatData!$A$2:$A$2000,1,),"")&lt;&gt;""</f>
        <v>1</v>
      </c>
      <c r="E949">
        <v>5000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3644</v>
      </c>
      <c r="B950" t="s">
        <v>3915</v>
      </c>
      <c r="D950" t="b">
        <f>IFERROR(VLOOKUP(B950,PatData!$A$2:$A$2000,1,),"")&lt;&gt;""</f>
        <v>1</v>
      </c>
      <c r="E950">
        <v>5000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4329</v>
      </c>
      <c r="B951" t="s">
        <v>4736</v>
      </c>
      <c r="D951" t="b">
        <f>IFERROR(VLOOKUP(B951,PatData!$A$2:$A$2000,1,),"")&lt;&gt;""</f>
        <v>1</v>
      </c>
      <c r="E951">
        <v>5000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4330</v>
      </c>
      <c r="B952" t="s">
        <v>3916</v>
      </c>
      <c r="D952" t="b">
        <f>IFERROR(VLOOKUP(B952,PatData!$A$2:$A$2000,1,),"")&lt;&gt;""</f>
        <v>1</v>
      </c>
      <c r="E952">
        <v>5000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4331</v>
      </c>
      <c r="B953" t="s">
        <v>3917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4332</v>
      </c>
      <c r="B954" t="s">
        <v>3918</v>
      </c>
      <c r="D954" t="b">
        <f>IFERROR(VLOOKUP(B954,PatData!$A$2:$A$2000,1,),"")&lt;&gt;""</f>
        <v>1</v>
      </c>
      <c r="E954">
        <v>5000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4333</v>
      </c>
      <c r="B955" t="s">
        <v>4737</v>
      </c>
      <c r="D955" t="b">
        <f>IFERROR(VLOOKUP(B955,PatData!$A$2:$A$2000,1,),"")&lt;&gt;""</f>
        <v>1</v>
      </c>
      <c r="E955">
        <v>5000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4502</v>
      </c>
      <c r="B956" t="s">
        <v>3919</v>
      </c>
      <c r="D956" t="b">
        <f>IFERROR(VLOOKUP(B956,PatData!$A$2:$A$2000,1,),"")&lt;&gt;""</f>
        <v>1</v>
      </c>
      <c r="E956">
        <v>5000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1140</v>
      </c>
      <c r="B957" t="s">
        <v>1557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1141</v>
      </c>
      <c r="B958" t="s">
        <v>1558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1142</v>
      </c>
      <c r="B959" t="s">
        <v>1559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1143</v>
      </c>
      <c r="B960" t="s">
        <v>1560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1144</v>
      </c>
      <c r="B961" t="s">
        <v>1561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1145</v>
      </c>
      <c r="B962" t="s">
        <v>1562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1146</v>
      </c>
      <c r="B963" t="s">
        <v>1563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1147</v>
      </c>
      <c r="B964" t="s">
        <v>1564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1148</v>
      </c>
      <c r="B965" t="s">
        <v>1565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1149</v>
      </c>
      <c r="B966" t="s">
        <v>1566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1150</v>
      </c>
      <c r="B967" t="s">
        <v>1567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1151</v>
      </c>
      <c r="B968" t="s">
        <v>1568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1152</v>
      </c>
      <c r="B969" t="s">
        <v>1569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1153</v>
      </c>
      <c r="B970" t="s">
        <v>1570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1154</v>
      </c>
      <c r="B971" t="s">
        <v>1571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1155</v>
      </c>
      <c r="B972" t="s">
        <v>1572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1156</v>
      </c>
      <c r="B973" t="s">
        <v>1573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1157</v>
      </c>
      <c r="B974" t="s">
        <v>1574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1158</v>
      </c>
      <c r="B975" t="s">
        <v>1575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1159</v>
      </c>
      <c r="B976" t="s">
        <v>1576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1160</v>
      </c>
      <c r="B977" t="s">
        <v>1577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1161</v>
      </c>
      <c r="B978" t="s">
        <v>1578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1162</v>
      </c>
      <c r="B979" t="s">
        <v>1579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1163</v>
      </c>
      <c r="B980" t="s">
        <v>1580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1164</v>
      </c>
      <c r="B981" t="s">
        <v>1581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1165</v>
      </c>
      <c r="B982" t="s">
        <v>1582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1166</v>
      </c>
      <c r="B983" t="s">
        <v>1583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1167</v>
      </c>
      <c r="B984" t="s">
        <v>1584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1168</v>
      </c>
      <c r="B985" t="s">
        <v>1585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1169</v>
      </c>
      <c r="B986" t="s">
        <v>1586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1170</v>
      </c>
      <c r="B987" t="s">
        <v>1587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1171</v>
      </c>
      <c r="B988" t="s">
        <v>1588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1172</v>
      </c>
      <c r="B989" t="s">
        <v>1589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1173</v>
      </c>
      <c r="B990" t="s">
        <v>1590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1174</v>
      </c>
      <c r="B991" t="s">
        <v>1591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1175</v>
      </c>
      <c r="B992" t="s">
        <v>1592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1176</v>
      </c>
      <c r="B993" t="s">
        <v>1593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1177</v>
      </c>
      <c r="B994" t="s">
        <v>1594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1178</v>
      </c>
      <c r="B995" t="s">
        <v>1595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1179</v>
      </c>
      <c r="B996" t="s">
        <v>1596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1180</v>
      </c>
      <c r="B997" t="s">
        <v>1597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1181</v>
      </c>
      <c r="B998" t="s">
        <v>1598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1182</v>
      </c>
      <c r="B999" t="s">
        <v>1599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1183</v>
      </c>
      <c r="B1000" t="s">
        <v>1600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1184</v>
      </c>
      <c r="B1001" t="s">
        <v>1601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1185</v>
      </c>
      <c r="B1002" t="s">
        <v>1602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1186</v>
      </c>
      <c r="B1003" t="s">
        <v>1603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1187</v>
      </c>
      <c r="B1004" t="s">
        <v>1604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1188</v>
      </c>
      <c r="B1005" t="s">
        <v>1605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1189</v>
      </c>
      <c r="B1006" t="s">
        <v>1606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1190</v>
      </c>
      <c r="B1007" t="s">
        <v>1607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1191</v>
      </c>
      <c r="B1008" t="s">
        <v>1608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1192</v>
      </c>
      <c r="B1009" t="s">
        <v>1609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1193</v>
      </c>
      <c r="B1010" t="s">
        <v>1610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1194</v>
      </c>
      <c r="B1011" t="s">
        <v>1611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1195</v>
      </c>
      <c r="B1012" t="s">
        <v>1612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1196</v>
      </c>
      <c r="B1013" t="s">
        <v>1613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1197</v>
      </c>
      <c r="B1014" t="s">
        <v>1614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1198</v>
      </c>
      <c r="B1015" t="s">
        <v>1615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1199</v>
      </c>
      <c r="B1016" t="s">
        <v>1616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1200</v>
      </c>
      <c r="B1017" t="s">
        <v>1617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1201</v>
      </c>
      <c r="B1018" t="s">
        <v>1618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1202</v>
      </c>
      <c r="B1019" t="s">
        <v>1619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1203</v>
      </c>
      <c r="B1020" t="s">
        <v>1620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1204</v>
      </c>
      <c r="B1021" t="s">
        <v>1621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1205</v>
      </c>
      <c r="B1022" t="s">
        <v>1622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1206</v>
      </c>
      <c r="B1023" t="s">
        <v>1623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1207</v>
      </c>
      <c r="B1024" t="s">
        <v>1624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1208</v>
      </c>
      <c r="B1025" t="s">
        <v>1625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1209</v>
      </c>
      <c r="B1026" t="s">
        <v>1626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1210</v>
      </c>
      <c r="B1027" t="s">
        <v>1627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1211</v>
      </c>
      <c r="B1028" t="s">
        <v>1628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1212</v>
      </c>
      <c r="B1029" t="s">
        <v>1629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1213</v>
      </c>
      <c r="B1030" t="s">
        <v>1630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1214</v>
      </c>
      <c r="B1031" t="s">
        <v>1631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1215</v>
      </c>
      <c r="B1032" t="s">
        <v>1632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1216</v>
      </c>
      <c r="B1033" t="s">
        <v>1633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1217</v>
      </c>
      <c r="B1034" t="s">
        <v>1634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1218</v>
      </c>
      <c r="B1035" t="s">
        <v>1635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1219</v>
      </c>
      <c r="B1036" t="s">
        <v>1636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1220</v>
      </c>
      <c r="B1037" t="s">
        <v>1637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1221</v>
      </c>
      <c r="B1038" t="s">
        <v>1638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1222</v>
      </c>
      <c r="B1039" t="s">
        <v>1639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1223</v>
      </c>
      <c r="B1040" t="s">
        <v>1640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1224</v>
      </c>
      <c r="B1041" t="s">
        <v>1641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1225</v>
      </c>
      <c r="B1042" t="s">
        <v>1642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4816</v>
      </c>
      <c r="B1043" t="s">
        <v>4817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1226</v>
      </c>
      <c r="B1044" t="s">
        <v>1643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1227</v>
      </c>
      <c r="B1045" t="s">
        <v>1644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1228</v>
      </c>
      <c r="B1046" t="s">
        <v>1645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1229</v>
      </c>
      <c r="B1047" t="s">
        <v>1646</v>
      </c>
      <c r="D1047" t="b">
        <f>IFERROR(VLOOKUP(B1047,PatData!$A$2:$A$2000,1,),"")&lt;&gt;""</f>
        <v>1</v>
      </c>
      <c r="E1047"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1230</v>
      </c>
      <c r="B1048" t="s">
        <v>1647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1231</v>
      </c>
      <c r="B1049" t="s">
        <v>1648</v>
      </c>
      <c r="D1049" t="b">
        <f>IFERROR(VLOOKUP(B1049,PatData!$A$2:$A$2000,1,),"")&lt;&gt;""</f>
        <v>1</v>
      </c>
      <c r="E1049"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1232</v>
      </c>
      <c r="B1050" t="s">
        <v>1649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1233</v>
      </c>
      <c r="B1051" t="s">
        <v>1650</v>
      </c>
      <c r="D1051" t="b">
        <f>IFERROR(VLOOKUP(B1051,PatData!$A$2:$A$2000,1,),"")&lt;&gt;""</f>
        <v>1</v>
      </c>
      <c r="E1051"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1234</v>
      </c>
      <c r="B1052" t="s">
        <v>1651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1235</v>
      </c>
      <c r="B1053" t="s">
        <v>1652</v>
      </c>
      <c r="D1053" t="b">
        <f>IFERROR(VLOOKUP(B1053,PatData!$A$2:$A$2000,1,),"")&lt;&gt;""</f>
        <v>1</v>
      </c>
      <c r="E1053"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1236</v>
      </c>
      <c r="B1054" t="s">
        <v>1653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1237</v>
      </c>
      <c r="B1055" t="s">
        <v>1654</v>
      </c>
      <c r="D1055" t="b">
        <f>IFERROR(VLOOKUP(B1055,PatData!$A$2:$A$2000,1,),"")&lt;&gt;""</f>
        <v>1</v>
      </c>
      <c r="E1055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1238</v>
      </c>
      <c r="B1056" t="s">
        <v>1655</v>
      </c>
      <c r="D1056" t="b">
        <f>IFERROR(VLOOKUP(B1056,PatData!$A$2:$A$2000,1,),"")&lt;&gt;""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1239</v>
      </c>
      <c r="B1057" t="s">
        <v>1656</v>
      </c>
      <c r="D1057" t="b">
        <f>IFERROR(VLOOKUP(B1057,PatData!$A$2:$A$2000,1,),"")&lt;&gt;""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1240</v>
      </c>
      <c r="B1058" t="s">
        <v>1657</v>
      </c>
      <c r="D1058" t="b">
        <f>IFERROR(VLOOKUP(B1058,PatData!$A$2:$A$2000,1,),"")&lt;&gt;""</f>
        <v>1</v>
      </c>
      <c r="E1058"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1241</v>
      </c>
      <c r="B1059" t="s">
        <v>1658</v>
      </c>
      <c r="D1059" t="b">
        <f>IFERROR(VLOOKUP(B1059,PatData!$A$2:$A$2000,1,),"")&lt;&gt;""</f>
        <v>1</v>
      </c>
      <c r="E1059"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1242</v>
      </c>
      <c r="B1060" t="s">
        <v>1659</v>
      </c>
      <c r="D1060" t="b">
        <f>IFERROR(VLOOKUP(B1060,PatData!$A$2:$A$2000,1,),"")&lt;&gt;""</f>
        <v>1</v>
      </c>
      <c r="E1060"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1243</v>
      </c>
      <c r="B1061" t="s">
        <v>1660</v>
      </c>
      <c r="D1061" t="b">
        <f>IFERROR(VLOOKUP(B1061,PatData!$A$2:$A$2000,1,),"")&lt;&gt;""</f>
        <v>1</v>
      </c>
      <c r="E1061"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1244</v>
      </c>
      <c r="B1062" t="s">
        <v>1661</v>
      </c>
      <c r="D1062" t="b">
        <f>IFERROR(VLOOKUP(B1062,PatData!$A$2:$A$2000,1,),"")&lt;&gt;""</f>
        <v>1</v>
      </c>
      <c r="E1062"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1245</v>
      </c>
      <c r="B1063" t="s">
        <v>1662</v>
      </c>
      <c r="D1063" t="b">
        <f>IFERROR(VLOOKUP(B1063,PatData!$A$2:$A$2000,1,),"")&lt;&gt;""</f>
        <v>1</v>
      </c>
      <c r="E1063"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1246</v>
      </c>
      <c r="B1064" t="s">
        <v>1663</v>
      </c>
      <c r="D1064" t="b">
        <f>IFERROR(VLOOKUP(B1064,PatData!$A$2:$A$2000,1,),"")&lt;&gt;""</f>
        <v>1</v>
      </c>
      <c r="E1064"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1247</v>
      </c>
      <c r="B1065" t="s">
        <v>1664</v>
      </c>
      <c r="D1065" t="b">
        <f>IFERROR(VLOOKUP(B1065,PatData!$A$2:$A$2000,1,),"")&lt;&gt;""</f>
        <v>1</v>
      </c>
      <c r="E1065"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1248</v>
      </c>
      <c r="B1066" t="s">
        <v>1665</v>
      </c>
      <c r="D1066" t="b">
        <f>IFERROR(VLOOKUP(B1066,PatData!$A$2:$A$2000,1,),"")&lt;&gt;""</f>
        <v>1</v>
      </c>
      <c r="E1066"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1249</v>
      </c>
      <c r="B1067" t="s">
        <v>1666</v>
      </c>
      <c r="D1067" t="b">
        <f>IFERROR(VLOOKUP(B1067,PatData!$A$2:$A$2000,1,),"")&lt;&gt;""</f>
        <v>1</v>
      </c>
      <c r="E1067"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1250</v>
      </c>
      <c r="B1068" t="s">
        <v>1667</v>
      </c>
      <c r="D1068" t="b">
        <f>IFERROR(VLOOKUP(B1068,PatData!$A$2:$A$2000,1,),"")&lt;&gt;""</f>
        <v>1</v>
      </c>
      <c r="E1068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946</v>
      </c>
      <c r="B1069" t="s">
        <v>1668</v>
      </c>
      <c r="D1069" t="b">
        <f>IFERROR(VLOOKUP(B1069,PatData!$A$2:$A$2000,1,),"")&lt;&gt;""</f>
        <v>1</v>
      </c>
      <c r="E1069">
        <v>50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1139</v>
      </c>
      <c r="B1070" t="s">
        <v>1669</v>
      </c>
      <c r="D1070" t="b">
        <f>IFERROR(VLOOKUP(B1070,PatData!$A$2:$A$2000,1,),"")&lt;&gt;""</f>
        <v>1</v>
      </c>
      <c r="E1070"/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946</v>
      </c>
      <c r="B1071" t="s">
        <v>1554</v>
      </c>
      <c r="D1071" t="b">
        <f>IFERROR(VLOOKUP(B1071,PatData!$A$2:$A$2000,1,),"")&lt;&gt;""</f>
        <v>1</v>
      </c>
      <c r="E1071">
        <v>50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3645</v>
      </c>
      <c r="B1072" t="s">
        <v>3920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4156</v>
      </c>
      <c r="B1073" t="s">
        <v>4334</v>
      </c>
      <c r="D1073" t="b">
        <f>IFERROR(VLOOKUP(B1073,PatData!$A$2:$A$2000,1,),"")&lt;&gt;""</f>
        <v>1</v>
      </c>
      <c r="E1073"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3646</v>
      </c>
      <c r="B1074" t="s">
        <v>4335</v>
      </c>
      <c r="D1074" t="b">
        <f>IFERROR(VLOOKUP(B1074,PatData!$A$2:$A$2000,1,),"")&lt;&gt;""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3647</v>
      </c>
      <c r="B1075" t="s">
        <v>4336</v>
      </c>
      <c r="D1075" t="b">
        <f>IFERROR(VLOOKUP(B1075,PatData!$A$2:$A$2000,1,),"")&lt;&gt;""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3648</v>
      </c>
      <c r="B1076" t="s">
        <v>4337</v>
      </c>
      <c r="D1076" t="b">
        <f>IFERROR(VLOOKUP(B1076,PatData!$A$2:$A$2000,1,),"")&lt;&gt;""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3649</v>
      </c>
      <c r="B1077" t="s">
        <v>4338</v>
      </c>
      <c r="D1077" t="b">
        <f>IFERROR(VLOOKUP(B1077,PatData!$A$2:$A$2000,1,),"")&lt;&gt;""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3650</v>
      </c>
      <c r="B1078" t="s">
        <v>4339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3651</v>
      </c>
      <c r="B1079" t="s">
        <v>4340</v>
      </c>
      <c r="D1079" t="b">
        <f>IFERROR(VLOOKUP(B1079,PatData!$A$2:$A$2000,1,),"")&lt;&gt;""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3652</v>
      </c>
      <c r="B1080" t="s">
        <v>4341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3653</v>
      </c>
      <c r="B1081" t="s">
        <v>4342</v>
      </c>
      <c r="D1081" t="b">
        <f>IFERROR(VLOOKUP(B1081,PatData!$A$2:$A$2000,1,),"")&lt;&gt;""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3654</v>
      </c>
      <c r="B1082" t="s">
        <v>4343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3655</v>
      </c>
      <c r="B1083" t="s">
        <v>4344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3656</v>
      </c>
      <c r="B1084" t="s">
        <v>4345</v>
      </c>
      <c r="D1084" t="b">
        <f>IFERROR(VLOOKUP(B1084,PatData!$A$2:$A$2000,1,),"")&lt;&gt;""</f>
        <v>1</v>
      </c>
      <c r="E1084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3657</v>
      </c>
      <c r="B1085" t="s">
        <v>4346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3658</v>
      </c>
      <c r="B1086" t="s">
        <v>4347</v>
      </c>
      <c r="D1086" t="b">
        <f>IFERROR(VLOOKUP(B1086,PatData!$A$2:$A$2000,1,),"")&lt;&gt;""</f>
        <v>1</v>
      </c>
      <c r="E1086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3659</v>
      </c>
      <c r="B1087" t="s">
        <v>4348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3660</v>
      </c>
      <c r="B1088" t="s">
        <v>4349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3661</v>
      </c>
      <c r="B1089" t="s">
        <v>4350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3662</v>
      </c>
      <c r="B1090" t="s">
        <v>4351</v>
      </c>
      <c r="D1090" t="b">
        <f>IFERROR(VLOOKUP(B1090,PatData!$A$2:$A$2000,1,),"")&lt;&gt;""</f>
        <v>1</v>
      </c>
      <c r="E1090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3663</v>
      </c>
      <c r="B1091" t="s">
        <v>4352</v>
      </c>
      <c r="D1091" t="b">
        <f>IFERROR(VLOOKUP(B1091,PatData!$A$2:$A$2000,1,),"")&lt;&gt;""</f>
        <v>1</v>
      </c>
      <c r="E1091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3664</v>
      </c>
      <c r="B1092" t="s">
        <v>4353</v>
      </c>
      <c r="D1092" t="b">
        <f>IFERROR(VLOOKUP(B1092,PatData!$A$2:$A$2000,1,),"")&lt;&gt;""</f>
        <v>1</v>
      </c>
      <c r="E1092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3665</v>
      </c>
      <c r="B1093" t="s">
        <v>3921</v>
      </c>
      <c r="D1093" t="b">
        <f>IFERROR(VLOOKUP(B1093,PatData!$A$2:$A$2000,1,),"")&lt;&gt;""</f>
        <v>1</v>
      </c>
      <c r="E1093"/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3666</v>
      </c>
      <c r="B1094" t="s">
        <v>3922</v>
      </c>
      <c r="D1094" t="b">
        <f>IFERROR(VLOOKUP(B1094,PatData!$A$2:$A$2000,1,),"")&lt;&gt;""</f>
        <v>1</v>
      </c>
      <c r="E1094"/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3667</v>
      </c>
      <c r="B1095" t="s">
        <v>4354</v>
      </c>
      <c r="D1095" t="b">
        <f>IFERROR(VLOOKUP(B1095,PatData!$A$2:$A$2000,1,),"")&lt;&gt;""</f>
        <v>1</v>
      </c>
      <c r="E1095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3668</v>
      </c>
      <c r="B1096" t="s">
        <v>4355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3669</v>
      </c>
      <c r="B1097" t="s">
        <v>4356</v>
      </c>
      <c r="D1097" t="b">
        <f>IFERROR(VLOOKUP(B1097,PatData!$A$2:$A$2000,1,),"")&lt;&gt;""</f>
        <v>1</v>
      </c>
      <c r="E1097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3670</v>
      </c>
      <c r="B1098" t="s">
        <v>4357</v>
      </c>
      <c r="D1098" t="b">
        <f>IFERROR(VLOOKUP(B1098,PatData!$A$2:$A$2000,1,),"")&lt;&gt;""</f>
        <v>1</v>
      </c>
      <c r="E1098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3671</v>
      </c>
      <c r="B1099" t="s">
        <v>4358</v>
      </c>
      <c r="D1099" t="b">
        <f>IFERROR(VLOOKUP(B1099,PatData!$A$2:$A$2000,1,),"")&lt;&gt;""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3672</v>
      </c>
      <c r="B1100" t="s">
        <v>4359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3673</v>
      </c>
      <c r="B1101" t="s">
        <v>4360</v>
      </c>
      <c r="D1101" t="b">
        <f>IFERROR(VLOOKUP(B1101,PatData!$A$2:$A$2000,1,),"")&lt;&gt;""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3674</v>
      </c>
      <c r="B1102" t="s">
        <v>4361</v>
      </c>
      <c r="D1102" t="b">
        <f>IFERROR(VLOOKUP(B1102,PatData!$A$2:$A$2000,1,),"")&lt;&gt;""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3675</v>
      </c>
      <c r="B1103" t="s">
        <v>4362</v>
      </c>
      <c r="D1103" t="b">
        <f>IFERROR(VLOOKUP(B1103,PatData!$A$2:$A$2000,1,),"")&lt;&gt;""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3676</v>
      </c>
      <c r="B1104" t="s">
        <v>4363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3677</v>
      </c>
      <c r="B1105" t="s">
        <v>3923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3678</v>
      </c>
      <c r="B1106" t="s">
        <v>3924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3679</v>
      </c>
      <c r="B1107" t="s">
        <v>3925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3680</v>
      </c>
      <c r="B1108" t="s">
        <v>3926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3681</v>
      </c>
      <c r="B1109" t="s">
        <v>3927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3682</v>
      </c>
      <c r="B1110" t="s">
        <v>3928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3683</v>
      </c>
      <c r="B1111" t="s">
        <v>3929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3684</v>
      </c>
      <c r="B1112" t="s">
        <v>3930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3685</v>
      </c>
      <c r="B1113" t="s">
        <v>3931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3686</v>
      </c>
      <c r="B1114" t="s">
        <v>3932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3687</v>
      </c>
      <c r="B1115" t="s">
        <v>3933</v>
      </c>
      <c r="D1115" t="b">
        <f>IFERROR(VLOOKUP(B1115,PatData!$A$2:$A$2000,1,),"")&lt;&gt;""</f>
        <v>1</v>
      </c>
      <c r="E1115"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3688</v>
      </c>
      <c r="B1116" t="s">
        <v>3934</v>
      </c>
      <c r="D1116" t="b">
        <f>IFERROR(VLOOKUP(B1116,PatData!$A$2:$A$2000,1,),"")&lt;&gt;""</f>
        <v>1</v>
      </c>
      <c r="E1116"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3689</v>
      </c>
      <c r="B1117" t="s">
        <v>4364</v>
      </c>
      <c r="D1117" t="b">
        <f>IFERROR(VLOOKUP(B1117,PatData!$A$2:$A$2000,1,),"")&lt;&gt;""</f>
        <v>1</v>
      </c>
      <c r="E1117"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3690</v>
      </c>
      <c r="B1118" t="s">
        <v>3935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3691</v>
      </c>
      <c r="B1119" t="s">
        <v>3936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3692</v>
      </c>
      <c r="B1120" t="s">
        <v>3937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3693</v>
      </c>
      <c r="B1121" t="s">
        <v>3938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3694</v>
      </c>
      <c r="B1122" t="s">
        <v>3939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3695</v>
      </c>
      <c r="B1123" t="s">
        <v>3940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3696</v>
      </c>
      <c r="B1124" t="s">
        <v>3941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3697</v>
      </c>
      <c r="B1125" t="s">
        <v>3942</v>
      </c>
      <c r="D1125" t="b">
        <f>IFERROR(VLOOKUP(B1125,PatData!$A$2:$A$2000,1,),"")&lt;&gt;""</f>
        <v>1</v>
      </c>
      <c r="E1125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3698</v>
      </c>
      <c r="B1126" t="s">
        <v>3943</v>
      </c>
      <c r="D1126" t="b">
        <f>IFERROR(VLOOKUP(B1126,PatData!$A$2:$A$2000,1,),"")&lt;&gt;""</f>
        <v>1</v>
      </c>
      <c r="E1126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3699</v>
      </c>
      <c r="B1127" t="s">
        <v>3944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3700</v>
      </c>
      <c r="B1128" t="s">
        <v>3945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3701</v>
      </c>
      <c r="B1129" t="s">
        <v>3946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3702</v>
      </c>
      <c r="B1130" t="s">
        <v>4365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3703</v>
      </c>
      <c r="B1131" t="s">
        <v>3947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3704</v>
      </c>
      <c r="B1132" t="s">
        <v>3948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3705</v>
      </c>
      <c r="B1133" t="s">
        <v>3949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3706</v>
      </c>
      <c r="B1134" t="s">
        <v>3950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3707</v>
      </c>
      <c r="B1135" t="s">
        <v>3951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3708</v>
      </c>
      <c r="B1136" t="s">
        <v>3952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3709</v>
      </c>
      <c r="B1137" t="s">
        <v>3953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3710</v>
      </c>
      <c r="B1138" t="s">
        <v>3954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3711</v>
      </c>
      <c r="B1139" t="s">
        <v>3955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3712</v>
      </c>
      <c r="B1140" t="s">
        <v>3956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3713</v>
      </c>
      <c r="B1141" t="s">
        <v>3957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3714</v>
      </c>
      <c r="B1142" t="s">
        <v>3958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3715</v>
      </c>
      <c r="B1143" t="s">
        <v>3959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3716</v>
      </c>
      <c r="B1144" t="s">
        <v>3960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3717</v>
      </c>
      <c r="B1145" t="s">
        <v>4508</v>
      </c>
      <c r="D1145" t="b">
        <f>IFERROR(VLOOKUP(B1145,PatData!$A$2:$A$2000,1,),"")&lt;&gt;""</f>
        <v>1</v>
      </c>
      <c r="E1145">
        <v>2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3718</v>
      </c>
      <c r="B1146" t="s">
        <v>3961</v>
      </c>
      <c r="D1146" t="b">
        <f>IFERROR(VLOOKUP(B1146,PatData!$A$2:$A$2000,1,),"")&lt;&gt;""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3719</v>
      </c>
      <c r="B1147" t="s">
        <v>3962</v>
      </c>
      <c r="D1147" t="b">
        <f>IFERROR(VLOOKUP(B1147,PatData!$A$2:$A$2000,1,),"")&lt;&gt;""</f>
        <v>1</v>
      </c>
      <c r="E1147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3720</v>
      </c>
      <c r="B1148" t="s">
        <v>3963</v>
      </c>
      <c r="D1148" t="b">
        <f>IFERROR(VLOOKUP(B1148,PatData!$A$2:$A$2000,1,),"")&lt;&gt;""</f>
        <v>1</v>
      </c>
      <c r="E1148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3721</v>
      </c>
      <c r="B1149" t="s">
        <v>3964</v>
      </c>
      <c r="D1149" t="b">
        <f>IFERROR(VLOOKUP(B1149,PatData!$A$2:$A$2000,1,),"")&lt;&gt;""</f>
        <v>1</v>
      </c>
      <c r="E1149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3722</v>
      </c>
      <c r="B1150" t="s">
        <v>3965</v>
      </c>
      <c r="D1150" t="b">
        <f>IFERROR(VLOOKUP(B1150,PatData!$A$2:$A$2000,1,),"")&lt;&gt;""</f>
        <v>1</v>
      </c>
      <c r="E1150"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3723</v>
      </c>
      <c r="B1151" t="s">
        <v>3966</v>
      </c>
      <c r="D1151" t="b">
        <f>IFERROR(VLOOKUP(B1151,PatData!$A$2:$A$2000,1,),"")&lt;&gt;""</f>
        <v>1</v>
      </c>
      <c r="E1151"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3724</v>
      </c>
      <c r="B1152" t="s">
        <v>3967</v>
      </c>
      <c r="D1152" t="b">
        <f>IFERROR(VLOOKUP(B1152,PatData!$A$2:$A$2000,1,),"")&lt;&gt;""</f>
        <v>1</v>
      </c>
      <c r="E1152"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4157</v>
      </c>
      <c r="B1153" t="s">
        <v>3968</v>
      </c>
      <c r="D1153" t="b">
        <f>IFERROR(VLOOKUP(B1153,PatData!$A$2:$A$2000,1,),"")&lt;&gt;""</f>
        <v>1</v>
      </c>
      <c r="E1153"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4158</v>
      </c>
      <c r="B1154" t="s">
        <v>3969</v>
      </c>
      <c r="D1154" t="b">
        <f>IFERROR(VLOOKUP(B1154,PatData!$A$2:$A$2000,1,),"")&lt;&gt;""</f>
        <v>1</v>
      </c>
      <c r="E1154"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3725</v>
      </c>
      <c r="B1155" t="s">
        <v>3970</v>
      </c>
      <c r="D1155" t="b">
        <f>IFERROR(VLOOKUP(B1155,PatData!$A$2:$A$2000,1,),"")&lt;&gt;""</f>
        <v>1</v>
      </c>
      <c r="E1155"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3726</v>
      </c>
      <c r="B1156" t="s">
        <v>3971</v>
      </c>
      <c r="D1156" t="b">
        <f>IFERROR(VLOOKUP(B1156,PatData!$A$2:$A$2000,1,),"")&lt;&gt;""</f>
        <v>1</v>
      </c>
      <c r="E1156"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3727</v>
      </c>
      <c r="B1157" t="s">
        <v>3972</v>
      </c>
      <c r="D1157" t="b">
        <f>IFERROR(VLOOKUP(B1157,PatData!$A$2:$A$2000,1,),"")&lt;&gt;""</f>
        <v>1</v>
      </c>
      <c r="E1157"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3728</v>
      </c>
      <c r="B1158" t="s">
        <v>3973</v>
      </c>
      <c r="D1158" t="b">
        <f>IFERROR(VLOOKUP(B1158,PatData!$A$2:$A$2000,1,),"")&lt;&gt;""</f>
        <v>1</v>
      </c>
      <c r="E1158"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3729</v>
      </c>
      <c r="B1159" t="s">
        <v>3974</v>
      </c>
      <c r="D1159" t="b">
        <f>IFERROR(VLOOKUP(B1159,PatData!$A$2:$A$2000,1,),"")&lt;&gt;""</f>
        <v>1</v>
      </c>
      <c r="E1159"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3730</v>
      </c>
      <c r="B1160" t="s">
        <v>3975</v>
      </c>
      <c r="D1160" t="b">
        <f>IFERROR(VLOOKUP(B1160,PatData!$A$2:$A$2000,1,),"")&lt;&gt;""</f>
        <v>1</v>
      </c>
      <c r="E1160"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3731</v>
      </c>
      <c r="B1161" t="s">
        <v>3976</v>
      </c>
      <c r="D1161" t="b">
        <f>IFERROR(VLOOKUP(B1161,PatData!$A$2:$A$2000,1,),"")&lt;&gt;""</f>
        <v>1</v>
      </c>
      <c r="E1161"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3732</v>
      </c>
      <c r="B1162" t="s">
        <v>3977</v>
      </c>
      <c r="D1162" t="b">
        <f>IFERROR(VLOOKUP(B1162,PatData!$A$2:$A$2000,1,),"")&lt;&gt;""</f>
        <v>1</v>
      </c>
      <c r="E1162"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3733</v>
      </c>
      <c r="B1163" t="s">
        <v>3978</v>
      </c>
      <c r="D1163" t="b">
        <f>IFERROR(VLOOKUP(B1163,PatData!$A$2:$A$2000,1,),"")&lt;&gt;""</f>
        <v>1</v>
      </c>
      <c r="E1163"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3734</v>
      </c>
      <c r="B1164" t="s">
        <v>3979</v>
      </c>
      <c r="D1164" t="b">
        <f>IFERROR(VLOOKUP(B1164,PatData!$A$2:$A$2000,1,),"")&lt;&gt;""</f>
        <v>1</v>
      </c>
      <c r="E1164"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3735</v>
      </c>
      <c r="B1165" t="s">
        <v>3980</v>
      </c>
      <c r="D1165" t="b">
        <f>IFERROR(VLOOKUP(B1165,PatData!$A$2:$A$2000,1,),"")&lt;&gt;""</f>
        <v>1</v>
      </c>
      <c r="E1165"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3736</v>
      </c>
      <c r="B1166" t="s">
        <v>3981</v>
      </c>
      <c r="D1166" t="b">
        <f>IFERROR(VLOOKUP(B1166,PatData!$A$2:$A$2000,1,),"")&lt;&gt;""</f>
        <v>1</v>
      </c>
      <c r="E1166"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3737</v>
      </c>
      <c r="B1167" t="s">
        <v>3982</v>
      </c>
      <c r="D1167" t="b">
        <f>IFERROR(VLOOKUP(B1167,PatData!$A$2:$A$2000,1,),"")&lt;&gt;""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3738</v>
      </c>
      <c r="B1168" t="s">
        <v>3983</v>
      </c>
      <c r="D1168" t="b">
        <f>IFERROR(VLOOKUP(B1168,PatData!$A$2:$A$2000,1,),"")&lt;&gt;""</f>
        <v>1</v>
      </c>
      <c r="E1168">
        <v>5000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3739</v>
      </c>
      <c r="B1169" t="s">
        <v>3984</v>
      </c>
      <c r="D1169" t="b">
        <f>IFERROR(VLOOKUP(B1169,PatData!$A$2:$A$2000,1,),"")&lt;&gt;""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3740</v>
      </c>
      <c r="B1170" t="s">
        <v>3985</v>
      </c>
      <c r="D1170" t="b">
        <f>IFERROR(VLOOKUP(B1170,PatData!$A$2:$A$2000,1,),"")&lt;&gt;""</f>
        <v>1</v>
      </c>
      <c r="E1170">
        <v>2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3741</v>
      </c>
      <c r="B1171" t="s">
        <v>3986</v>
      </c>
      <c r="D1171" t="b">
        <f>IFERROR(VLOOKUP(B1171,PatData!$A$2:$A$2000,1,),"")&lt;&gt;""</f>
        <v>1</v>
      </c>
      <c r="E1171">
        <v>2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3742</v>
      </c>
      <c r="B1172" t="s">
        <v>3987</v>
      </c>
      <c r="D1172" t="b">
        <f>IFERROR(VLOOKUP(B1172,PatData!$A$2:$A$2000,1,),"")&lt;&gt;""</f>
        <v>1</v>
      </c>
      <c r="E1172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3743</v>
      </c>
      <c r="B1173" t="s">
        <v>3988</v>
      </c>
      <c r="D1173" t="b">
        <f>IFERROR(VLOOKUP(B1173,PatData!$A$2:$A$2000,1,),"")&lt;&gt;""</f>
        <v>1</v>
      </c>
      <c r="E1173">
        <v>5000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3744</v>
      </c>
      <c r="B1174" t="s">
        <v>3989</v>
      </c>
      <c r="D1174" t="b">
        <f>IFERROR(VLOOKUP(B1174,PatData!$A$2:$A$2000,1,),"")&lt;&gt;""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3745</v>
      </c>
      <c r="B1175" t="s">
        <v>3990</v>
      </c>
      <c r="D1175" t="b">
        <f>IFERROR(VLOOKUP(B1175,PatData!$A$2:$A$2000,1,),"")&lt;&gt;""</f>
        <v>1</v>
      </c>
      <c r="E1175">
        <v>5000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3746</v>
      </c>
      <c r="B1176" t="s">
        <v>3991</v>
      </c>
      <c r="D1176" t="b">
        <f>IFERROR(VLOOKUP(B1176,PatData!$A$2:$A$2000,1,),"")&lt;&gt;""</f>
        <v>1</v>
      </c>
      <c r="E1176">
        <v>5000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4366</v>
      </c>
      <c r="B1177" t="s">
        <v>4738</v>
      </c>
      <c r="D1177" t="b">
        <f>IFERROR(VLOOKUP(B1177,PatData!$A$2:$A$2000,1,),"")&lt;&gt;""</f>
        <v>1</v>
      </c>
      <c r="E1177">
        <v>5000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4367</v>
      </c>
      <c r="B1178" t="s">
        <v>3993</v>
      </c>
      <c r="D1178" t="b">
        <f>IFERROR(VLOOKUP(B1178,PatData!$A$2:$A$2000,1,),"")&lt;&gt;""</f>
        <v>1</v>
      </c>
      <c r="E1178">
        <v>5000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4368</v>
      </c>
      <c r="B1179" t="s">
        <v>3994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4369</v>
      </c>
      <c r="B1180" t="s">
        <v>3995</v>
      </c>
      <c r="D1180" t="b">
        <f>IFERROR(VLOOKUP(B1180,PatData!$A$2:$A$2000,1,),"")&lt;&gt;""</f>
        <v>1</v>
      </c>
      <c r="E1180">
        <v>5000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4370</v>
      </c>
      <c r="B1181" t="s">
        <v>4739</v>
      </c>
      <c r="D1181" t="b">
        <f>IFERROR(VLOOKUP(B1181,PatData!$A$2:$A$2000,1,),"")&lt;&gt;""</f>
        <v>1</v>
      </c>
      <c r="E1181">
        <v>5000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4503</v>
      </c>
      <c r="B1182" t="s">
        <v>3997</v>
      </c>
      <c r="D1182" t="b">
        <f>IFERROR(VLOOKUP(B1182,PatData!$A$2:$A$2000,1,),"")&lt;&gt;""</f>
        <v>1</v>
      </c>
      <c r="E1182">
        <v>5000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1256</v>
      </c>
      <c r="B1183" t="s">
        <v>2210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1267</v>
      </c>
      <c r="B1184" t="s">
        <v>2211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1278</v>
      </c>
      <c r="B1185" t="s">
        <v>2212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1281</v>
      </c>
      <c r="B1186" t="s">
        <v>2213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1282</v>
      </c>
      <c r="B1187" t="s">
        <v>2214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1283</v>
      </c>
      <c r="B1188" t="s">
        <v>2215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1284</v>
      </c>
      <c r="B1189" t="s">
        <v>2216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1285</v>
      </c>
      <c r="B1190" t="s">
        <v>2217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1286</v>
      </c>
      <c r="B1191" t="s">
        <v>2218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1257</v>
      </c>
      <c r="B1192" t="s">
        <v>2219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1258</v>
      </c>
      <c r="B1193" t="s">
        <v>2220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1259</v>
      </c>
      <c r="B1194" t="s">
        <v>2221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1260</v>
      </c>
      <c r="B1195" t="s">
        <v>2222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1261</v>
      </c>
      <c r="B1196" t="s">
        <v>2223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1262</v>
      </c>
      <c r="B1197" t="s">
        <v>2224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1263</v>
      </c>
      <c r="B1198" t="s">
        <v>2225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1264</v>
      </c>
      <c r="B1199" t="s">
        <v>2226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1265</v>
      </c>
      <c r="B1200" t="s">
        <v>2227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1266</v>
      </c>
      <c r="B1201" t="s">
        <v>2228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1268</v>
      </c>
      <c r="B1202" t="s">
        <v>2229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1269</v>
      </c>
      <c r="B1203" t="s">
        <v>2230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1270</v>
      </c>
      <c r="B1204" t="s">
        <v>2231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1271</v>
      </c>
      <c r="B1205" t="s">
        <v>2232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1272</v>
      </c>
      <c r="B1206" t="s">
        <v>2233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1273</v>
      </c>
      <c r="B1207" t="s">
        <v>2234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1274</v>
      </c>
      <c r="B1208" t="s">
        <v>2235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1275</v>
      </c>
      <c r="B1209" t="s">
        <v>2236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1276</v>
      </c>
      <c r="B1210" t="s">
        <v>2237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1277</v>
      </c>
      <c r="B1211" t="s">
        <v>2238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1279</v>
      </c>
      <c r="B1212" t="s">
        <v>2239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1280</v>
      </c>
      <c r="B1213" t="s">
        <v>2240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1287</v>
      </c>
      <c r="B1214" t="s">
        <v>2241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1298</v>
      </c>
      <c r="B1215" t="s">
        <v>2242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1309</v>
      </c>
      <c r="B1216" t="s">
        <v>2243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1312</v>
      </c>
      <c r="B1217" t="s">
        <v>2244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1313</v>
      </c>
      <c r="B1218" t="s">
        <v>2245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1314</v>
      </c>
      <c r="B1219" t="s">
        <v>2246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1315</v>
      </c>
      <c r="B1220" t="s">
        <v>2247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1316</v>
      </c>
      <c r="B1221" t="s">
        <v>2248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1317</v>
      </c>
      <c r="B1222" t="s">
        <v>2249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1288</v>
      </c>
      <c r="B1223" t="s">
        <v>2250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1289</v>
      </c>
      <c r="B1224" t="s">
        <v>2251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1290</v>
      </c>
      <c r="B1225" t="s">
        <v>2252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1291</v>
      </c>
      <c r="B1226" t="s">
        <v>2253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1292</v>
      </c>
      <c r="B1227" t="s">
        <v>2254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1293</v>
      </c>
      <c r="B1228" t="s">
        <v>2255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1294</v>
      </c>
      <c r="B1229" t="s">
        <v>2256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1295</v>
      </c>
      <c r="B1230" t="s">
        <v>2257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1296</v>
      </c>
      <c r="B1231" t="s">
        <v>2258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1297</v>
      </c>
      <c r="B1232" t="s">
        <v>2259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1299</v>
      </c>
      <c r="B1233" t="s">
        <v>2260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1300</v>
      </c>
      <c r="B1234" t="s">
        <v>2261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1301</v>
      </c>
      <c r="B1235" t="s">
        <v>2262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1302</v>
      </c>
      <c r="B1236" t="s">
        <v>2263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1303</v>
      </c>
      <c r="B1237" t="s">
        <v>2264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1304</v>
      </c>
      <c r="B1238" t="s">
        <v>2265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1305</v>
      </c>
      <c r="B1239" t="s">
        <v>2266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1306</v>
      </c>
      <c r="B1240" t="s">
        <v>2267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1307</v>
      </c>
      <c r="B1241" t="s">
        <v>2268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1308</v>
      </c>
      <c r="B1242" t="s">
        <v>2269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1310</v>
      </c>
      <c r="B1243" t="s">
        <v>2270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1311</v>
      </c>
      <c r="B1244" t="s">
        <v>2271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1318</v>
      </c>
      <c r="B1245" t="s">
        <v>2272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1329</v>
      </c>
      <c r="B1246" t="s">
        <v>2273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1340</v>
      </c>
      <c r="B1247" t="s">
        <v>2274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1343</v>
      </c>
      <c r="B1248" t="s">
        <v>2275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1344</v>
      </c>
      <c r="B1249" t="s">
        <v>2276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1345</v>
      </c>
      <c r="B1250" t="s">
        <v>2277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1346</v>
      </c>
      <c r="B1251" t="s">
        <v>2278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1347</v>
      </c>
      <c r="B1252" t="s">
        <v>2279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1348</v>
      </c>
      <c r="B1253" t="s">
        <v>2280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1319</v>
      </c>
      <c r="B1254" t="s">
        <v>2281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1320</v>
      </c>
      <c r="B1255" t="s">
        <v>2282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1321</v>
      </c>
      <c r="B1256" t="s">
        <v>2283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1322</v>
      </c>
      <c r="B1257" t="s">
        <v>2284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1323</v>
      </c>
      <c r="B1258" t="s">
        <v>2285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1324</v>
      </c>
      <c r="B1259" t="s">
        <v>2286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1325</v>
      </c>
      <c r="B1260" t="s">
        <v>2287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1326</v>
      </c>
      <c r="B1261" t="s">
        <v>2288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1327</v>
      </c>
      <c r="B1262" t="s">
        <v>2289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1328</v>
      </c>
      <c r="B1263" t="s">
        <v>2290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1330</v>
      </c>
      <c r="B1264" t="s">
        <v>2291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1331</v>
      </c>
      <c r="B1265" t="s">
        <v>2292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1332</v>
      </c>
      <c r="B1266" t="s">
        <v>2293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1333</v>
      </c>
      <c r="B1267" t="s">
        <v>2294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1334</v>
      </c>
      <c r="B1268" t="s">
        <v>2295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1335</v>
      </c>
      <c r="B1269" t="s">
        <v>2296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1336</v>
      </c>
      <c r="B1270" t="s">
        <v>2297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1337</v>
      </c>
      <c r="B1271" t="s">
        <v>2298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1338</v>
      </c>
      <c r="B1272" t="s">
        <v>2299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1339</v>
      </c>
      <c r="B1273" t="s">
        <v>2300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1341</v>
      </c>
      <c r="B1274" t="s">
        <v>2301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1342</v>
      </c>
      <c r="B1275" t="s">
        <v>2302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1349</v>
      </c>
      <c r="B1276" t="s">
        <v>2303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1360</v>
      </c>
      <c r="B1277" t="s">
        <v>2304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1371</v>
      </c>
      <c r="B1278" t="s">
        <v>2305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1374</v>
      </c>
      <c r="B1279" t="s">
        <v>2306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1375</v>
      </c>
      <c r="B1280" t="s">
        <v>2307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1376</v>
      </c>
      <c r="B1281" t="s">
        <v>2308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1377</v>
      </c>
      <c r="B1282" t="s">
        <v>2309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1378</v>
      </c>
      <c r="B1283" t="s">
        <v>2310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1379</v>
      </c>
      <c r="B1284" t="s">
        <v>2311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1350</v>
      </c>
      <c r="B1285" t="s">
        <v>2312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1351</v>
      </c>
      <c r="B1286" t="s">
        <v>2313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1352</v>
      </c>
      <c r="B1287" t="s">
        <v>2314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1353</v>
      </c>
      <c r="B1288" t="s">
        <v>2315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1354</v>
      </c>
      <c r="B1289" t="s">
        <v>2316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1355</v>
      </c>
      <c r="B1290" t="s">
        <v>2317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1356</v>
      </c>
      <c r="B1291" t="s">
        <v>2318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1357</v>
      </c>
      <c r="B1292" t="s">
        <v>2319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1358</v>
      </c>
      <c r="B1293" t="s">
        <v>2320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1359</v>
      </c>
      <c r="B1294" t="s">
        <v>2321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1361</v>
      </c>
      <c r="B1295" t="s">
        <v>2322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1362</v>
      </c>
      <c r="B1296" t="s">
        <v>2323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1363</v>
      </c>
      <c r="B1297" t="s">
        <v>2324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1364</v>
      </c>
      <c r="B1298" t="s">
        <v>2325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1365</v>
      </c>
      <c r="B1299" t="s">
        <v>2326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1366</v>
      </c>
      <c r="B1300" t="s">
        <v>2327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1367</v>
      </c>
      <c r="B1301" t="s">
        <v>2328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1368</v>
      </c>
      <c r="B1302" t="s">
        <v>2329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1369</v>
      </c>
      <c r="B1303" t="s">
        <v>2330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1370</v>
      </c>
      <c r="B1304" t="s">
        <v>2331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1372</v>
      </c>
      <c r="B1305" t="s">
        <v>2332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1373</v>
      </c>
      <c r="B1306" t="s">
        <v>2333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1380</v>
      </c>
      <c r="B1307" t="s">
        <v>2334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1391</v>
      </c>
      <c r="B1308" t="s">
        <v>2335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1402</v>
      </c>
      <c r="B1309" t="s">
        <v>2336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1405</v>
      </c>
      <c r="B1310" t="s">
        <v>2337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1406</v>
      </c>
      <c r="B1311" t="s">
        <v>2338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1407</v>
      </c>
      <c r="B1312" t="s">
        <v>2339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1408</v>
      </c>
      <c r="B1313" t="s">
        <v>2340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1409</v>
      </c>
      <c r="B1314" t="s">
        <v>2341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1410</v>
      </c>
      <c r="B1315" t="s">
        <v>2342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1381</v>
      </c>
      <c r="B1316" t="s">
        <v>2343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1382</v>
      </c>
      <c r="B1317" t="s">
        <v>2344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1383</v>
      </c>
      <c r="B1318" t="s">
        <v>2345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1384</v>
      </c>
      <c r="B1319" t="s">
        <v>2346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1385</v>
      </c>
      <c r="B1320" t="s">
        <v>2347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1386</v>
      </c>
      <c r="B1321" t="s">
        <v>2348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1387</v>
      </c>
      <c r="B1322" t="s">
        <v>2349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1388</v>
      </c>
      <c r="B1323" t="s">
        <v>2350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1389</v>
      </c>
      <c r="B1324" t="s">
        <v>2351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1390</v>
      </c>
      <c r="B1325" t="s">
        <v>2352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1392</v>
      </c>
      <c r="B1326" t="s">
        <v>2353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1393</v>
      </c>
      <c r="B1327" t="s">
        <v>2354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1394</v>
      </c>
      <c r="B1328" t="s">
        <v>2355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1395</v>
      </c>
      <c r="B1329" t="s">
        <v>2356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1396</v>
      </c>
      <c r="B1330" t="s">
        <v>2357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1397</v>
      </c>
      <c r="B1331" t="s">
        <v>2358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1398</v>
      </c>
      <c r="B1332" t="s">
        <v>2359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1399</v>
      </c>
      <c r="B1333" t="s">
        <v>2360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1400</v>
      </c>
      <c r="B1334" t="s">
        <v>2361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1401</v>
      </c>
      <c r="B1335" t="s">
        <v>2362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1403</v>
      </c>
      <c r="B1336" t="s">
        <v>2363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1404</v>
      </c>
      <c r="B1337" t="s">
        <v>2364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1411</v>
      </c>
      <c r="B1338" t="s">
        <v>2365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1422</v>
      </c>
      <c r="B1339" t="s">
        <v>2366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1433</v>
      </c>
      <c r="B1340" t="s">
        <v>2367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1436</v>
      </c>
      <c r="B1341" t="s">
        <v>2368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1437</v>
      </c>
      <c r="B1342" t="s">
        <v>2369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1438</v>
      </c>
      <c r="B1343" t="s">
        <v>2370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1439</v>
      </c>
      <c r="B1344" t="s">
        <v>2371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1440</v>
      </c>
      <c r="B1345" t="s">
        <v>2372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1441</v>
      </c>
      <c r="B1346" t="s">
        <v>2373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1412</v>
      </c>
      <c r="B1347" t="s">
        <v>2374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1413</v>
      </c>
      <c r="B1348" t="s">
        <v>2375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1414</v>
      </c>
      <c r="B1349" t="s">
        <v>2376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1415</v>
      </c>
      <c r="B1350" t="s">
        <v>2377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1416</v>
      </c>
      <c r="B1351" t="s">
        <v>2378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1417</v>
      </c>
      <c r="B1352" t="s">
        <v>2379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1418</v>
      </c>
      <c r="B1353" t="s">
        <v>2380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1419</v>
      </c>
      <c r="B1354" t="s">
        <v>2381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1420</v>
      </c>
      <c r="B1355" t="s">
        <v>2382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1421</v>
      </c>
      <c r="B1356" t="s">
        <v>2383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1423</v>
      </c>
      <c r="B1357" t="s">
        <v>2384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1424</v>
      </c>
      <c r="B1358" t="s">
        <v>2385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1425</v>
      </c>
      <c r="B1359" t="s">
        <v>2386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1426</v>
      </c>
      <c r="B1360" t="s">
        <v>2387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1427</v>
      </c>
      <c r="B1361" t="s">
        <v>2388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1428</v>
      </c>
      <c r="B1362" t="s">
        <v>2389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1429</v>
      </c>
      <c r="B1363" t="s">
        <v>2390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1430</v>
      </c>
      <c r="B1364" t="s">
        <v>2391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1431</v>
      </c>
      <c r="B1365" t="s">
        <v>2392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1432</v>
      </c>
      <c r="B1366" t="s">
        <v>2393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1434</v>
      </c>
      <c r="B1367" t="s">
        <v>2394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1435</v>
      </c>
      <c r="B1368" t="s">
        <v>2395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1442</v>
      </c>
      <c r="B1369" t="s">
        <v>2396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1453</v>
      </c>
      <c r="B1370" t="s">
        <v>2397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1464</v>
      </c>
      <c r="B1371" t="s">
        <v>2398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1467</v>
      </c>
      <c r="B1372" t="s">
        <v>2399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1468</v>
      </c>
      <c r="B1373" t="s">
        <v>2400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1469</v>
      </c>
      <c r="B1374" t="s">
        <v>2401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1470</v>
      </c>
      <c r="B1375" t="s">
        <v>2402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1471</v>
      </c>
      <c r="B1376" t="s">
        <v>2403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1472</v>
      </c>
      <c r="B1377" t="s">
        <v>2404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1443</v>
      </c>
      <c r="B1378" t="s">
        <v>2405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1444</v>
      </c>
      <c r="B1379" t="s">
        <v>2406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1445</v>
      </c>
      <c r="B1380" t="s">
        <v>2407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1446</v>
      </c>
      <c r="B1381" t="s">
        <v>2408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1447</v>
      </c>
      <c r="B1382" t="s">
        <v>2409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1448</v>
      </c>
      <c r="B1383" t="s">
        <v>2410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1449</v>
      </c>
      <c r="B1384" t="s">
        <v>2411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1450</v>
      </c>
      <c r="B1385" t="s">
        <v>2412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1451</v>
      </c>
      <c r="B1386" t="s">
        <v>2413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1452</v>
      </c>
      <c r="B1387" t="s">
        <v>2414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1454</v>
      </c>
      <c r="B1388" t="s">
        <v>2415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1455</v>
      </c>
      <c r="B1389" t="s">
        <v>2416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1456</v>
      </c>
      <c r="B1390" t="s">
        <v>2417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1457</v>
      </c>
      <c r="B1391" t="s">
        <v>2418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1458</v>
      </c>
      <c r="B1392" t="s">
        <v>2419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1459</v>
      </c>
      <c r="B1393" t="s">
        <v>2420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1460</v>
      </c>
      <c r="B1394" t="s">
        <v>2421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1461</v>
      </c>
      <c r="B1395" t="s">
        <v>2422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1462</v>
      </c>
      <c r="B1396" t="s">
        <v>2423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1463</v>
      </c>
      <c r="B1397" t="s">
        <v>2424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1465</v>
      </c>
      <c r="B1398" t="s">
        <v>2425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1466</v>
      </c>
      <c r="B1399" t="s">
        <v>2426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1473</v>
      </c>
      <c r="B1400" t="s">
        <v>2427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1484</v>
      </c>
      <c r="B1401" t="s">
        <v>2428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1495</v>
      </c>
      <c r="B1402" t="s">
        <v>2429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1498</v>
      </c>
      <c r="B1403" t="s">
        <v>2430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1499</v>
      </c>
      <c r="B1404" t="s">
        <v>2431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1500</v>
      </c>
      <c r="B1405" t="s">
        <v>2432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1501</v>
      </c>
      <c r="B1406" t="s">
        <v>2433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1502</v>
      </c>
      <c r="B1407" t="s">
        <v>2434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1503</v>
      </c>
      <c r="B1408" t="s">
        <v>2435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1474</v>
      </c>
      <c r="B1409" t="s">
        <v>2436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1475</v>
      </c>
      <c r="B1410" t="s">
        <v>2437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1476</v>
      </c>
      <c r="B1411" t="s">
        <v>2438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1477</v>
      </c>
      <c r="B1412" t="s">
        <v>2439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1478</v>
      </c>
      <c r="B1413" t="s">
        <v>2440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1479</v>
      </c>
      <c r="B1414" t="s">
        <v>2441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1480</v>
      </c>
      <c r="B1415" t="s">
        <v>2442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1481</v>
      </c>
      <c r="B1416" t="s">
        <v>2443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1482</v>
      </c>
      <c r="B1417" t="s">
        <v>2444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1483</v>
      </c>
      <c r="B1418" t="s">
        <v>2445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1485</v>
      </c>
      <c r="B1419" t="s">
        <v>2446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1486</v>
      </c>
      <c r="B1420" t="s">
        <v>2447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1487</v>
      </c>
      <c r="B1421" t="s">
        <v>2448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1488</v>
      </c>
      <c r="B1422" t="s">
        <v>2449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1489</v>
      </c>
      <c r="B1423" t="s">
        <v>2450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1490</v>
      </c>
      <c r="B1424" t="s">
        <v>2451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1491</v>
      </c>
      <c r="B1425" t="s">
        <v>2452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1492</v>
      </c>
      <c r="B1426" t="s">
        <v>2453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1493</v>
      </c>
      <c r="B1427" t="s">
        <v>2454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1494</v>
      </c>
      <c r="B1428" t="s">
        <v>2455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1496</v>
      </c>
      <c r="B1429" t="s">
        <v>2456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1497</v>
      </c>
      <c r="B1430" t="s">
        <v>2457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1504</v>
      </c>
      <c r="B1431" t="s">
        <v>2458</v>
      </c>
      <c r="D1431" t="b">
        <f>IFERROR(VLOOKUP(B1431,PatData!$A$2:$A$2000,1,),"")&lt;&gt;""</f>
        <v>1</v>
      </c>
      <c r="E1431"/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1505</v>
      </c>
      <c r="B1432" t="s">
        <v>2459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1516</v>
      </c>
      <c r="B1433" t="s">
        <v>2460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1527</v>
      </c>
      <c r="B1434" t="s">
        <v>2461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1531</v>
      </c>
      <c r="B1435" t="s">
        <v>2462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1532</v>
      </c>
      <c r="B1436" t="s">
        <v>2463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1533</v>
      </c>
      <c r="B1437" t="s">
        <v>2464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1534</v>
      </c>
      <c r="B1438" t="s">
        <v>2465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1535</v>
      </c>
      <c r="B1439" t="s">
        <v>2466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1536</v>
      </c>
      <c r="B1440" t="s">
        <v>2467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1506</v>
      </c>
      <c r="B1441" t="s">
        <v>2468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1507</v>
      </c>
      <c r="B1442" t="s">
        <v>2469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1508</v>
      </c>
      <c r="B1443" t="s">
        <v>2470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1509</v>
      </c>
      <c r="B1444" t="s">
        <v>2471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1510</v>
      </c>
      <c r="B1445" t="s">
        <v>2472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1511</v>
      </c>
      <c r="B1446" t="s">
        <v>2473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1512</v>
      </c>
      <c r="B1447" t="s">
        <v>2474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1513</v>
      </c>
      <c r="B1448" t="s">
        <v>2475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1514</v>
      </c>
      <c r="B1449" t="s">
        <v>2476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1515</v>
      </c>
      <c r="B1450" t="s">
        <v>2477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1517</v>
      </c>
      <c r="B1451" t="s">
        <v>2478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1518</v>
      </c>
      <c r="B1452" t="s">
        <v>2479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1519</v>
      </c>
      <c r="B1453" t="s">
        <v>2480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1520</v>
      </c>
      <c r="B1454" t="s">
        <v>2481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1521</v>
      </c>
      <c r="B1455" t="s">
        <v>2482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1522</v>
      </c>
      <c r="B1456" t="s">
        <v>2483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1523</v>
      </c>
      <c r="B1457" t="s">
        <v>2484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1524</v>
      </c>
      <c r="B1458" t="s">
        <v>2485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1525</v>
      </c>
      <c r="B1459" t="s">
        <v>2486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1526</v>
      </c>
      <c r="B1460" t="s">
        <v>2487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1528</v>
      </c>
      <c r="B1461" t="s">
        <v>2488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1529</v>
      </c>
      <c r="B1462" t="s">
        <v>2489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1530</v>
      </c>
      <c r="B1463" t="s">
        <v>2490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3206</v>
      </c>
      <c r="B1464" t="s">
        <v>3203</v>
      </c>
      <c r="D1464" t="b">
        <f>IFERROR(VLOOKUP(B1464,PatData!$A$2:$A$2000,1,),"")&lt;&gt;""</f>
        <v>1</v>
      </c>
      <c r="E1464">
        <v>0</v>
      </c>
      <c r="F1464" t="b">
        <v>0</v>
      </c>
      <c r="G1464" t="b">
        <v>1</v>
      </c>
      <c r="H1464" t="b">
        <v>0</v>
      </c>
      <c r="I1464" t="b">
        <v>0</v>
      </c>
    </row>
    <row r="1465" spans="1:9" x14ac:dyDescent="0.2">
      <c r="A1465" t="s">
        <v>3202</v>
      </c>
      <c r="B1465" t="s">
        <v>5288</v>
      </c>
      <c r="D1465" t="b">
        <f>IFERROR(VLOOKUP(B1465,PatData!$A$2:$A$2000,1,),"")&lt;&gt;""</f>
        <v>1</v>
      </c>
      <c r="E1465"/>
      <c r="F1465" t="b">
        <v>0</v>
      </c>
      <c r="G1465" t="b">
        <v>1</v>
      </c>
      <c r="H1465" t="b">
        <v>0</v>
      </c>
      <c r="I1465" t="b">
        <v>0</v>
      </c>
    </row>
    <row r="1466" spans="1:9" x14ac:dyDescent="0.2">
      <c r="A1466" t="s">
        <v>3459</v>
      </c>
      <c r="B1466" t="s">
        <v>4160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0</v>
      </c>
    </row>
    <row r="1467" spans="1:9" x14ac:dyDescent="0.2">
      <c r="A1467" t="s">
        <v>5289</v>
      </c>
      <c r="B1467" t="s">
        <v>4161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0</v>
      </c>
    </row>
    <row r="1468" spans="1:9" x14ac:dyDescent="0.2">
      <c r="A1468" t="s">
        <v>3204</v>
      </c>
      <c r="B1468" t="s">
        <v>2777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0</v>
      </c>
    </row>
    <row r="1469" spans="1:9" x14ac:dyDescent="0.2">
      <c r="A1469" t="s">
        <v>3205</v>
      </c>
      <c r="B1469" t="s">
        <v>2778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0</v>
      </c>
    </row>
    <row r="1470" spans="1:9" x14ac:dyDescent="0.2">
      <c r="A1470" t="s">
        <v>4159</v>
      </c>
      <c r="B1470" t="s">
        <v>2776</v>
      </c>
      <c r="D1470" t="b">
        <f>IFERROR(VLOOKUP(B1470,PatData!$A$2:$A$2000,1,),"")&lt;&gt;""</f>
        <v>1</v>
      </c>
      <c r="E1470">
        <v>1462</v>
      </c>
      <c r="F1470" t="b">
        <v>0</v>
      </c>
      <c r="G1470" t="b">
        <v>1</v>
      </c>
      <c r="H1470" t="b">
        <v>0</v>
      </c>
      <c r="I1470" t="b">
        <v>0</v>
      </c>
    </row>
    <row r="1471" spans="1:9" x14ac:dyDescent="0.2">
      <c r="A1471" t="s">
        <v>3207</v>
      </c>
      <c r="B1471" t="s">
        <v>1670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3208</v>
      </c>
      <c r="B1472" t="s">
        <v>1671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3209</v>
      </c>
      <c r="B1473" t="s">
        <v>1672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3210</v>
      </c>
      <c r="B1474" t="s">
        <v>1673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3211</v>
      </c>
      <c r="B1475" t="s">
        <v>1674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3212</v>
      </c>
      <c r="B1476" t="s">
        <v>1675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3213</v>
      </c>
      <c r="B1477" t="s">
        <v>1676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3214</v>
      </c>
      <c r="B1478" t="s">
        <v>1677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3215</v>
      </c>
      <c r="B1479" t="s">
        <v>1678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3216</v>
      </c>
      <c r="B1480" t="s">
        <v>1679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3217</v>
      </c>
      <c r="B1481" t="s">
        <v>1680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3218</v>
      </c>
      <c r="B1482" t="s">
        <v>1681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3219</v>
      </c>
      <c r="B1483" t="s">
        <v>1682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3220</v>
      </c>
      <c r="B1484" t="s">
        <v>1683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3221</v>
      </c>
      <c r="B1485" t="s">
        <v>1684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3222</v>
      </c>
      <c r="B1486" t="s">
        <v>1685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3223</v>
      </c>
      <c r="B1487" t="s">
        <v>1686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3224</v>
      </c>
      <c r="B1488" t="s">
        <v>1687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3225</v>
      </c>
      <c r="B1489" t="s">
        <v>1688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3226</v>
      </c>
      <c r="B1490" t="s">
        <v>1689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3227</v>
      </c>
      <c r="B1491" t="s">
        <v>1690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3228</v>
      </c>
      <c r="B1492" t="s">
        <v>1691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3229</v>
      </c>
      <c r="B1493" t="s">
        <v>1692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3230</v>
      </c>
      <c r="B1494" t="s">
        <v>1693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3231</v>
      </c>
      <c r="B1495" t="s">
        <v>1694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3232</v>
      </c>
      <c r="B1496" t="s">
        <v>1695</v>
      </c>
      <c r="D1496" t="b">
        <f>IFERROR(VLOOKUP(B1496,PatData!$A$2:$A$2000,1,),"")&lt;&gt;""</f>
        <v>1</v>
      </c>
      <c r="E1496" t="b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3233</v>
      </c>
      <c r="B1497" t="s">
        <v>1696</v>
      </c>
      <c r="D1497" t="b">
        <f>IFERROR(VLOOKUP(B1497,PatData!$A$2:$A$2000,1,),"")&lt;&gt;""</f>
        <v>1</v>
      </c>
      <c r="E1497" t="b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3234</v>
      </c>
      <c r="B1498" t="s">
        <v>1697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3235</v>
      </c>
      <c r="B1499" t="s">
        <v>1698</v>
      </c>
      <c r="D1499" t="b">
        <f>IFERROR(VLOOKUP(B1499,PatData!$A$2:$A$2000,1,),"")&lt;&gt;""</f>
        <v>1</v>
      </c>
      <c r="E1499" t="b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3236</v>
      </c>
      <c r="B1500" t="s">
        <v>1699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3237</v>
      </c>
      <c r="B1501" t="s">
        <v>1700</v>
      </c>
      <c r="D1501" t="b">
        <f>IFERROR(VLOOKUP(B1501,PatData!$A$2:$A$2000,1,),"")&lt;&gt;""</f>
        <v>1</v>
      </c>
      <c r="E1501" t="b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3238</v>
      </c>
      <c r="B1502" t="s">
        <v>1701</v>
      </c>
      <c r="D1502" t="b">
        <f>IFERROR(VLOOKUP(B1502,PatData!$A$2:$A$2000,1,),"")&lt;&gt;""</f>
        <v>1</v>
      </c>
      <c r="E1502" t="b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3239</v>
      </c>
      <c r="B1503" t="s">
        <v>1702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3240</v>
      </c>
      <c r="B1504" t="s">
        <v>1703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3241</v>
      </c>
      <c r="B1505" t="s">
        <v>1704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3242</v>
      </c>
      <c r="B1506" t="s">
        <v>1705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3243</v>
      </c>
      <c r="B1507" t="s">
        <v>1706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3244</v>
      </c>
      <c r="B1508" t="s">
        <v>1707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3245</v>
      </c>
      <c r="B1509" t="s">
        <v>1708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3246</v>
      </c>
      <c r="B1510" t="s">
        <v>1709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3247</v>
      </c>
      <c r="B1511" t="s">
        <v>1710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3248</v>
      </c>
      <c r="B1512" t="s">
        <v>1711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3249</v>
      </c>
      <c r="B1513" t="s">
        <v>1712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3250</v>
      </c>
      <c r="B1514" t="s">
        <v>1713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3251</v>
      </c>
      <c r="B1515" t="s">
        <v>1714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3252</v>
      </c>
      <c r="B1516" t="s">
        <v>1715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3253</v>
      </c>
      <c r="B1517" t="s">
        <v>1716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3254</v>
      </c>
      <c r="B1518" t="s">
        <v>1717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3255</v>
      </c>
      <c r="B1519" t="s">
        <v>1718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3256</v>
      </c>
      <c r="B1520" t="s">
        <v>1719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3257</v>
      </c>
      <c r="B1521" t="s">
        <v>1720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3258</v>
      </c>
      <c r="B1522" t="s">
        <v>1721</v>
      </c>
      <c r="D1522" t="b">
        <f>IFERROR(VLOOKUP(B1522,PatData!$A$2:$A$2000,1,),"")&lt;&gt;""</f>
        <v>1</v>
      </c>
      <c r="E1522"/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4541</v>
      </c>
      <c r="B1523" t="s">
        <v>4542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3259</v>
      </c>
      <c r="B1524" t="s">
        <v>1722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3260</v>
      </c>
      <c r="B1525" t="s">
        <v>1723</v>
      </c>
      <c r="D1525" t="b">
        <f>IFERROR(VLOOKUP(B1525,PatData!$A$2:$A$2000,1,),"")&lt;&gt;""</f>
        <v>1</v>
      </c>
      <c r="E1525"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3261</v>
      </c>
      <c r="B1526" t="s">
        <v>1724</v>
      </c>
      <c r="D1526" t="b">
        <f>IFERROR(VLOOKUP(B1526,PatData!$A$2:$A$2000,1,),"")&lt;&gt;""</f>
        <v>1</v>
      </c>
      <c r="E1526"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3262</v>
      </c>
      <c r="B1527" t="s">
        <v>1725</v>
      </c>
      <c r="D1527" t="b">
        <f>IFERROR(VLOOKUP(B1527,PatData!$A$2:$A$2000,1,),"")&lt;&gt;""</f>
        <v>1</v>
      </c>
      <c r="E1527"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3263</v>
      </c>
      <c r="B1528" t="s">
        <v>1726</v>
      </c>
      <c r="D1528" t="b">
        <f>IFERROR(VLOOKUP(B1528,PatData!$A$2:$A$2000,1,),"")&lt;&gt;""</f>
        <v>1</v>
      </c>
      <c r="E1528"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3264</v>
      </c>
      <c r="B1529" t="s">
        <v>1727</v>
      </c>
      <c r="D1529" t="b">
        <f>IFERROR(VLOOKUP(B1529,PatData!$A$2:$A$2000,1,),"")&lt;&gt;""</f>
        <v>1</v>
      </c>
      <c r="E1529"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3265</v>
      </c>
      <c r="B1530" t="s">
        <v>1728</v>
      </c>
      <c r="D1530" t="b">
        <f>IFERROR(VLOOKUP(B1530,PatData!$A$2:$A$2000,1,),"")&lt;&gt;""</f>
        <v>1</v>
      </c>
      <c r="E1530"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3266</v>
      </c>
      <c r="B1531" t="s">
        <v>1729</v>
      </c>
      <c r="D1531" t="b">
        <f>IFERROR(VLOOKUP(B1531,PatData!$A$2:$A$2000,1,),"")&lt;&gt;""</f>
        <v>1</v>
      </c>
      <c r="E1531"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3267</v>
      </c>
      <c r="B1532" t="s">
        <v>1730</v>
      </c>
      <c r="D1532" t="b">
        <f>IFERROR(VLOOKUP(B1532,PatData!$A$2:$A$2000,1,),"")&lt;&gt;""</f>
        <v>1</v>
      </c>
      <c r="E1532"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3268</v>
      </c>
      <c r="B1533" t="s">
        <v>1731</v>
      </c>
      <c r="D1533" t="b">
        <f>IFERROR(VLOOKUP(B1533,PatData!$A$2:$A$2000,1,),"")&lt;&gt;""</f>
        <v>1</v>
      </c>
      <c r="E1533"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3269</v>
      </c>
      <c r="B1534" t="s">
        <v>1732</v>
      </c>
      <c r="D1534" t="b">
        <f>IFERROR(VLOOKUP(B1534,PatData!$A$2:$A$2000,1,),"")&lt;&gt;""</f>
        <v>1</v>
      </c>
      <c r="E1534"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3270</v>
      </c>
      <c r="B1535" t="s">
        <v>2491</v>
      </c>
      <c r="D1535" t="b">
        <f>IFERROR(VLOOKUP(B1535,PatData!$A$2:$A$2000,1,),"")&lt;&gt;""</f>
        <v>1</v>
      </c>
      <c r="E1535"/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3270</v>
      </c>
      <c r="B1536" t="s">
        <v>1733</v>
      </c>
      <c r="D1536" t="b">
        <f>IFERROR(VLOOKUP(B1536,PatData!$A$2:$A$2000,1,),"")&lt;&gt;""</f>
        <v>1</v>
      </c>
      <c r="E1536"/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3271</v>
      </c>
      <c r="B1537" t="s">
        <v>1734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3258</v>
      </c>
      <c r="B1538" t="s">
        <v>1556</v>
      </c>
      <c r="D1538" t="b">
        <f>IFERROR(VLOOKUP(B1538,PatData!$A$2:$A$2000,1,),"")&lt;&gt;""</f>
        <v>1</v>
      </c>
      <c r="E1538"/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4162</v>
      </c>
      <c r="B1539" t="s">
        <v>2492</v>
      </c>
      <c r="D1539" t="b">
        <f>IFERROR(VLOOKUP(B1539,PatData!$A$2:$A$2000,1,),"")&lt;&gt;""</f>
        <v>1</v>
      </c>
      <c r="E1539"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4163</v>
      </c>
      <c r="B1540" t="s">
        <v>2493</v>
      </c>
      <c r="D1540" t="b">
        <f>IFERROR(VLOOKUP(B1540,PatData!$A$2:$A$2000,1,),"")&lt;&gt;""</f>
        <v>1</v>
      </c>
      <c r="E1540"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4164</v>
      </c>
      <c r="B1541" t="s">
        <v>2494</v>
      </c>
      <c r="D1541" t="b">
        <f>IFERROR(VLOOKUP(B1541,PatData!$A$2:$A$2000,1,),"")&lt;&gt;""</f>
        <v>1</v>
      </c>
      <c r="E1541"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4835</v>
      </c>
      <c r="B1542" t="s">
        <v>2495</v>
      </c>
      <c r="D1542" t="b">
        <f>IFERROR(VLOOKUP(B1542,PatData!$A$2:$A$2000,1,),"")&lt;&gt;""</f>
        <v>1</v>
      </c>
      <c r="E1542"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4166</v>
      </c>
      <c r="B1543" t="s">
        <v>2496</v>
      </c>
      <c r="D1543" t="b">
        <f>IFERROR(VLOOKUP(B1543,PatData!$A$2:$A$2000,1,),"")&lt;&gt;""</f>
        <v>1</v>
      </c>
      <c r="E1543"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4167</v>
      </c>
      <c r="B1544" t="s">
        <v>2497</v>
      </c>
      <c r="D1544" t="b">
        <f>IFERROR(VLOOKUP(B1544,PatData!$A$2:$A$2000,1,),"")&lt;&gt;""</f>
        <v>1</v>
      </c>
      <c r="E1544"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4168</v>
      </c>
      <c r="B1545" t="s">
        <v>2498</v>
      </c>
      <c r="D1545" t="b">
        <f>IFERROR(VLOOKUP(B1545,PatData!$A$2:$A$2000,1,),"")&lt;&gt;""</f>
        <v>1</v>
      </c>
      <c r="E1545"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4836</v>
      </c>
      <c r="B1546" t="s">
        <v>2499</v>
      </c>
      <c r="D1546" t="b">
        <f>IFERROR(VLOOKUP(B1546,PatData!$A$2:$A$2000,1,),"")&lt;&gt;""</f>
        <v>1</v>
      </c>
      <c r="E1546">
        <v>1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4837</v>
      </c>
      <c r="B1547" t="s">
        <v>2500</v>
      </c>
      <c r="D1547" t="b">
        <f>IFERROR(VLOOKUP(B1547,PatData!$A$2:$A$2000,1,),"")&lt;&gt;""</f>
        <v>1</v>
      </c>
      <c r="E1547"/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4165</v>
      </c>
      <c r="B1548" t="s">
        <v>2501</v>
      </c>
      <c r="D1548" t="b">
        <f>IFERROR(VLOOKUP(B1548,PatData!$A$2:$A$2000,1,),"")&lt;&gt;""</f>
        <v>1</v>
      </c>
      <c r="E1548"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4169</v>
      </c>
      <c r="B1549" t="s">
        <v>2502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4170</v>
      </c>
      <c r="B1550" t="s">
        <v>2503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4171</v>
      </c>
      <c r="B1551" t="s">
        <v>2504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4838</v>
      </c>
      <c r="B1552" t="s">
        <v>2505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956</v>
      </c>
      <c r="B1553" t="s">
        <v>2506</v>
      </c>
      <c r="D1553" t="b">
        <f>IFERROR(VLOOKUP(B1553,PatData!$A$2:$A$2000,1,),"")&lt;&gt;""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957</v>
      </c>
      <c r="B1554" t="s">
        <v>2507</v>
      </c>
      <c r="D1554" t="b">
        <f>IFERROR(VLOOKUP(B1554,PatData!$A$2:$A$2000,1,),"")&lt;&gt;""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958</v>
      </c>
      <c r="B1555" t="s">
        <v>2508</v>
      </c>
      <c r="D1555" t="b">
        <f>IFERROR(VLOOKUP(B1555,PatData!$A$2:$A$2000,1,),"")&lt;&gt;""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959</v>
      </c>
      <c r="B1556" t="s">
        <v>2509</v>
      </c>
      <c r="D1556" t="b">
        <f>IFERROR(VLOOKUP(B1556,PatData!$A$2:$A$2000,1,),"")&lt;&gt;""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960</v>
      </c>
      <c r="B1557" t="s">
        <v>2510</v>
      </c>
      <c r="D1557" t="b">
        <f>IFERROR(VLOOKUP(B1557,PatData!$A$2:$A$2000,1,),"")&lt;&gt;""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961</v>
      </c>
      <c r="B1558" t="s">
        <v>2511</v>
      </c>
      <c r="D1558" t="b">
        <f>IFERROR(VLOOKUP(B1558,PatData!$A$2:$A$2000,1,),"")&lt;&gt;""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962</v>
      </c>
      <c r="B1559" t="s">
        <v>2512</v>
      </c>
      <c r="D1559" t="b">
        <f>IFERROR(VLOOKUP(B1559,PatData!$A$2:$A$2000,1,),"")&lt;&gt;""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963</v>
      </c>
      <c r="B1560" t="s">
        <v>2513</v>
      </c>
      <c r="D1560" t="b">
        <f>IFERROR(VLOOKUP(B1560,PatData!$A$2:$A$2000,1,),"")&lt;&gt;""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964</v>
      </c>
      <c r="B1561" t="s">
        <v>2514</v>
      </c>
      <c r="D1561" t="b">
        <f>IFERROR(VLOOKUP(B1561,PatData!$A$2:$A$2000,1,),"")&lt;&gt;""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965</v>
      </c>
      <c r="B1562" t="s">
        <v>2515</v>
      </c>
      <c r="D1562" t="b">
        <f>IFERROR(VLOOKUP(B1562,PatData!$A$2:$A$2000,1,),"")&lt;&gt;""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966</v>
      </c>
      <c r="B1563" t="s">
        <v>2516</v>
      </c>
      <c r="D1563" t="b">
        <f>IFERROR(VLOOKUP(B1563,PatData!$A$2:$A$2000,1,),"")&lt;&gt;""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967</v>
      </c>
      <c r="B1564" t="s">
        <v>2517</v>
      </c>
      <c r="D1564" t="b">
        <f>IFERROR(VLOOKUP(B1564,PatData!$A$2:$A$2000,1,),"")&lt;&gt;""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968</v>
      </c>
      <c r="B1565" t="s">
        <v>2518</v>
      </c>
      <c r="D1565" t="b">
        <f>IFERROR(VLOOKUP(B1565,PatData!$A$2:$A$2000,1,),"")&lt;&gt;""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969</v>
      </c>
      <c r="B1566" t="s">
        <v>2519</v>
      </c>
      <c r="D1566" t="b">
        <f>IFERROR(VLOOKUP(B1566,PatData!$A$2:$A$2000,1,),"")&lt;&gt;""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970</v>
      </c>
      <c r="B1567" t="s">
        <v>2520</v>
      </c>
      <c r="D1567" t="b">
        <f>IFERROR(VLOOKUP(B1567,PatData!$A$2:$A$2000,1,),"")&lt;&gt;""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971</v>
      </c>
      <c r="B1568" t="s">
        <v>2521</v>
      </c>
      <c r="D1568" t="b">
        <f>IFERROR(VLOOKUP(B1568,PatData!$A$2:$A$2000,1,),"")&lt;&gt;""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972</v>
      </c>
      <c r="B1569" t="s">
        <v>2522</v>
      </c>
      <c r="D1569" t="b">
        <f>IFERROR(VLOOKUP(B1569,PatData!$A$2:$A$2000,1,),"")&lt;&gt;""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973</v>
      </c>
      <c r="B1570" t="s">
        <v>2523</v>
      </c>
      <c r="D1570" t="b">
        <f>IFERROR(VLOOKUP(B1570,PatData!$A$2:$A$2000,1,),"")&lt;&gt;""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974</v>
      </c>
      <c r="B1571" t="s">
        <v>2524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975</v>
      </c>
      <c r="B1572" t="s">
        <v>2525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976</v>
      </c>
      <c r="B1573" t="s">
        <v>2526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977</v>
      </c>
      <c r="B1574" t="s">
        <v>2527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978</v>
      </c>
      <c r="B1575" t="s">
        <v>2528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979</v>
      </c>
      <c r="B1576" t="s">
        <v>2529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980</v>
      </c>
      <c r="B1577" t="s">
        <v>2530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981</v>
      </c>
      <c r="B1578" t="s">
        <v>2531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982</v>
      </c>
      <c r="B1579" t="s">
        <v>2532</v>
      </c>
      <c r="D1579" t="b">
        <f>IFERROR(VLOOKUP(B1579,PatData!$A$2:$A$2000,1,),"")&lt;&gt;""</f>
        <v>1</v>
      </c>
      <c r="E1579" t="b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983</v>
      </c>
      <c r="B1580" t="s">
        <v>2533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984</v>
      </c>
      <c r="B1581" t="s">
        <v>2534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985</v>
      </c>
      <c r="B1582" t="s">
        <v>2535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986</v>
      </c>
      <c r="B1583" t="s">
        <v>2536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987</v>
      </c>
      <c r="B1584" t="s">
        <v>2537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988</v>
      </c>
      <c r="B1585" t="s">
        <v>2538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989</v>
      </c>
      <c r="B1586" t="s">
        <v>2539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990</v>
      </c>
      <c r="B1587" t="s">
        <v>2540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991</v>
      </c>
      <c r="B1588" t="s">
        <v>2541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992</v>
      </c>
      <c r="B1589" t="s">
        <v>2542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993</v>
      </c>
      <c r="B1590" t="s">
        <v>2543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994</v>
      </c>
      <c r="B1591" t="s">
        <v>2544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995</v>
      </c>
      <c r="B1592" t="s">
        <v>2545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996</v>
      </c>
      <c r="B1593" t="s">
        <v>2546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997</v>
      </c>
      <c r="B1594" t="s">
        <v>2547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998</v>
      </c>
      <c r="B1595" t="s">
        <v>2548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999</v>
      </c>
      <c r="B1596" t="s">
        <v>2549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1000</v>
      </c>
      <c r="B1597" t="s">
        <v>2550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1001</v>
      </c>
      <c r="B1598" t="s">
        <v>2551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1002</v>
      </c>
      <c r="B1599" t="s">
        <v>2552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1003</v>
      </c>
      <c r="B1600" t="s">
        <v>2553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1004</v>
      </c>
      <c r="B1601" t="s">
        <v>2554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1005</v>
      </c>
      <c r="B1602" t="s">
        <v>2555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1006</v>
      </c>
      <c r="B1603" t="s">
        <v>2556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1007</v>
      </c>
      <c r="B1604" t="s">
        <v>2557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1008</v>
      </c>
      <c r="B1605" t="s">
        <v>2558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1009</v>
      </c>
      <c r="B1606" t="s">
        <v>2559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1010</v>
      </c>
      <c r="B1607" t="s">
        <v>2560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1011</v>
      </c>
      <c r="B1608" t="s">
        <v>2561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1012</v>
      </c>
      <c r="B1609" t="s">
        <v>2562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1013</v>
      </c>
      <c r="B1610" t="s">
        <v>2563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1014</v>
      </c>
      <c r="B1611" t="s">
        <v>2564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1015</v>
      </c>
      <c r="B1612" t="s">
        <v>2565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1016</v>
      </c>
      <c r="B1613" t="s">
        <v>2566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1017</v>
      </c>
      <c r="B1614" t="s">
        <v>2567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1018</v>
      </c>
      <c r="B1615" t="s">
        <v>2568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1019</v>
      </c>
      <c r="B1616" t="s">
        <v>2569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1020</v>
      </c>
      <c r="B1617" t="s">
        <v>2570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1021</v>
      </c>
      <c r="B1618" t="s">
        <v>2571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1022</v>
      </c>
      <c r="B1619" t="s">
        <v>2572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1023</v>
      </c>
      <c r="B1620" t="s">
        <v>2573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1024</v>
      </c>
      <c r="B1621" t="s">
        <v>2574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1025</v>
      </c>
      <c r="B1622" t="s">
        <v>2575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1026</v>
      </c>
      <c r="B1623" t="s">
        <v>2576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1027</v>
      </c>
      <c r="B1624" t="s">
        <v>2577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1028</v>
      </c>
      <c r="B1625" t="s">
        <v>2578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1029</v>
      </c>
      <c r="B1626" t="s">
        <v>2579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1030</v>
      </c>
      <c r="B1627" t="s">
        <v>2580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1031</v>
      </c>
      <c r="B1628" t="s">
        <v>2581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1032</v>
      </c>
      <c r="B1629" t="s">
        <v>2582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1033</v>
      </c>
      <c r="B1630" t="s">
        <v>2583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1034</v>
      </c>
      <c r="B1631" t="s">
        <v>2584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1035</v>
      </c>
      <c r="B1632" t="s">
        <v>2585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1036</v>
      </c>
      <c r="B1633" t="s">
        <v>2586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1037</v>
      </c>
      <c r="B1634" t="s">
        <v>2587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1038</v>
      </c>
      <c r="B1635" t="s">
        <v>2588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1039</v>
      </c>
      <c r="B1636" t="s">
        <v>2589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1040</v>
      </c>
      <c r="B1637" t="s">
        <v>2590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1041</v>
      </c>
      <c r="B1638" t="s">
        <v>2591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1042</v>
      </c>
      <c r="B1639" t="s">
        <v>2592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1043</v>
      </c>
      <c r="B1640" t="s">
        <v>2593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1044</v>
      </c>
      <c r="B1641" t="s">
        <v>2594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1045</v>
      </c>
      <c r="B1642" t="s">
        <v>2595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1046</v>
      </c>
      <c r="B1643" t="s">
        <v>2596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1047</v>
      </c>
      <c r="B1644" t="s">
        <v>2597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1048</v>
      </c>
      <c r="B1645" t="s">
        <v>2598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1049</v>
      </c>
      <c r="B1646" t="s">
        <v>2599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1050</v>
      </c>
      <c r="B1647" t="s">
        <v>2600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1051</v>
      </c>
      <c r="B1648" t="s">
        <v>2601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1052</v>
      </c>
      <c r="B1649" t="s">
        <v>2602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1053</v>
      </c>
      <c r="B1650" t="s">
        <v>2603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1054</v>
      </c>
      <c r="B1651" t="s">
        <v>2604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1055</v>
      </c>
      <c r="B1652" t="s">
        <v>2605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1056</v>
      </c>
      <c r="B1653" t="s">
        <v>2606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1057</v>
      </c>
      <c r="B1654" t="s">
        <v>2607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1058</v>
      </c>
      <c r="B1655" t="s">
        <v>2608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1059</v>
      </c>
      <c r="B1656" t="s">
        <v>2609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1060</v>
      </c>
      <c r="B1657" t="s">
        <v>2610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1061</v>
      </c>
      <c r="B1658" t="s">
        <v>2611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1062</v>
      </c>
      <c r="B1659" t="s">
        <v>2612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1063</v>
      </c>
      <c r="B1660" t="s">
        <v>2613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1064</v>
      </c>
      <c r="B1661" t="s">
        <v>2614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1065</v>
      </c>
      <c r="B1662" t="s">
        <v>2615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1066</v>
      </c>
      <c r="B1663" t="s">
        <v>2616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1067</v>
      </c>
      <c r="B1664" t="s">
        <v>2617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1068</v>
      </c>
      <c r="B1665" t="s">
        <v>2618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1069</v>
      </c>
      <c r="B1666" t="s">
        <v>2619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1070</v>
      </c>
      <c r="B1667" t="s">
        <v>2620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1071</v>
      </c>
      <c r="B1668" t="s">
        <v>2621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1072</v>
      </c>
      <c r="B1669" t="s">
        <v>2622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1073</v>
      </c>
      <c r="B1670" t="s">
        <v>2623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1074</v>
      </c>
      <c r="B1671" t="s">
        <v>2624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1075</v>
      </c>
      <c r="B1672" t="s">
        <v>2625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1076</v>
      </c>
      <c r="B1673" t="s">
        <v>2626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1077</v>
      </c>
      <c r="B1674" t="s">
        <v>2627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1078</v>
      </c>
      <c r="B1675" t="s">
        <v>2628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1079</v>
      </c>
      <c r="B1676" t="s">
        <v>2629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1080</v>
      </c>
      <c r="B1677" t="s">
        <v>2630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4839</v>
      </c>
      <c r="B1678" t="s">
        <v>2631</v>
      </c>
      <c r="D1678" t="b">
        <f>IFERROR(VLOOKUP(B1678,PatData!$A$2:$A$2000,1,),"")&lt;&gt;""</f>
        <v>1</v>
      </c>
      <c r="E1678"/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1081</v>
      </c>
      <c r="B1679" t="s">
        <v>2632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1082</v>
      </c>
      <c r="B1680" t="s">
        <v>2633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1083</v>
      </c>
      <c r="B1681" t="s">
        <v>2634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1084</v>
      </c>
      <c r="B1682" t="s">
        <v>2635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1085</v>
      </c>
      <c r="B1683" t="s">
        <v>2636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1086</v>
      </c>
      <c r="B1684" t="s">
        <v>2637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1087</v>
      </c>
      <c r="B1685" t="s">
        <v>2638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1088</v>
      </c>
      <c r="B1686" t="s">
        <v>2639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1089</v>
      </c>
      <c r="B1687" t="s">
        <v>2640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1090</v>
      </c>
      <c r="B1688" t="s">
        <v>2641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1091</v>
      </c>
      <c r="B1689" t="s">
        <v>2642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1092</v>
      </c>
      <c r="B1690" t="s">
        <v>2643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1093</v>
      </c>
      <c r="B1691" t="s">
        <v>2644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1094</v>
      </c>
      <c r="B1692" t="s">
        <v>2645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1095</v>
      </c>
      <c r="B1693" t="s">
        <v>2646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1096</v>
      </c>
      <c r="B1694" t="s">
        <v>2647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1097</v>
      </c>
      <c r="B1695" t="s">
        <v>2648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1098</v>
      </c>
      <c r="B1696" t="s">
        <v>2649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1099</v>
      </c>
      <c r="B1697" t="s">
        <v>2650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1100</v>
      </c>
      <c r="B1698" t="s">
        <v>2651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1101</v>
      </c>
      <c r="B1699" t="s">
        <v>2652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1102</v>
      </c>
      <c r="B1700" t="s">
        <v>2653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1103</v>
      </c>
      <c r="B1701" t="s">
        <v>2654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1104</v>
      </c>
      <c r="B1702" t="s">
        <v>2655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1105</v>
      </c>
      <c r="B1703" t="s">
        <v>2656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1106</v>
      </c>
      <c r="B1704" t="s">
        <v>2657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1107</v>
      </c>
      <c r="B1705" t="s">
        <v>2658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1108</v>
      </c>
      <c r="B1706" t="s">
        <v>2659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1109</v>
      </c>
      <c r="B1707" t="s">
        <v>2660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1110</v>
      </c>
      <c r="B1708" t="s">
        <v>2661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1111</v>
      </c>
      <c r="B1709" t="s">
        <v>2662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1112</v>
      </c>
      <c r="B1710" t="s">
        <v>2663</v>
      </c>
      <c r="D1710" t="b">
        <f>IFERROR(VLOOKUP(B1710,PatData!$A$2:$A$2000,1,),"")&lt;&gt;""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950</v>
      </c>
      <c r="B1711" t="s">
        <v>4742</v>
      </c>
      <c r="D1711" t="b">
        <f>IFERROR(VLOOKUP(B1711,PatData!$A$2:$A$2000,1,),"")&lt;&gt;""</f>
        <v>1</v>
      </c>
      <c r="E1711">
        <v>1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951</v>
      </c>
      <c r="B1712" t="s">
        <v>4743</v>
      </c>
      <c r="D1712" t="b">
        <f>IFERROR(VLOOKUP(B1712,PatData!$A$2:$A$2000,1,),"")&lt;&gt;""</f>
        <v>1</v>
      </c>
      <c r="E1712">
        <v>1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952</v>
      </c>
      <c r="B1713" t="s">
        <v>4744</v>
      </c>
      <c r="D1713" t="b">
        <f>IFERROR(VLOOKUP(B1713,PatData!$A$2:$A$2000,1,),"")&lt;&gt;""</f>
        <v>1</v>
      </c>
      <c r="E1713">
        <v>1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953</v>
      </c>
      <c r="B1714" t="s">
        <v>4745</v>
      </c>
      <c r="D1714" t="b">
        <f>IFERROR(VLOOKUP(B1714,PatData!$A$2:$A$2000,1,),"")&lt;&gt;""</f>
        <v>1</v>
      </c>
      <c r="E1714">
        <v>1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954</v>
      </c>
      <c r="B1715" t="s">
        <v>4746</v>
      </c>
      <c r="D1715" t="b">
        <f>IFERROR(VLOOKUP(B1715,PatData!$A$2:$A$2000,1,),"")&lt;&gt;""</f>
        <v>1</v>
      </c>
      <c r="E1715">
        <v>1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955</v>
      </c>
      <c r="B1716" t="s">
        <v>4747</v>
      </c>
      <c r="D1716" t="b">
        <f>IFERROR(VLOOKUP(B1716,PatData!$A$2:$A$2000,1,),"")&lt;&gt;""</f>
        <v>1</v>
      </c>
      <c r="E1716">
        <v>1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3538</v>
      </c>
      <c r="B1717" t="s">
        <v>4748</v>
      </c>
      <c r="D1717" t="b">
        <f>IFERROR(VLOOKUP(B1717,PatData!$A$2:$A$2000,1,),"")&lt;&gt;""</f>
        <v>1</v>
      </c>
      <c r="E1717"/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4172</v>
      </c>
      <c r="B1718" t="s">
        <v>2664</v>
      </c>
      <c r="D1718" t="b">
        <f>IFERROR(VLOOKUP(B1718,PatData!$A$2:$A$2000,1,),"")&lt;&gt;""</f>
        <v>1</v>
      </c>
      <c r="E1718">
        <v>1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4173</v>
      </c>
      <c r="B1719" t="s">
        <v>2665</v>
      </c>
      <c r="D1719" t="b">
        <f>IFERROR(VLOOKUP(B1719,PatData!$A$2:$A$2000,1,),"")&lt;&gt;""</f>
        <v>1</v>
      </c>
      <c r="E1719">
        <v>1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4174</v>
      </c>
      <c r="B1720" t="s">
        <v>2666</v>
      </c>
      <c r="D1720" t="b">
        <f>IFERROR(VLOOKUP(B1720,PatData!$A$2:$A$2000,1,),"")&lt;&gt;""</f>
        <v>1</v>
      </c>
      <c r="E1720">
        <v>1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4175</v>
      </c>
      <c r="B1721" t="s">
        <v>2667</v>
      </c>
      <c r="D1721" t="b">
        <f>IFERROR(VLOOKUP(B1721,PatData!$A$2:$A$2000,1,),"")&lt;&gt;""</f>
        <v>1</v>
      </c>
      <c r="E1721">
        <v>1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4176</v>
      </c>
      <c r="B1722" t="s">
        <v>2668</v>
      </c>
      <c r="D1722" t="b">
        <f>IFERROR(VLOOKUP(B1722,PatData!$A$2:$A$2000,1,),"")&lt;&gt;""</f>
        <v>1</v>
      </c>
      <c r="E1722">
        <v>1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4177</v>
      </c>
      <c r="B1723" t="s">
        <v>2669</v>
      </c>
      <c r="D1723" t="b">
        <f>IFERROR(VLOOKUP(B1723,PatData!$A$2:$A$2000,1,),"")&lt;&gt;""</f>
        <v>1</v>
      </c>
      <c r="E1723">
        <v>1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4178</v>
      </c>
      <c r="B1724" t="s">
        <v>2670</v>
      </c>
      <c r="D1724" t="b">
        <f>IFERROR(VLOOKUP(B1724,PatData!$A$2:$A$2000,1,),"")&lt;&gt;""</f>
        <v>1</v>
      </c>
      <c r="E1724">
        <v>1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4179</v>
      </c>
      <c r="B1725" t="s">
        <v>2671</v>
      </c>
      <c r="D1725" t="b">
        <f>IFERROR(VLOOKUP(B1725,PatData!$A$2:$A$2000,1,),"")&lt;&gt;""</f>
        <v>1</v>
      </c>
      <c r="E1725">
        <v>1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4180</v>
      </c>
      <c r="B1726" t="s">
        <v>2672</v>
      </c>
      <c r="D1726" t="b">
        <f>IFERROR(VLOOKUP(B1726,PatData!$A$2:$A$2000,1,),"")&lt;&gt;""</f>
        <v>1</v>
      </c>
      <c r="E1726">
        <v>1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4181</v>
      </c>
      <c r="B1727" t="s">
        <v>2673</v>
      </c>
      <c r="D1727" t="b">
        <f>IFERROR(VLOOKUP(B1727,PatData!$A$2:$A$2000,1,),"")&lt;&gt;""</f>
        <v>1</v>
      </c>
      <c r="E1727">
        <v>1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4182</v>
      </c>
      <c r="B1728" t="s">
        <v>2674</v>
      </c>
      <c r="D1728" t="b">
        <f>IFERROR(VLOOKUP(B1728,PatData!$A$2:$A$2000,1,),"")&lt;&gt;""</f>
        <v>1</v>
      </c>
      <c r="E1728">
        <v>1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4183</v>
      </c>
      <c r="B1729" t="s">
        <v>2675</v>
      </c>
      <c r="D1729" t="b">
        <f>IFERROR(VLOOKUP(B1729,PatData!$A$2:$A$2000,1,),"")&lt;&gt;""</f>
        <v>1</v>
      </c>
      <c r="E1729">
        <v>1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4184</v>
      </c>
      <c r="B1730" t="s">
        <v>2676</v>
      </c>
      <c r="D1730" t="b">
        <f>IFERROR(VLOOKUP(B1730,PatData!$A$2:$A$2000,1,),"")&lt;&gt;""</f>
        <v>1</v>
      </c>
      <c r="E1730">
        <v>1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4185</v>
      </c>
      <c r="B1731" t="s">
        <v>2677</v>
      </c>
      <c r="D1731" t="b">
        <f>IFERROR(VLOOKUP(B1731,PatData!$A$2:$A$2000,1,),"")&lt;&gt;""</f>
        <v>1</v>
      </c>
      <c r="E1731">
        <v>1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4186</v>
      </c>
      <c r="B1732" t="s">
        <v>2678</v>
      </c>
      <c r="D1732" t="b">
        <f>IFERROR(VLOOKUP(B1732,PatData!$A$2:$A$2000,1,),"")&lt;&gt;""</f>
        <v>1</v>
      </c>
      <c r="E1732">
        <v>1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4187</v>
      </c>
      <c r="B1733" t="s">
        <v>3286</v>
      </c>
      <c r="D1733" t="b">
        <f>IFERROR(VLOOKUP(B1733,PatData!$A$2:$A$2000,1,),"")&lt;&gt;""</f>
        <v>1</v>
      </c>
      <c r="E1733"/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4188</v>
      </c>
      <c r="B1734" t="s">
        <v>3287</v>
      </c>
      <c r="D1734" t="b">
        <f>IFERROR(VLOOKUP(B1734,PatData!$A$2:$A$2000,1,),"")&lt;&gt;""</f>
        <v>1</v>
      </c>
      <c r="E1734"/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4189</v>
      </c>
      <c r="B1735" t="s">
        <v>3288</v>
      </c>
      <c r="D1735" t="b">
        <f>IFERROR(VLOOKUP(B1735,PatData!$A$2:$A$2000,1,),"")&lt;&gt;""</f>
        <v>1</v>
      </c>
      <c r="E1735"/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4190</v>
      </c>
      <c r="B1736" t="s">
        <v>3289</v>
      </c>
      <c r="D1736" t="b">
        <f>IFERROR(VLOOKUP(B1736,PatData!$A$2:$A$2000,1,),"")&lt;&gt;""</f>
        <v>1</v>
      </c>
      <c r="E1736"/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4191</v>
      </c>
      <c r="B1737" t="s">
        <v>3290</v>
      </c>
      <c r="D1737" t="b">
        <f>IFERROR(VLOOKUP(B1737,PatData!$A$2:$A$2000,1,),"")&lt;&gt;""</f>
        <v>1</v>
      </c>
      <c r="E1737"/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4192</v>
      </c>
      <c r="B1738" t="s">
        <v>2679</v>
      </c>
      <c r="D1738" t="b">
        <f>IFERROR(VLOOKUP(B1738,PatData!$A$2:$A$2000,1,),"")&lt;&gt;""</f>
        <v>1</v>
      </c>
      <c r="E1738">
        <v>1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4193</v>
      </c>
      <c r="B1739" t="s">
        <v>2680</v>
      </c>
      <c r="D1739" t="b">
        <f>IFERROR(VLOOKUP(B1739,PatData!$A$2:$A$2000,1,),"")&lt;&gt;""</f>
        <v>1</v>
      </c>
      <c r="E1739">
        <v>1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4194</v>
      </c>
      <c r="B1740" t="s">
        <v>2681</v>
      </c>
      <c r="D1740" t="b">
        <f>IFERROR(VLOOKUP(B1740,PatData!$A$2:$A$2000,1,),"")&lt;&gt;""</f>
        <v>1</v>
      </c>
      <c r="E1740">
        <v>1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4195</v>
      </c>
      <c r="B1741" t="s">
        <v>2682</v>
      </c>
      <c r="D1741" t="b">
        <f>IFERROR(VLOOKUP(B1741,PatData!$A$2:$A$2000,1,),"")&lt;&gt;""</f>
        <v>1</v>
      </c>
      <c r="E1741">
        <v>1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4196</v>
      </c>
      <c r="B1742" t="s">
        <v>2683</v>
      </c>
      <c r="D1742" t="b">
        <f>IFERROR(VLOOKUP(B1742,PatData!$A$2:$A$2000,1,),"")&lt;&gt;""</f>
        <v>1</v>
      </c>
      <c r="E1742">
        <v>1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4197</v>
      </c>
      <c r="B1743" t="s">
        <v>2684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4198</v>
      </c>
      <c r="B1744" t="s">
        <v>2685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4199</v>
      </c>
      <c r="B1745" t="s">
        <v>2686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4200</v>
      </c>
      <c r="B1746" t="s">
        <v>2687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4201</v>
      </c>
      <c r="B1747" t="s">
        <v>2688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4202</v>
      </c>
      <c r="B1748" t="s">
        <v>2689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4203</v>
      </c>
      <c r="B1749" t="s">
        <v>2690</v>
      </c>
      <c r="D1749" t="b">
        <f>IFERROR(VLOOKUP(B1749,PatData!$A$2:$A$2000,1,),"")&lt;&gt;""</f>
        <v>1</v>
      </c>
      <c r="E1749">
        <v>1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4204</v>
      </c>
      <c r="B1750" t="s">
        <v>2691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4205</v>
      </c>
      <c r="B1751" t="s">
        <v>2692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4206</v>
      </c>
      <c r="B1752" t="s">
        <v>2693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4207</v>
      </c>
      <c r="B1753" t="s">
        <v>3291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4208</v>
      </c>
      <c r="B1754" t="s">
        <v>3292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4209</v>
      </c>
      <c r="B1755" t="s">
        <v>3293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4210</v>
      </c>
      <c r="B1756" t="s">
        <v>3294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4211</v>
      </c>
      <c r="B1757" t="s">
        <v>3295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1113</v>
      </c>
      <c r="B1758" t="s">
        <v>2694</v>
      </c>
      <c r="D1758" t="b">
        <f>IFERROR(VLOOKUP(B1758,PatData!$A$2:$A$2000,1,),"")&lt;&gt;""</f>
        <v>1</v>
      </c>
      <c r="E1758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1114</v>
      </c>
      <c r="B1759" t="s">
        <v>2695</v>
      </c>
      <c r="D1759" t="b">
        <f>IFERROR(VLOOKUP(B1759,PatData!$A$2:$A$2000,1,),"")&lt;&gt;""</f>
        <v>1</v>
      </c>
      <c r="E1759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1115</v>
      </c>
      <c r="B1760" t="s">
        <v>2696</v>
      </c>
      <c r="D1760" t="b">
        <f>IFERROR(VLOOKUP(B1760,PatData!$A$2:$A$2000,1,),"")&lt;&gt;""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1116</v>
      </c>
      <c r="B1761" t="s">
        <v>2697</v>
      </c>
      <c r="D1761" t="b">
        <f>IFERROR(VLOOKUP(B1761,PatData!$A$2:$A$2000,1,),"")&lt;&gt;""</f>
        <v>1</v>
      </c>
      <c r="E1761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1117</v>
      </c>
      <c r="B1762" t="s">
        <v>2698</v>
      </c>
      <c r="D1762" t="b">
        <f>IFERROR(VLOOKUP(B1762,PatData!$A$2:$A$2000,1,),"")&lt;&gt;""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1118</v>
      </c>
      <c r="B1763" t="s">
        <v>2699</v>
      </c>
      <c r="D1763" t="b">
        <f>IFERROR(VLOOKUP(B1763,PatData!$A$2:$A$2000,1,),"")&lt;&gt;""</f>
        <v>1</v>
      </c>
      <c r="E1763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1119</v>
      </c>
      <c r="B1764" t="s">
        <v>2700</v>
      </c>
      <c r="D1764" t="b">
        <f>IFERROR(VLOOKUP(B1764,PatData!$A$2:$A$2000,1,),"")&lt;&gt;""</f>
        <v>1</v>
      </c>
      <c r="E1764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1120</v>
      </c>
      <c r="B1765" t="s">
        <v>2701</v>
      </c>
      <c r="D1765" t="b">
        <f>IFERROR(VLOOKUP(B1765,PatData!$A$2:$A$2000,1,),"")&lt;&gt;""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1121</v>
      </c>
      <c r="B1766" t="s">
        <v>2702</v>
      </c>
      <c r="D1766" t="b">
        <f>IFERROR(VLOOKUP(B1766,PatData!$A$2:$A$2000,1,),"")&lt;&gt;""</f>
        <v>1</v>
      </c>
      <c r="E1766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1122</v>
      </c>
      <c r="B1767" t="s">
        <v>2703</v>
      </c>
      <c r="D1767" t="b">
        <f>IFERROR(VLOOKUP(B1767,PatData!$A$2:$A$2000,1,),"")&lt;&gt;""</f>
        <v>1</v>
      </c>
      <c r="E1767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1123</v>
      </c>
      <c r="B1768" t="s">
        <v>2704</v>
      </c>
      <c r="D1768" t="b">
        <f>IFERROR(VLOOKUP(B1768,PatData!$A$2:$A$2000,1,),"")&lt;&gt;""</f>
        <v>1</v>
      </c>
      <c r="E1768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1124</v>
      </c>
      <c r="B1769" t="s">
        <v>2705</v>
      </c>
      <c r="D1769" t="b">
        <f>IFERROR(VLOOKUP(B1769,PatData!$A$2:$A$2000,1,),"")&lt;&gt;""</f>
        <v>1</v>
      </c>
      <c r="E1769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1125</v>
      </c>
      <c r="B1770" t="s">
        <v>2706</v>
      </c>
      <c r="D1770" t="b">
        <f>IFERROR(VLOOKUP(B1770,PatData!$A$2:$A$2000,1,),"")&lt;&gt;""</f>
        <v>1</v>
      </c>
      <c r="E1770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3296</v>
      </c>
      <c r="B1771" t="s">
        <v>2707</v>
      </c>
      <c r="D1771" t="b">
        <f>IFERROR(VLOOKUP(B1771,PatData!$A$2:$A$2000,1,),"")&lt;&gt;""</f>
        <v>1</v>
      </c>
      <c r="E1771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3298</v>
      </c>
      <c r="B1772" t="s">
        <v>2708</v>
      </c>
      <c r="D1772" t="b">
        <f>IFERROR(VLOOKUP(B1772,PatData!$A$2:$A$2000,1,),"")&lt;&gt;""</f>
        <v>1</v>
      </c>
      <c r="E1772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3301</v>
      </c>
      <c r="B1773" t="s">
        <v>3297</v>
      </c>
      <c r="D1773" t="b">
        <f>IFERROR(VLOOKUP(B1773,PatData!$A$2:$A$2000,1,),"")&lt;&gt;""</f>
        <v>1</v>
      </c>
      <c r="E1773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3303</v>
      </c>
      <c r="B1774" t="s">
        <v>3299</v>
      </c>
      <c r="D1774" t="b">
        <f>IFERROR(VLOOKUP(B1774,PatData!$A$2:$A$2000,1,),"")&lt;&gt;""</f>
        <v>1</v>
      </c>
      <c r="E1774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4212</v>
      </c>
      <c r="B1775" t="s">
        <v>3300</v>
      </c>
      <c r="D1775" t="b">
        <f>IFERROR(VLOOKUP(B1775,PatData!$A$2:$A$2000,1,),"")&lt;&gt;""</f>
        <v>1</v>
      </c>
      <c r="E1775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4213</v>
      </c>
      <c r="B1776" t="s">
        <v>3302</v>
      </c>
      <c r="D1776" t="b">
        <f>IFERROR(VLOOKUP(B1776,PatData!$A$2:$A$2000,1,),"")&lt;&gt;""</f>
        <v>1</v>
      </c>
      <c r="E1776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4214</v>
      </c>
      <c r="B1777" t="s">
        <v>3304</v>
      </c>
      <c r="D1777" t="b">
        <f>IFERROR(VLOOKUP(B1777,PatData!$A$2:$A$2000,1,),"")&lt;&gt;""</f>
        <v>1</v>
      </c>
      <c r="E1777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4818</v>
      </c>
      <c r="B1778" t="s">
        <v>2709</v>
      </c>
      <c r="D1778" t="b">
        <f>IFERROR(VLOOKUP(B1778,PatData!$A$2:$A$2000,1,),"")&lt;&gt;""</f>
        <v>1</v>
      </c>
      <c r="E1778"/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4215</v>
      </c>
      <c r="B1779" t="s">
        <v>2710</v>
      </c>
      <c r="D1779" t="b">
        <f>IFERROR(VLOOKUP(B1779,PatData!$A$2:$A$2000,1,),"")&lt;&gt;""</f>
        <v>1</v>
      </c>
      <c r="E1779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4216</v>
      </c>
      <c r="B1780" t="s">
        <v>2711</v>
      </c>
      <c r="D1780" t="b">
        <f>IFERROR(VLOOKUP(B1780,PatData!$A$2:$A$2000,1,),"")&lt;&gt;""</f>
        <v>1</v>
      </c>
      <c r="E1780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4217</v>
      </c>
      <c r="B1781" t="s">
        <v>2712</v>
      </c>
      <c r="D1781" t="b">
        <f>IFERROR(VLOOKUP(B1781,PatData!$A$2:$A$2000,1,),"")&lt;&gt;""</f>
        <v>1</v>
      </c>
      <c r="E1781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4218</v>
      </c>
      <c r="B1782" t="s">
        <v>2713</v>
      </c>
      <c r="D1782" t="b">
        <f>IFERROR(VLOOKUP(B1782,PatData!$A$2:$A$2000,1,),"")&lt;&gt;""</f>
        <v>1</v>
      </c>
      <c r="E1782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4219</v>
      </c>
      <c r="B1783" t="s">
        <v>2714</v>
      </c>
      <c r="D1783" t="b">
        <f>IFERROR(VLOOKUP(B1783,PatData!$A$2:$A$2000,1,),"")&lt;&gt;""</f>
        <v>1</v>
      </c>
      <c r="E1783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4220</v>
      </c>
      <c r="B1784" t="s">
        <v>2715</v>
      </c>
      <c r="D1784" t="b">
        <f>IFERROR(VLOOKUP(B1784,PatData!$A$2:$A$2000,1,),"")&lt;&gt;""</f>
        <v>1</v>
      </c>
      <c r="E1784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4221</v>
      </c>
      <c r="B1785" t="s">
        <v>2716</v>
      </c>
      <c r="D1785" t="b">
        <f>IFERROR(VLOOKUP(B1785,PatData!$A$2:$A$2000,1,),"")&lt;&gt;""</f>
        <v>1</v>
      </c>
      <c r="E1785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4222</v>
      </c>
      <c r="B1786" t="s">
        <v>2717</v>
      </c>
      <c r="D1786" t="b">
        <f>IFERROR(VLOOKUP(B1786,PatData!$A$2:$A$2000,1,),"")&lt;&gt;""</f>
        <v>1</v>
      </c>
      <c r="E1786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4223</v>
      </c>
      <c r="B1787" t="s">
        <v>2718</v>
      </c>
      <c r="D1787" t="b">
        <f>IFERROR(VLOOKUP(B1787,PatData!$A$2:$A$2000,1,),"")&lt;&gt;""</f>
        <v>1</v>
      </c>
      <c r="E1787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4224</v>
      </c>
      <c r="B1788" t="s">
        <v>2719</v>
      </c>
      <c r="D1788" t="b">
        <f>IFERROR(VLOOKUP(B1788,PatData!$A$2:$A$2000,1,),"")&lt;&gt;""</f>
        <v>1</v>
      </c>
      <c r="E1788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4225</v>
      </c>
      <c r="B1789" t="s">
        <v>2720</v>
      </c>
      <c r="D1789" t="b">
        <f>IFERROR(VLOOKUP(B1789,PatData!$A$2:$A$2000,1,),"")&lt;&gt;""</f>
        <v>1</v>
      </c>
      <c r="E1789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4226</v>
      </c>
      <c r="B1790" t="s">
        <v>2721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4227</v>
      </c>
      <c r="B1791" t="s">
        <v>2722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4228</v>
      </c>
      <c r="B1792" t="s">
        <v>2723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4229</v>
      </c>
      <c r="B1793" t="s">
        <v>2724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4230</v>
      </c>
      <c r="B1794" t="s">
        <v>3305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4231</v>
      </c>
      <c r="B1795" t="s">
        <v>3306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4232</v>
      </c>
      <c r="B1796" t="s">
        <v>3307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4233</v>
      </c>
      <c r="B1797" t="s">
        <v>3308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4234</v>
      </c>
      <c r="B1798" t="s">
        <v>3309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1126</v>
      </c>
      <c r="B1799" t="s">
        <v>2725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1127</v>
      </c>
      <c r="B1800" t="s">
        <v>2726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1128</v>
      </c>
      <c r="B1801" t="s">
        <v>2727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1129</v>
      </c>
      <c r="B1802" t="s">
        <v>2728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1130</v>
      </c>
      <c r="B1803" t="s">
        <v>2729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1131</v>
      </c>
      <c r="B1804" t="s">
        <v>2730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1132</v>
      </c>
      <c r="B1805" t="s">
        <v>2731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1133</v>
      </c>
      <c r="B1806" t="s">
        <v>2732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1134</v>
      </c>
      <c r="B1807" t="s">
        <v>2733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1135</v>
      </c>
      <c r="B1808" t="s">
        <v>2734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1136</v>
      </c>
      <c r="B1809" t="s">
        <v>2735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1137</v>
      </c>
      <c r="B1810" t="s">
        <v>2736</v>
      </c>
      <c r="D1810" t="b">
        <f>IFERROR(VLOOKUP(B1810,PatData!$A$2:$A$2000,1,),"")&lt;&gt;""</f>
        <v>1</v>
      </c>
      <c r="E1810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1138</v>
      </c>
      <c r="B1811" t="s">
        <v>2737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3310</v>
      </c>
      <c r="B1812" t="s">
        <v>2738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3312</v>
      </c>
      <c r="B1813" t="s">
        <v>2739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3315</v>
      </c>
      <c r="B1814" t="s">
        <v>3311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3317</v>
      </c>
      <c r="B1815" t="s">
        <v>3313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4235</v>
      </c>
      <c r="B1816" t="s">
        <v>3314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4236</v>
      </c>
      <c r="B1817" t="s">
        <v>3316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4237</v>
      </c>
      <c r="B1818" t="s">
        <v>3318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5001</v>
      </c>
      <c r="B1819" t="s">
        <v>2740</v>
      </c>
      <c r="D1819" t="b">
        <f>IFERROR(VLOOKUP(B1819,PatData!$A$2:$A$2000,1,),"")&lt;&gt;""</f>
        <v>1</v>
      </c>
      <c r="E1819">
        <v>1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5002</v>
      </c>
      <c r="B1820" t="s">
        <v>2741</v>
      </c>
      <c r="D1820" t="b">
        <f>IFERROR(VLOOKUP(B1820,PatData!$A$2:$A$2000,1,),"")&lt;&gt;""</f>
        <v>1</v>
      </c>
      <c r="E1820">
        <v>1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5003</v>
      </c>
      <c r="B1821" t="s">
        <v>2742</v>
      </c>
      <c r="D1821" t="b">
        <f>IFERROR(VLOOKUP(B1821,PatData!$A$2:$A$2000,1,),"")&lt;&gt;""</f>
        <v>1</v>
      </c>
      <c r="E1821">
        <v>2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5004</v>
      </c>
      <c r="B1822" t="s">
        <v>2743</v>
      </c>
      <c r="D1822" t="b">
        <f>IFERROR(VLOOKUP(B1822,PatData!$A$2:$A$2000,1,),"")&lt;&gt;""</f>
        <v>1</v>
      </c>
      <c r="E1822">
        <v>20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5005</v>
      </c>
      <c r="B1823" t="s">
        <v>2744</v>
      </c>
      <c r="D1823" t="b">
        <f>IFERROR(VLOOKUP(B1823,PatData!$A$2:$A$2000,1,),"")&lt;&gt;""</f>
        <v>1</v>
      </c>
      <c r="E1823">
        <v>30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5006</v>
      </c>
      <c r="B1824" t="s">
        <v>2745</v>
      </c>
      <c r="D1824" t="b">
        <f>IFERROR(VLOOKUP(B1824,PatData!$A$2:$A$2000,1,),"")&lt;&gt;""</f>
        <v>1</v>
      </c>
      <c r="E1824">
        <v>1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5007</v>
      </c>
      <c r="B1825" t="s">
        <v>2746</v>
      </c>
      <c r="D1825" t="b">
        <f>IFERROR(VLOOKUP(B1825,PatData!$A$2:$A$2000,1,),"")&lt;&gt;""</f>
        <v>1</v>
      </c>
      <c r="E1825">
        <v>1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5008</v>
      </c>
      <c r="B1826" t="s">
        <v>2747</v>
      </c>
      <c r="D1826" t="b">
        <f>IFERROR(VLOOKUP(B1826,PatData!$A$2:$A$2000,1,),"")&lt;&gt;""</f>
        <v>1</v>
      </c>
      <c r="E1826">
        <v>10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4797</v>
      </c>
      <c r="B1827" t="s">
        <v>2748</v>
      </c>
      <c r="D1827" t="b">
        <f>IFERROR(VLOOKUP(B1827,PatData!$A$2:$A$2000,1,),"")&lt;&gt;""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4798</v>
      </c>
      <c r="B1828" t="s">
        <v>2749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1553</v>
      </c>
      <c r="B1829" t="s">
        <v>4790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4791</v>
      </c>
      <c r="B1830" t="s">
        <v>2750</v>
      </c>
      <c r="D1830" t="b">
        <f>IFERROR(VLOOKUP(B1830,PatData!$A$2:$A$2000,1,),"")&lt;&gt;""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4792</v>
      </c>
      <c r="B1831" t="s">
        <v>2751</v>
      </c>
      <c r="D1831" t="b">
        <f>IFERROR(VLOOKUP(B1831,PatData!$A$2:$A$2000,1,),"")&lt;&gt;""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1537</v>
      </c>
      <c r="B1832" t="s">
        <v>2752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4793</v>
      </c>
      <c r="B1833" t="s">
        <v>2753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4794</v>
      </c>
      <c r="B1834" t="s">
        <v>2754</v>
      </c>
      <c r="D1834" t="b">
        <f>IFERROR(VLOOKUP(B1834,PatData!$A$2:$A$2000,1,),"")&lt;&gt;""</f>
        <v>1</v>
      </c>
      <c r="E1834">
        <v>1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5009</v>
      </c>
      <c r="B1835" t="s">
        <v>2755</v>
      </c>
      <c r="D1835" t="b">
        <f>IFERROR(VLOOKUP(B1835,PatData!$A$2:$A$2000,1,),"")&lt;&gt;""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5010</v>
      </c>
      <c r="B1836" t="s">
        <v>2756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1549</v>
      </c>
      <c r="B1837" t="s">
        <v>2757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4795</v>
      </c>
      <c r="B1838" t="s">
        <v>2758</v>
      </c>
      <c r="D1838" t="b">
        <f>IFERROR(VLOOKUP(B1838,PatData!$A$2:$A$2000,1,),"")&lt;&gt;""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4796</v>
      </c>
      <c r="B1839" t="s">
        <v>2759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4799</v>
      </c>
      <c r="B1840" t="s">
        <v>2760</v>
      </c>
      <c r="D1840" t="b">
        <f>IFERROR(VLOOKUP(B1840,PatData!$A$2:$A$2000,1,),"")&lt;&gt;""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4800</v>
      </c>
      <c r="B1841" t="s">
        <v>2761</v>
      </c>
      <c r="D1841" t="b">
        <f>IFERROR(VLOOKUP(B1841,PatData!$A$2:$A$2000,1,),"")&lt;&gt;""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1255</v>
      </c>
      <c r="B1842" t="s">
        <v>2762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4801</v>
      </c>
      <c r="B1843" t="s">
        <v>2763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4840</v>
      </c>
      <c r="B1844" t="s">
        <v>2764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4802</v>
      </c>
      <c r="B1845" t="s">
        <v>2765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5011</v>
      </c>
      <c r="B1846" t="s">
        <v>2766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5012</v>
      </c>
      <c r="B1847" t="s">
        <v>2767</v>
      </c>
      <c r="D1847" t="b">
        <f>IFERROR(VLOOKUP(B1847,PatData!$A$2:$A$2000,1,),"")&lt;&gt;""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5013</v>
      </c>
      <c r="B1848" t="s">
        <v>2768</v>
      </c>
      <c r="D1848" t="b">
        <f>IFERROR(VLOOKUP(B1848,PatData!$A$2:$A$2000,1,),"")&lt;&gt;""</f>
        <v>1</v>
      </c>
      <c r="E1848">
        <v>1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4804</v>
      </c>
      <c r="B1849" t="s">
        <v>2769</v>
      </c>
      <c r="D1849" t="b">
        <f>IFERROR(VLOOKUP(B1849,PatData!$A$2:$A$2000,1,),"")&lt;&gt;""</f>
        <v>1</v>
      </c>
      <c r="E1849">
        <v>1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4805</v>
      </c>
      <c r="B1850" t="s">
        <v>2770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4806</v>
      </c>
      <c r="B1851" t="s">
        <v>2771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1538</v>
      </c>
      <c r="B1852" t="s">
        <v>2772</v>
      </c>
      <c r="D1852" t="b">
        <f>IFERROR(VLOOKUP(B1852,PatData!$A$2:$A$2000,1,),"")&lt;&gt;""</f>
        <v>1</v>
      </c>
      <c r="E1852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4803</v>
      </c>
      <c r="B1853" t="s">
        <v>2773</v>
      </c>
      <c r="D1853" t="b">
        <f>IFERROR(VLOOKUP(B1853,PatData!$A$2:$A$2000,1,),"")&lt;&gt;""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5014</v>
      </c>
      <c r="B1854" t="s">
        <v>2774</v>
      </c>
      <c r="D1854" t="b">
        <f>IFERROR(VLOOKUP(B1854,PatData!$A$2:$A$2000,1,),"")&lt;&gt;""</f>
        <v>1</v>
      </c>
      <c r="E1854">
        <v>1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4807</v>
      </c>
      <c r="B1855" t="s">
        <v>2775</v>
      </c>
      <c r="D1855" t="b">
        <f>IFERROR(VLOOKUP(B1855,PatData!$A$2:$A$2000,1,),"")&lt;&gt;""</f>
        <v>1</v>
      </c>
      <c r="E1855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e">
        <v>#NAME?</v>
      </c>
      <c r="B1856" t="s">
        <v>5015</v>
      </c>
      <c r="D1856" t="b">
        <f>IFERROR(VLOOKUP(B1856,PatData!$A$2:$A$2000,1,),"")&lt;&gt;""</f>
        <v>0</v>
      </c>
      <c r="E1856">
        <v>0</v>
      </c>
      <c r="F1856" t="b">
        <v>0</v>
      </c>
      <c r="G1856" t="b">
        <v>1</v>
      </c>
      <c r="H1856" t="b">
        <v>0</v>
      </c>
      <c r="I1856" t="b">
        <v>0</v>
      </c>
    </row>
    <row r="1857" spans="1:9" hidden="1" x14ac:dyDescent="0.2">
      <c r="A1857" t="e">
        <v>#NAME?</v>
      </c>
      <c r="B1857" t="s">
        <v>913</v>
      </c>
      <c r="D1857" t="b">
        <f>IFERROR(VLOOKUP(B1857,PatData!$A$2:$A$2000,1,),"")&lt;&gt;""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hidden="1" x14ac:dyDescent="0.2">
      <c r="A1858" t="s">
        <v>1539</v>
      </c>
      <c r="B1858" t="s">
        <v>914</v>
      </c>
      <c r="D1858" t="b">
        <f>IFERROR(VLOOKUP(B1858,PatData!$A$2:$A$2000,1,),"")&lt;&gt;""</f>
        <v>0</v>
      </c>
      <c r="E1858" t="s">
        <v>3272</v>
      </c>
      <c r="F1858" t="b">
        <v>0</v>
      </c>
      <c r="G1858" t="b">
        <v>0</v>
      </c>
      <c r="H1858" t="b">
        <v>0</v>
      </c>
      <c r="I1858" t="b">
        <v>0</v>
      </c>
    </row>
    <row r="1859" spans="1:9" hidden="1" x14ac:dyDescent="0.2">
      <c r="A1859" t="s">
        <v>5016</v>
      </c>
      <c r="B1859" t="s">
        <v>915</v>
      </c>
      <c r="D1859" t="b">
        <f>IFERROR(VLOOKUP(B1859,PatData!$A$2:$A$2000,1,),"")&lt;&gt;""</f>
        <v>0</v>
      </c>
      <c r="E1859"/>
      <c r="F1859" t="b">
        <v>0</v>
      </c>
      <c r="G1859" t="b">
        <v>0</v>
      </c>
      <c r="H1859" t="b">
        <v>0</v>
      </c>
      <c r="I1859" t="b">
        <v>0</v>
      </c>
    </row>
    <row r="1860" spans="1:9" hidden="1" x14ac:dyDescent="0.2">
      <c r="A1860" t="s">
        <v>5290</v>
      </c>
      <c r="B1860" t="s">
        <v>916</v>
      </c>
      <c r="D1860" t="b">
        <f>IFERROR(VLOOKUP(B1860,PatData!$A$2:$A$2000,1,),"")&lt;&gt;""</f>
        <v>0</v>
      </c>
      <c r="E1860" t="s">
        <v>5182</v>
      </c>
      <c r="F1860" t="b">
        <v>0</v>
      </c>
      <c r="G1860" t="b">
        <v>0</v>
      </c>
      <c r="H1860" t="b">
        <v>0</v>
      </c>
      <c r="I1860" t="b">
        <v>0</v>
      </c>
    </row>
    <row r="1861" spans="1:9" hidden="1" x14ac:dyDescent="0.2">
      <c r="A1861" t="s">
        <v>5017</v>
      </c>
      <c r="B1861" t="s">
        <v>917</v>
      </c>
      <c r="D1861" t="b">
        <f>IFERROR(VLOOKUP(B1861,PatData!$A$2:$A$2000,1,),"")&lt;&gt;""</f>
        <v>0</v>
      </c>
      <c r="E1861"/>
      <c r="F1861" t="b">
        <v>0</v>
      </c>
      <c r="G1861" t="b">
        <v>0</v>
      </c>
      <c r="H1861" t="b">
        <v>0</v>
      </c>
      <c r="I1861" t="b">
        <v>0</v>
      </c>
    </row>
    <row r="1862" spans="1:9" hidden="1" x14ac:dyDescent="0.2">
      <c r="A1862" t="s">
        <v>1540</v>
      </c>
      <c r="B1862" t="s">
        <v>918</v>
      </c>
      <c r="D1862" t="b">
        <f>IFERROR(VLOOKUP(B1862,PatData!$A$2:$A$2000,1,),"")&lt;&gt;""</f>
        <v>0</v>
      </c>
      <c r="E1862" t="s">
        <v>3272</v>
      </c>
      <c r="F1862" t="b">
        <v>0</v>
      </c>
      <c r="G1862" t="b">
        <v>0</v>
      </c>
      <c r="H1862" t="b">
        <v>0</v>
      </c>
      <c r="I1862" t="b">
        <v>0</v>
      </c>
    </row>
    <row r="1863" spans="1:9" hidden="1" x14ac:dyDescent="0.2">
      <c r="A1863" t="s">
        <v>5018</v>
      </c>
      <c r="B1863" t="s">
        <v>919</v>
      </c>
      <c r="D1863" t="b">
        <f>IFERROR(VLOOKUP(B1863,PatData!$A$2:$A$2000,1,),"")&lt;&gt;""</f>
        <v>0</v>
      </c>
      <c r="E1863"/>
      <c r="F1863" t="b">
        <v>0</v>
      </c>
      <c r="G1863" t="b">
        <v>0</v>
      </c>
      <c r="H1863" t="b">
        <v>0</v>
      </c>
      <c r="I1863" t="b">
        <v>0</v>
      </c>
    </row>
    <row r="1864" spans="1:9" hidden="1" x14ac:dyDescent="0.2">
      <c r="A1864" t="s">
        <v>5019</v>
      </c>
      <c r="B1864" t="s">
        <v>920</v>
      </c>
      <c r="D1864" t="b">
        <f>IFERROR(VLOOKUP(B1864,PatData!$A$2:$A$2000,1,),"")&lt;&gt;""</f>
        <v>0</v>
      </c>
      <c r="E1864"/>
      <c r="F1864" t="b">
        <v>0</v>
      </c>
      <c r="G1864" t="b">
        <v>0</v>
      </c>
      <c r="H1864" t="b">
        <v>0</v>
      </c>
      <c r="I1864" t="b">
        <v>0</v>
      </c>
    </row>
    <row r="1865" spans="1:9" hidden="1" x14ac:dyDescent="0.2">
      <c r="A1865" t="s">
        <v>5020</v>
      </c>
      <c r="B1865" t="s">
        <v>921</v>
      </c>
      <c r="D1865" t="b">
        <f>IFERROR(VLOOKUP(B1865,PatData!$A$2:$A$2000,1,),"")&lt;&gt;""</f>
        <v>0</v>
      </c>
      <c r="E1865" t="s">
        <v>191</v>
      </c>
      <c r="F1865" t="b">
        <v>0</v>
      </c>
      <c r="G1865" t="b">
        <v>0</v>
      </c>
      <c r="H1865" t="b">
        <v>0</v>
      </c>
      <c r="I1865" t="b">
        <v>0</v>
      </c>
    </row>
    <row r="1866" spans="1:9" hidden="1" x14ac:dyDescent="0.2">
      <c r="A1866" t="s">
        <v>5021</v>
      </c>
      <c r="B1866" t="s">
        <v>922</v>
      </c>
      <c r="D1866" t="b">
        <f>IFERROR(VLOOKUP(B1866,PatData!$A$2:$A$2000,1,),"")&lt;&gt;""</f>
        <v>0</v>
      </c>
      <c r="E1866" t="s">
        <v>191</v>
      </c>
      <c r="F1866" t="b">
        <v>0</v>
      </c>
      <c r="G1866" t="b">
        <v>0</v>
      </c>
      <c r="H1866" t="b">
        <v>0</v>
      </c>
      <c r="I1866" t="b">
        <v>0</v>
      </c>
    </row>
    <row r="1867" spans="1:9" hidden="1" x14ac:dyDescent="0.2">
      <c r="A1867" t="s">
        <v>5022</v>
      </c>
      <c r="B1867" t="s">
        <v>923</v>
      </c>
      <c r="D1867" t="b">
        <f>IFERROR(VLOOKUP(B1867,PatData!$A$2:$A$2000,1,),"")&lt;&gt;""</f>
        <v>0</v>
      </c>
      <c r="E1867" t="s">
        <v>191</v>
      </c>
      <c r="F1867" t="b">
        <v>0</v>
      </c>
      <c r="G1867" t="b">
        <v>0</v>
      </c>
      <c r="H1867" t="b">
        <v>0</v>
      </c>
      <c r="I1867" t="b">
        <v>0</v>
      </c>
    </row>
    <row r="1868" spans="1:9" hidden="1" x14ac:dyDescent="0.2">
      <c r="A1868" t="s">
        <v>5023</v>
      </c>
      <c r="B1868" t="s">
        <v>924</v>
      </c>
      <c r="D1868" t="b">
        <f>IFERROR(VLOOKUP(B1868,PatData!$A$2:$A$2000,1,),"")&lt;&gt;""</f>
        <v>0</v>
      </c>
      <c r="E1868" t="s">
        <v>191</v>
      </c>
      <c r="F1868" t="b">
        <v>0</v>
      </c>
      <c r="G1868" t="b">
        <v>0</v>
      </c>
      <c r="H1868" t="b">
        <v>0</v>
      </c>
      <c r="I1868" t="b">
        <v>0</v>
      </c>
    </row>
    <row r="1869" spans="1:9" hidden="1" x14ac:dyDescent="0.2">
      <c r="A1869" t="s">
        <v>5024</v>
      </c>
      <c r="B1869" t="s">
        <v>925</v>
      </c>
      <c r="D1869" t="b">
        <f>IFERROR(VLOOKUP(B1869,PatData!$A$2:$A$2000,1,),"")&lt;&gt;""</f>
        <v>0</v>
      </c>
      <c r="E1869" t="s">
        <v>191</v>
      </c>
      <c r="F1869" t="b">
        <v>0</v>
      </c>
      <c r="G1869" t="b">
        <v>0</v>
      </c>
      <c r="H1869" t="b">
        <v>0</v>
      </c>
      <c r="I1869" t="b">
        <v>0</v>
      </c>
    </row>
    <row r="1870" spans="1:9" hidden="1" x14ac:dyDescent="0.2">
      <c r="A1870" t="s">
        <v>1541</v>
      </c>
      <c r="B1870" t="s">
        <v>926</v>
      </c>
      <c r="D1870" t="b">
        <f>IFERROR(VLOOKUP(B1870,PatData!$A$2:$A$2000,1,),"")&lt;&gt;""</f>
        <v>0</v>
      </c>
      <c r="E1870" t="s">
        <v>4977</v>
      </c>
      <c r="F1870" t="b">
        <v>0</v>
      </c>
      <c r="G1870" t="b">
        <v>0</v>
      </c>
      <c r="H1870" t="b">
        <v>0</v>
      </c>
      <c r="I1870" t="b">
        <v>0</v>
      </c>
    </row>
    <row r="1871" spans="1:9" hidden="1" x14ac:dyDescent="0.2">
      <c r="A1871" t="s">
        <v>5025</v>
      </c>
      <c r="B1871" t="s">
        <v>5026</v>
      </c>
      <c r="D1871" t="b">
        <f>IFERROR(VLOOKUP(B1871,PatData!$A$2:$A$2000,1,),"")&lt;&gt;""</f>
        <v>0</v>
      </c>
      <c r="E1871" t="s">
        <v>4978</v>
      </c>
      <c r="F1871" t="b">
        <v>0</v>
      </c>
      <c r="G1871" t="b">
        <v>0</v>
      </c>
      <c r="H1871" t="b">
        <v>0</v>
      </c>
      <c r="I1871" t="b">
        <v>0</v>
      </c>
    </row>
    <row r="1872" spans="1:9" hidden="1" x14ac:dyDescent="0.2">
      <c r="A1872" t="s">
        <v>1542</v>
      </c>
      <c r="B1872" t="s">
        <v>927</v>
      </c>
      <c r="D1872" t="b">
        <f>IFERROR(VLOOKUP(B1872,PatData!$A$2:$A$2000,1,),"")&lt;&gt;""</f>
        <v>0</v>
      </c>
      <c r="E1872" t="s">
        <v>3530</v>
      </c>
      <c r="F1872" t="b">
        <v>0</v>
      </c>
      <c r="G1872" t="b">
        <v>0</v>
      </c>
      <c r="H1872" t="b">
        <v>0</v>
      </c>
      <c r="I1872" t="b">
        <v>0</v>
      </c>
    </row>
    <row r="1873" spans="1:9" hidden="1" x14ac:dyDescent="0.2">
      <c r="A1873" t="s">
        <v>1543</v>
      </c>
      <c r="B1873" t="s">
        <v>928</v>
      </c>
      <c r="D1873" t="b">
        <f>IFERROR(VLOOKUP(B1873,PatData!$A$2:$A$2000,1,),"")&lt;&gt;""</f>
        <v>0</v>
      </c>
      <c r="E1873" t="b">
        <v>1</v>
      </c>
      <c r="F1873" t="b">
        <v>0</v>
      </c>
      <c r="G1873" t="b">
        <v>0</v>
      </c>
      <c r="H1873" t="b">
        <v>0</v>
      </c>
      <c r="I1873" t="b">
        <v>0</v>
      </c>
    </row>
    <row r="1874" spans="1:9" hidden="1" x14ac:dyDescent="0.2">
      <c r="A1874" t="s">
        <v>1544</v>
      </c>
      <c r="B1874" t="s">
        <v>929</v>
      </c>
      <c r="D1874" t="b">
        <f>IFERROR(VLOOKUP(B1874,PatData!$A$2:$A$2000,1,),"")&lt;&gt;""</f>
        <v>0</v>
      </c>
      <c r="E1874" t="s">
        <v>898</v>
      </c>
      <c r="F1874" t="b">
        <v>0</v>
      </c>
      <c r="G1874" t="b">
        <v>0</v>
      </c>
      <c r="H1874" t="b">
        <v>0</v>
      </c>
      <c r="I1874" t="b">
        <v>0</v>
      </c>
    </row>
    <row r="1875" spans="1:9" hidden="1" x14ac:dyDescent="0.2">
      <c r="A1875" t="s">
        <v>1545</v>
      </c>
      <c r="B1875" t="s">
        <v>930</v>
      </c>
      <c r="D1875" t="b">
        <f>IFERROR(VLOOKUP(B1875,PatData!$A$2:$A$2000,1,),"")&lt;&gt;""</f>
        <v>0</v>
      </c>
      <c r="E1875" t="b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hidden="1" x14ac:dyDescent="0.2">
      <c r="A1876" t="s">
        <v>1546</v>
      </c>
      <c r="B1876" t="s">
        <v>931</v>
      </c>
      <c r="D1876" t="b">
        <f>IFERROR(VLOOKUP(B1876,PatData!$A$2:$A$2000,1,),"")&lt;&gt;""</f>
        <v>0</v>
      </c>
      <c r="E1876" t="s">
        <v>892</v>
      </c>
      <c r="F1876" t="b">
        <v>0</v>
      </c>
      <c r="G1876" t="b">
        <v>0</v>
      </c>
      <c r="H1876" t="b">
        <v>0</v>
      </c>
      <c r="I1876" t="b">
        <v>0</v>
      </c>
    </row>
    <row r="1877" spans="1:9" hidden="1" x14ac:dyDescent="0.2">
      <c r="A1877" t="s">
        <v>1547</v>
      </c>
      <c r="B1877" t="s">
        <v>932</v>
      </c>
      <c r="D1877" t="b">
        <f>IFERROR(VLOOKUP(B1877,PatData!$A$2:$A$2000,1,),"")&lt;&gt;""</f>
        <v>0</v>
      </c>
      <c r="E1877" t="s">
        <v>893</v>
      </c>
      <c r="F1877" t="b">
        <v>0</v>
      </c>
      <c r="G1877" t="b">
        <v>0</v>
      </c>
      <c r="H1877" t="b">
        <v>0</v>
      </c>
      <c r="I1877" t="b">
        <v>0</v>
      </c>
    </row>
    <row r="1878" spans="1:9" hidden="1" x14ac:dyDescent="0.2">
      <c r="A1878" t="s">
        <v>1548</v>
      </c>
      <c r="B1878" t="s">
        <v>933</v>
      </c>
      <c r="D1878" t="b">
        <f>IFERROR(VLOOKUP(B1878,PatData!$A$2:$A$2000,1,),"")&lt;&gt;""</f>
        <v>0</v>
      </c>
      <c r="E1878" t="s">
        <v>896</v>
      </c>
      <c r="F1878" t="b">
        <v>0</v>
      </c>
      <c r="G1878" t="b">
        <v>0</v>
      </c>
      <c r="H1878" t="b">
        <v>0</v>
      </c>
      <c r="I1878" t="b">
        <v>0</v>
      </c>
    </row>
    <row r="1879" spans="1:9" hidden="1" x14ac:dyDescent="0.2">
      <c r="A1879" t="s">
        <v>4238</v>
      </c>
      <c r="B1879" t="s">
        <v>4087</v>
      </c>
      <c r="D1879" t="b">
        <f>IFERROR(VLOOKUP(B1879,PatData!$A$2:$A$2000,1,),"")&lt;&gt;""</f>
        <v>0</v>
      </c>
      <c r="E1879"/>
      <c r="F1879" t="b">
        <v>0</v>
      </c>
      <c r="G1879" t="b">
        <v>0</v>
      </c>
      <c r="H1879" t="b">
        <v>0</v>
      </c>
      <c r="I1879" t="b">
        <v>0</v>
      </c>
    </row>
    <row r="1880" spans="1:9" hidden="1" x14ac:dyDescent="0.2">
      <c r="A1880" t="s">
        <v>4239</v>
      </c>
      <c r="B1880" t="s">
        <v>4086</v>
      </c>
      <c r="D1880" t="b">
        <f>IFERROR(VLOOKUP(B1880,PatData!$A$2:$A$2000,1,),"")&lt;&gt;""</f>
        <v>0</v>
      </c>
      <c r="E1880"/>
      <c r="F1880" t="b">
        <v>0</v>
      </c>
      <c r="G1880" t="b">
        <v>0</v>
      </c>
      <c r="H1880" t="b">
        <v>0</v>
      </c>
      <c r="I1880" t="b">
        <v>0</v>
      </c>
    </row>
    <row r="1881" spans="1:9" hidden="1" x14ac:dyDescent="0.2">
      <c r="A1881" t="s">
        <v>4240</v>
      </c>
      <c r="B1881" t="s">
        <v>4111</v>
      </c>
      <c r="D1881" t="b">
        <f>IFERROR(VLOOKUP(B1881,PatData!$A$2:$A$2000,1,),"")&lt;&gt;""</f>
        <v>0</v>
      </c>
      <c r="E1881"/>
      <c r="F1881" t="b">
        <v>0</v>
      </c>
      <c r="G1881" t="b">
        <v>0</v>
      </c>
      <c r="H1881" t="b">
        <v>0</v>
      </c>
      <c r="I1881" t="b">
        <v>0</v>
      </c>
    </row>
    <row r="1882" spans="1:9" hidden="1" x14ac:dyDescent="0.2">
      <c r="A1882" t="s">
        <v>4241</v>
      </c>
      <c r="B1882" t="s">
        <v>4096</v>
      </c>
      <c r="D1882" t="b">
        <f>IFERROR(VLOOKUP(B1882,PatData!$A$2:$A$2000,1,),"")&lt;&gt;""</f>
        <v>0</v>
      </c>
      <c r="E1882" t="s">
        <v>178</v>
      </c>
      <c r="F1882" t="b">
        <v>0</v>
      </c>
      <c r="G1882" t="b">
        <v>0</v>
      </c>
      <c r="H1882" t="b">
        <v>0</v>
      </c>
      <c r="I1882" t="b">
        <v>0</v>
      </c>
    </row>
    <row r="1883" spans="1:9" hidden="1" x14ac:dyDescent="0.2">
      <c r="A1883" t="s">
        <v>5027</v>
      </c>
      <c r="B1883" t="s">
        <v>5028</v>
      </c>
      <c r="D1883" t="b">
        <f>IFERROR(VLOOKUP(B1883,PatData!$A$2:$A$2000,1,),"")&lt;&gt;""</f>
        <v>0</v>
      </c>
      <c r="E1883" t="s">
        <v>4979</v>
      </c>
      <c r="F1883" t="b">
        <v>0</v>
      </c>
      <c r="G1883" t="b">
        <v>0</v>
      </c>
      <c r="H1883" t="b">
        <v>0</v>
      </c>
      <c r="I1883" t="b">
        <v>0</v>
      </c>
    </row>
    <row r="1884" spans="1:9" hidden="1" x14ac:dyDescent="0.2">
      <c r="A1884" t="s">
        <v>5809</v>
      </c>
      <c r="B1884" t="s">
        <v>4752</v>
      </c>
      <c r="D1884" t="b">
        <f>IFERROR(VLOOKUP(B1884,PatData!$A$2:$A$2000,1,),"")&lt;&gt;""</f>
        <v>0</v>
      </c>
      <c r="E1884"/>
      <c r="F1884" t="b">
        <v>0</v>
      </c>
      <c r="G1884" t="b">
        <v>0</v>
      </c>
      <c r="H1884" t="b">
        <v>0</v>
      </c>
      <c r="I1884" t="b">
        <v>0</v>
      </c>
    </row>
    <row r="1885" spans="1:9" hidden="1" x14ac:dyDescent="0.2">
      <c r="A1885" t="s">
        <v>5810</v>
      </c>
      <c r="B1885" t="s">
        <v>4697</v>
      </c>
      <c r="D1885" t="b">
        <f>IFERROR(VLOOKUP(B1885,PatData!$A$2:$A$2000,1,),"")&lt;&gt;""</f>
        <v>0</v>
      </c>
      <c r="E1885"/>
      <c r="F1885" t="b">
        <v>0</v>
      </c>
      <c r="G1885" t="b">
        <v>0</v>
      </c>
      <c r="H1885" t="b">
        <v>0</v>
      </c>
      <c r="I1885" t="b">
        <v>0</v>
      </c>
    </row>
    <row r="1886" spans="1:9" hidden="1" x14ac:dyDescent="0.2">
      <c r="A1886" t="s">
        <v>5029</v>
      </c>
      <c r="B1886" t="s">
        <v>4097</v>
      </c>
      <c r="D1886" t="b">
        <f>IFERROR(VLOOKUP(B1886,PatData!$A$2:$A$2000,1,),"")&lt;&gt;""</f>
        <v>0</v>
      </c>
      <c r="E1886"/>
      <c r="F1886" t="b">
        <v>0</v>
      </c>
      <c r="G1886" t="b">
        <v>0</v>
      </c>
      <c r="H1886" t="b">
        <v>0</v>
      </c>
      <c r="I1886" t="b">
        <v>0</v>
      </c>
    </row>
    <row r="1887" spans="1:9" hidden="1" x14ac:dyDescent="0.2">
      <c r="A1887" t="s">
        <v>4253</v>
      </c>
      <c r="B1887" t="s">
        <v>4775</v>
      </c>
      <c r="D1887" t="b">
        <f>IFERROR(VLOOKUP(B1887,PatData!$A$2:$A$2000,1,),"")&lt;&gt;""</f>
        <v>0</v>
      </c>
      <c r="E1887"/>
      <c r="F1887" t="b">
        <v>0</v>
      </c>
      <c r="G1887" t="b">
        <v>0</v>
      </c>
      <c r="H1887" t="b">
        <v>0</v>
      </c>
      <c r="I1887" t="b">
        <v>0</v>
      </c>
    </row>
    <row r="1888" spans="1:9" hidden="1" x14ac:dyDescent="0.2">
      <c r="A1888" t="s">
        <v>4778</v>
      </c>
      <c r="B1888" t="s">
        <v>4774</v>
      </c>
      <c r="D1888" t="b">
        <f>IFERROR(VLOOKUP(B1888,PatData!$A$2:$A$2000,1,),"")&lt;&gt;""</f>
        <v>0</v>
      </c>
      <c r="E1888"/>
      <c r="F1888" t="b">
        <v>0</v>
      </c>
      <c r="G1888" t="b">
        <v>0</v>
      </c>
      <c r="H1888" t="b">
        <v>0</v>
      </c>
      <c r="I1888" t="b">
        <v>0</v>
      </c>
    </row>
    <row r="1889" spans="1:9" hidden="1" x14ac:dyDescent="0.2">
      <c r="A1889" t="s">
        <v>2830</v>
      </c>
      <c r="B1889" t="s">
        <v>4749</v>
      </c>
      <c r="D1889" t="b">
        <f>IFERROR(VLOOKUP(B1889,PatData!$A$2:$A$2000,1,),"")&lt;&gt;""</f>
        <v>0</v>
      </c>
      <c r="E1889" t="s">
        <v>2780</v>
      </c>
      <c r="F1889" t="b">
        <v>0</v>
      </c>
      <c r="G1889" t="b">
        <v>0</v>
      </c>
      <c r="H1889" t="b">
        <v>0</v>
      </c>
      <c r="I1889" t="b">
        <v>0</v>
      </c>
    </row>
    <row r="1890" spans="1:9" hidden="1" x14ac:dyDescent="0.2">
      <c r="A1890" t="s">
        <v>5030</v>
      </c>
      <c r="B1890" t="s">
        <v>5031</v>
      </c>
      <c r="D1890" t="b">
        <f>IFERROR(VLOOKUP(B1890,PatData!$A$2:$A$2000,1,),"")&lt;&gt;""</f>
        <v>0</v>
      </c>
      <c r="E1890" t="s">
        <v>487</v>
      </c>
      <c r="F1890" t="b">
        <v>0</v>
      </c>
      <c r="G1890" t="b">
        <v>0</v>
      </c>
      <c r="H1890" t="b">
        <v>0</v>
      </c>
      <c r="I1890" t="b">
        <v>0</v>
      </c>
    </row>
    <row r="1891" spans="1:9" hidden="1" x14ac:dyDescent="0.2">
      <c r="A1891" t="s">
        <v>4371</v>
      </c>
      <c r="B1891" t="s">
        <v>4754</v>
      </c>
      <c r="D1891" t="b">
        <f>IFERROR(VLOOKUP(B1891,PatData!$A$2:$A$2000,1,),"")&lt;&gt;""</f>
        <v>0</v>
      </c>
      <c r="E1891" t="s">
        <v>448</v>
      </c>
      <c r="F1891" t="b">
        <v>0</v>
      </c>
      <c r="G1891" t="b">
        <v>0</v>
      </c>
      <c r="H1891" t="b">
        <v>0</v>
      </c>
      <c r="I1891" t="b">
        <v>0</v>
      </c>
    </row>
    <row r="1892" spans="1:9" hidden="1" x14ac:dyDescent="0.2">
      <c r="A1892" t="s">
        <v>5291</v>
      </c>
      <c r="B1892" t="s">
        <v>4242</v>
      </c>
      <c r="D1892" t="b">
        <f>IFERROR(VLOOKUP(B1892,PatData!$A$2:$A$2000,1,),"")&lt;&gt;""</f>
        <v>0</v>
      </c>
      <c r="E1892"/>
      <c r="F1892" t="b">
        <v>0</v>
      </c>
      <c r="G1892" t="b">
        <v>0</v>
      </c>
      <c r="H1892" t="b">
        <v>0</v>
      </c>
      <c r="I1892" t="b">
        <v>0</v>
      </c>
    </row>
    <row r="1893" spans="1:9" hidden="1" x14ac:dyDescent="0.2">
      <c r="A1893" t="s">
        <v>4372</v>
      </c>
      <c r="B1893" t="s">
        <v>4755</v>
      </c>
      <c r="D1893" t="b">
        <f>IFERROR(VLOOKUP(B1893,PatData!$A$2:$A$2000,1,),"")&lt;&gt;""</f>
        <v>0</v>
      </c>
      <c r="E1893"/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4373</v>
      </c>
      <c r="B1894" t="s">
        <v>4756</v>
      </c>
      <c r="D1894" t="b">
        <f>IFERROR(VLOOKUP(B1894,PatData!$A$2:$A$2000,1,),"")&lt;&gt;""</f>
        <v>0</v>
      </c>
      <c r="E1894"/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5292</v>
      </c>
      <c r="B1895" t="s">
        <v>4274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4243</v>
      </c>
      <c r="B1896" t="s">
        <v>4090</v>
      </c>
      <c r="D1896" t="b">
        <f>IFERROR(VLOOKUP(B1896,PatData!$A$2:$A$2000,1,),"")&lt;&gt;""</f>
        <v>0</v>
      </c>
      <c r="E1896"/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4244</v>
      </c>
      <c r="B1897" t="s">
        <v>4245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1550</v>
      </c>
      <c r="B1898" t="s">
        <v>4757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4246</v>
      </c>
      <c r="B1899" t="s">
        <v>4088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3273</v>
      </c>
      <c r="B1900" t="s">
        <v>4758</v>
      </c>
      <c r="D1900" t="b">
        <f>IFERROR(VLOOKUP(B1900,PatData!$A$2:$A$2000,1,),"")&lt;&gt;""</f>
        <v>0</v>
      </c>
      <c r="E1900"/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2831</v>
      </c>
      <c r="B1901" t="s">
        <v>4750</v>
      </c>
      <c r="D1901" t="b">
        <f>IFERROR(VLOOKUP(B1901,PatData!$A$2:$A$2000,1,),"")&lt;&gt;""</f>
        <v>0</v>
      </c>
      <c r="E1901" t="s">
        <v>5393</v>
      </c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3274</v>
      </c>
      <c r="B1902" t="s">
        <v>4759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3275</v>
      </c>
      <c r="B1903" t="s">
        <v>4819</v>
      </c>
      <c r="D1903" t="b">
        <f>IFERROR(VLOOKUP(B1903,PatData!$A$2:$A$2000,1,),"")&lt;&gt;""</f>
        <v>0</v>
      </c>
      <c r="E1903"/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3276</v>
      </c>
      <c r="B1904" t="s">
        <v>4820</v>
      </c>
      <c r="D1904" t="b">
        <f>IFERROR(VLOOKUP(B1904,PatData!$A$2:$A$2000,1,),"")&lt;&gt;""</f>
        <v>0</v>
      </c>
      <c r="E1904"/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4247</v>
      </c>
      <c r="B1905" t="s">
        <v>4248</v>
      </c>
      <c r="D1905" t="b">
        <f>IFERROR(VLOOKUP(B1905,PatData!$A$2:$A$2000,1,),"")&lt;&gt;""</f>
        <v>0</v>
      </c>
      <c r="E1905"/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4760</v>
      </c>
      <c r="B1906" t="s">
        <v>4751</v>
      </c>
      <c r="D1906" t="b">
        <f>IFERROR(VLOOKUP(B1906,PatData!$A$2:$A$2000,1,),"")&lt;&gt;""</f>
        <v>0</v>
      </c>
      <c r="E1906"/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3277</v>
      </c>
      <c r="B1907" t="s">
        <v>4821</v>
      </c>
      <c r="D1907" t="b">
        <f>IFERROR(VLOOKUP(B1907,PatData!$A$2:$A$2000,1,),"")&lt;&gt;""</f>
        <v>0</v>
      </c>
      <c r="E1907"/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3278</v>
      </c>
      <c r="B1908" t="s">
        <v>4822</v>
      </c>
      <c r="D1908" t="b">
        <f>IFERROR(VLOOKUP(B1908,PatData!$A$2:$A$2000,1,),"")&lt;&gt;""</f>
        <v>0</v>
      </c>
      <c r="E1908"/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5032</v>
      </c>
      <c r="B1909" t="s">
        <v>4121</v>
      </c>
      <c r="D1909" t="b">
        <f>IFERROR(VLOOKUP(B1909,PatData!$A$2:$A$2000,1,),"")&lt;&gt;""</f>
        <v>0</v>
      </c>
      <c r="E1909"/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5033</v>
      </c>
      <c r="B1910" t="s">
        <v>4753</v>
      </c>
      <c r="D1910" t="b">
        <f>IFERROR(VLOOKUP(B1910,PatData!$A$2:$A$2000,1,),"")&lt;&gt;""</f>
        <v>0</v>
      </c>
      <c r="E1910"/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3279</v>
      </c>
      <c r="B1911" t="s">
        <v>4823</v>
      </c>
      <c r="D1911" t="b">
        <f>IFERROR(VLOOKUP(B1911,PatData!$A$2:$A$2000,1,),"")&lt;&gt;""</f>
        <v>0</v>
      </c>
      <c r="E1911"/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3280</v>
      </c>
      <c r="B1912" t="s">
        <v>4824</v>
      </c>
      <c r="D1912" t="b">
        <f>IFERROR(VLOOKUP(B1912,PatData!$A$2:$A$2000,1,),"")&lt;&gt;""</f>
        <v>0</v>
      </c>
      <c r="E1912"/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1551</v>
      </c>
      <c r="B1913" t="s">
        <v>4761</v>
      </c>
      <c r="D1913" t="b">
        <f>IFERROR(VLOOKUP(B1913,PatData!$A$2:$A$2000,1,),"")&lt;&gt;""</f>
        <v>0</v>
      </c>
      <c r="E1913"/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1552</v>
      </c>
      <c r="B1914" t="s">
        <v>4762</v>
      </c>
      <c r="D1914" t="b">
        <f>IFERROR(VLOOKUP(B1914,PatData!$A$2:$A$2000,1,),"")&lt;&gt;""</f>
        <v>0</v>
      </c>
      <c r="E1914"/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5034</v>
      </c>
      <c r="B1915" t="s">
        <v>4763</v>
      </c>
      <c r="D1915" t="b">
        <f>IFERROR(VLOOKUP(B1915,PatData!$A$2:$A$2000,1,),"")&lt;&gt;""</f>
        <v>0</v>
      </c>
      <c r="E1915">
        <v>30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5035</v>
      </c>
      <c r="B1916" t="s">
        <v>4764</v>
      </c>
      <c r="D1916" t="b">
        <f>IFERROR(VLOOKUP(B1916,PatData!$A$2:$A$2000,1,),"")&lt;&gt;""</f>
        <v>0</v>
      </c>
      <c r="E1916">
        <v>70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4249</v>
      </c>
      <c r="B1917" t="s">
        <v>4250</v>
      </c>
      <c r="D1917" t="b">
        <f>IFERROR(VLOOKUP(B1917,PatData!$A$2:$A$2000,1,),"")&lt;&gt;""</f>
        <v>0</v>
      </c>
      <c r="E1917"/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4252</v>
      </c>
      <c r="B1918" t="s">
        <v>4779</v>
      </c>
      <c r="D1918" t="b">
        <f>IFERROR(VLOOKUP(B1918,PatData!$A$2:$A$2000,1,),"")&lt;&gt;""</f>
        <v>0</v>
      </c>
      <c r="E1918" t="s">
        <v>394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4808</v>
      </c>
      <c r="B1919" t="s">
        <v>4099</v>
      </c>
      <c r="D1919" t="b">
        <f>IFERROR(VLOOKUP(B1919,PatData!$A$2:$A$2000,1,),"")&lt;&gt;""</f>
        <v>0</v>
      </c>
      <c r="E1919"/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5036</v>
      </c>
      <c r="B1920" t="s">
        <v>4825</v>
      </c>
      <c r="D1920" t="b">
        <f>IFERROR(VLOOKUP(B1920,PatData!$A$2:$A$2000,1,),"")&lt;&gt;""</f>
        <v>0</v>
      </c>
      <c r="E1920" t="s">
        <v>178</v>
      </c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4809</v>
      </c>
      <c r="B1921" t="s">
        <v>4098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5037</v>
      </c>
      <c r="B1922" t="s">
        <v>4897</v>
      </c>
      <c r="D1922" t="b">
        <f>IFERROR(VLOOKUP(B1922,PatData!$A$2:$A$2000,1,),"")&lt;&gt;""</f>
        <v>0</v>
      </c>
      <c r="E1922" t="s">
        <v>277</v>
      </c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3281</v>
      </c>
      <c r="B1923" t="s">
        <v>4826</v>
      </c>
      <c r="D1923" t="b">
        <f>IFERROR(VLOOKUP(B1923,PatData!$A$2:$A$2000,1,),"")&lt;&gt;""</f>
        <v>0</v>
      </c>
      <c r="E1923">
        <v>1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4251</v>
      </c>
      <c r="B1924" t="s">
        <v>4085</v>
      </c>
      <c r="D1924" t="b">
        <f>IFERROR(VLOOKUP(B1924,PatData!$A$2:$A$2000,1,),"")&lt;&gt;""</f>
        <v>0</v>
      </c>
      <c r="E1924"/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5038</v>
      </c>
      <c r="B1925" t="s">
        <v>3818</v>
      </c>
      <c r="D1925" t="b">
        <f>IFERROR(VLOOKUP(B1925,PatData!$A$2:$A$2000,1,),"")&lt;&gt;""</f>
        <v>0</v>
      </c>
      <c r="E1925" t="s">
        <v>4377</v>
      </c>
      <c r="F1925" t="b">
        <v>1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5039</v>
      </c>
      <c r="B1926" t="s">
        <v>3819</v>
      </c>
      <c r="D1926" t="b">
        <f>IFERROR(VLOOKUP(B1926,PatData!$A$2:$A$2000,1,),"")&lt;&gt;""</f>
        <v>0</v>
      </c>
      <c r="E1926" t="s">
        <v>5040</v>
      </c>
      <c r="F1926" t="b">
        <v>1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5041</v>
      </c>
      <c r="B1927" t="s">
        <v>3820</v>
      </c>
      <c r="D1927" t="b">
        <f>IFERROR(VLOOKUP(B1927,PatData!$A$2:$A$2000,1,),"")&lt;&gt;""</f>
        <v>0</v>
      </c>
      <c r="E1927" t="s">
        <v>5042</v>
      </c>
      <c r="F1927" t="b">
        <v>1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5043</v>
      </c>
      <c r="B1928" t="s">
        <v>3821</v>
      </c>
      <c r="D1928" t="b">
        <f>IFERROR(VLOOKUP(B1928,PatData!$A$2:$A$2000,1,),"")&lt;&gt;""</f>
        <v>0</v>
      </c>
      <c r="E1928" t="s">
        <v>5044</v>
      </c>
      <c r="F1928" t="b">
        <v>1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5045</v>
      </c>
      <c r="B1929" t="s">
        <v>3822</v>
      </c>
      <c r="D1929" t="b">
        <f>IFERROR(VLOOKUP(B1929,PatData!$A$2:$A$2000,1,),"")&lt;&gt;""</f>
        <v>0</v>
      </c>
      <c r="E1929" t="s">
        <v>5046</v>
      </c>
      <c r="F1929" t="b">
        <v>1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5047</v>
      </c>
      <c r="B1930" t="s">
        <v>3823</v>
      </c>
      <c r="D1930" t="b">
        <f>IFERROR(VLOOKUP(B1930,PatData!$A$2:$A$2000,1,),"")&lt;&gt;""</f>
        <v>0</v>
      </c>
      <c r="E1930" t="s">
        <v>5048</v>
      </c>
      <c r="F1930" t="b">
        <v>1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5049</v>
      </c>
      <c r="B1931" t="s">
        <v>3824</v>
      </c>
      <c r="D1931" t="b">
        <f>IFERROR(VLOOKUP(B1931,PatData!$A$2:$A$2000,1,),"")&lt;&gt;""</f>
        <v>0</v>
      </c>
      <c r="E1931" t="s">
        <v>5050</v>
      </c>
      <c r="F1931" t="b">
        <v>1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5051</v>
      </c>
      <c r="B1932" t="s">
        <v>3825</v>
      </c>
      <c r="D1932" t="b">
        <f>IFERROR(VLOOKUP(B1932,PatData!$A$2:$A$2000,1,),"")&lt;&gt;""</f>
        <v>0</v>
      </c>
      <c r="E1932" t="s">
        <v>5052</v>
      </c>
      <c r="F1932" t="b">
        <v>1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5053</v>
      </c>
      <c r="B1933" t="s">
        <v>3826</v>
      </c>
      <c r="D1933" t="b">
        <f>IFERROR(VLOOKUP(B1933,PatData!$A$2:$A$2000,1,),"")&lt;&gt;""</f>
        <v>0</v>
      </c>
      <c r="E1933" t="s">
        <v>5054</v>
      </c>
      <c r="F1933" t="b">
        <v>1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5055</v>
      </c>
      <c r="B1934" t="s">
        <v>3827</v>
      </c>
      <c r="D1934" t="b">
        <f>IFERROR(VLOOKUP(B1934,PatData!$A$2:$A$2000,1,),"")&lt;&gt;""</f>
        <v>0</v>
      </c>
      <c r="E1934" t="s">
        <v>5056</v>
      </c>
      <c r="F1934" t="b">
        <v>1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5057</v>
      </c>
      <c r="B1935" t="s">
        <v>3828</v>
      </c>
      <c r="D1935" t="b">
        <f>IFERROR(VLOOKUP(B1935,PatData!$A$2:$A$2000,1,),"")&lt;&gt;""</f>
        <v>0</v>
      </c>
      <c r="E1935" t="s">
        <v>5058</v>
      </c>
      <c r="F1935" t="b">
        <v>1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5059</v>
      </c>
      <c r="B1936" t="s">
        <v>3829</v>
      </c>
      <c r="D1936" t="b">
        <f>IFERROR(VLOOKUP(B1936,PatData!$A$2:$A$2000,1,),"")&lt;&gt;""</f>
        <v>0</v>
      </c>
      <c r="E1936" t="s">
        <v>5060</v>
      </c>
      <c r="F1936" t="b">
        <v>1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5061</v>
      </c>
      <c r="B1937" t="s">
        <v>3830</v>
      </c>
      <c r="D1937" t="b">
        <f>IFERROR(VLOOKUP(B1937,PatData!$A$2:$A$2000,1,),"")&lt;&gt;""</f>
        <v>0</v>
      </c>
      <c r="E1937" t="s">
        <v>5062</v>
      </c>
      <c r="F1937" t="b">
        <v>1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5063</v>
      </c>
      <c r="B1938" t="s">
        <v>3831</v>
      </c>
      <c r="D1938" t="b">
        <f>IFERROR(VLOOKUP(B1938,PatData!$A$2:$A$2000,1,),"")&lt;&gt;""</f>
        <v>0</v>
      </c>
      <c r="E1938" t="s">
        <v>5064</v>
      </c>
      <c r="F1938" t="b">
        <v>1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5065</v>
      </c>
      <c r="B1939" t="s">
        <v>3832</v>
      </c>
      <c r="D1939" t="b">
        <f>IFERROR(VLOOKUP(B1939,PatData!$A$2:$A$2000,1,),"")&lt;&gt;""</f>
        <v>0</v>
      </c>
      <c r="E1939" t="s">
        <v>4374</v>
      </c>
      <c r="F1939" t="b">
        <v>1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5066</v>
      </c>
      <c r="B1940" t="s">
        <v>3833</v>
      </c>
      <c r="D1940" t="b">
        <f>IFERROR(VLOOKUP(B1940,PatData!$A$2:$A$2000,1,),"")&lt;&gt;""</f>
        <v>0</v>
      </c>
      <c r="E1940" t="s">
        <v>4375</v>
      </c>
      <c r="F1940" t="b">
        <v>1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5067</v>
      </c>
      <c r="B1941" t="s">
        <v>4521</v>
      </c>
      <c r="D1941" t="b">
        <f>IFERROR(VLOOKUP(B1941,PatData!$A$2:$A$2000,1,),"")&lt;&gt;""</f>
        <v>0</v>
      </c>
      <c r="E1941" t="s">
        <v>4378</v>
      </c>
      <c r="F1941" t="b">
        <v>1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5068</v>
      </c>
      <c r="B1942" t="s">
        <v>4522</v>
      </c>
      <c r="D1942" t="b">
        <f>IFERROR(VLOOKUP(B1942,PatData!$A$2:$A$2000,1,),"")&lt;&gt;""</f>
        <v>0</v>
      </c>
      <c r="E1942" t="s">
        <v>5069</v>
      </c>
      <c r="F1942" t="b">
        <v>1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5070</v>
      </c>
      <c r="B1943" t="s">
        <v>4523</v>
      </c>
      <c r="D1943" t="b">
        <f>IFERROR(VLOOKUP(B1943,PatData!$A$2:$A$2000,1,),"")&lt;&gt;""</f>
        <v>0</v>
      </c>
      <c r="E1943" t="s">
        <v>4376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5071</v>
      </c>
      <c r="B1944" t="s">
        <v>4524</v>
      </c>
      <c r="D1944" t="b">
        <f>IFERROR(VLOOKUP(B1944,PatData!$A$2:$A$2000,1,),"")&lt;&gt;""</f>
        <v>0</v>
      </c>
      <c r="E1944" t="s">
        <v>5072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5073</v>
      </c>
      <c r="B1945" t="s">
        <v>4525</v>
      </c>
      <c r="D1945" t="b">
        <f>IFERROR(VLOOKUP(B1945,PatData!$A$2:$A$2000,1,),"")&lt;&gt;""</f>
        <v>0</v>
      </c>
      <c r="E1945" t="s">
        <v>5074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5075</v>
      </c>
      <c r="B1946" t="s">
        <v>4526</v>
      </c>
      <c r="D1946" t="b">
        <f>IFERROR(VLOOKUP(B1946,PatData!$A$2:$A$2000,1,),"")&lt;&gt;""</f>
        <v>0</v>
      </c>
      <c r="E1946" t="s">
        <v>5076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5077</v>
      </c>
      <c r="B1947" t="s">
        <v>4527</v>
      </c>
      <c r="D1947" t="b">
        <f>IFERROR(VLOOKUP(B1947,PatData!$A$2:$A$2000,1,),"")&lt;&gt;""</f>
        <v>0</v>
      </c>
      <c r="E1947" t="s">
        <v>5078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5079</v>
      </c>
      <c r="B1948" t="s">
        <v>4528</v>
      </c>
      <c r="D1948" t="b">
        <f>IFERROR(VLOOKUP(B1948,PatData!$A$2:$A$2000,1,),"")&lt;&gt;""</f>
        <v>0</v>
      </c>
      <c r="E1948" t="s">
        <v>5080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5081</v>
      </c>
      <c r="B1949" t="s">
        <v>4529</v>
      </c>
      <c r="D1949" t="b">
        <f>IFERROR(VLOOKUP(B1949,PatData!$A$2:$A$2000,1,),"")&lt;&gt;""</f>
        <v>0</v>
      </c>
      <c r="E1949" t="s">
        <v>5082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5083</v>
      </c>
      <c r="B1950" t="s">
        <v>4519</v>
      </c>
      <c r="D1950" t="b">
        <f>IFERROR(VLOOKUP(B1950,PatData!$A$2:$A$2000,1,),"")&lt;&gt;""</f>
        <v>0</v>
      </c>
      <c r="E1950" t="s">
        <v>5084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5085</v>
      </c>
      <c r="B1951" t="s">
        <v>4520</v>
      </c>
      <c r="D1951" t="b">
        <f>IFERROR(VLOOKUP(B1951,PatData!$A$2:$A$2000,1,),"")&lt;&gt;""</f>
        <v>0</v>
      </c>
      <c r="E1951" t="s">
        <v>5086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5087</v>
      </c>
      <c r="B1952" t="s">
        <v>4530</v>
      </c>
      <c r="D1952" t="b">
        <f>IFERROR(VLOOKUP(B1952,PatData!$A$2:$A$2000,1,),"")&lt;&gt;""</f>
        <v>0</v>
      </c>
      <c r="E1952" t="s">
        <v>5088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5089</v>
      </c>
      <c r="B1953" t="s">
        <v>4531</v>
      </c>
      <c r="D1953" t="b">
        <f>IFERROR(VLOOKUP(B1953,PatData!$A$2:$A$2000,1,),"")&lt;&gt;""</f>
        <v>0</v>
      </c>
      <c r="E1953" t="s">
        <v>5090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5091</v>
      </c>
      <c r="B1954" t="s">
        <v>3834</v>
      </c>
      <c r="D1954" t="b">
        <f>IFERROR(VLOOKUP(B1954,PatData!$A$2:$A$2000,1,),"")&lt;&gt;""</f>
        <v>0</v>
      </c>
      <c r="E1954" t="s">
        <v>5092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5093</v>
      </c>
      <c r="B1955" t="s">
        <v>3835</v>
      </c>
      <c r="D1955" t="b">
        <f>IFERROR(VLOOKUP(B1955,PatData!$A$2:$A$2000,1,),"")&lt;&gt;""</f>
        <v>0</v>
      </c>
      <c r="E1955" t="s">
        <v>5094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5095</v>
      </c>
      <c r="B1956" t="s">
        <v>3836</v>
      </c>
      <c r="D1956" t="b">
        <f>IFERROR(VLOOKUP(B1956,PatData!$A$2:$A$2000,1,),"")&lt;&gt;""</f>
        <v>0</v>
      </c>
      <c r="E1956" t="s">
        <v>5096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5097</v>
      </c>
      <c r="B1957" t="s">
        <v>3837</v>
      </c>
      <c r="D1957" t="b">
        <f>IFERROR(VLOOKUP(B1957,PatData!$A$2:$A$2000,1,),"")&lt;&gt;""</f>
        <v>0</v>
      </c>
      <c r="E1957" t="s">
        <v>5098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5099</v>
      </c>
      <c r="B1958" t="s">
        <v>3838</v>
      </c>
      <c r="D1958" t="b">
        <f>IFERROR(VLOOKUP(B1958,PatData!$A$2:$A$2000,1,),"")&lt;&gt;""</f>
        <v>0</v>
      </c>
      <c r="E1958" t="s">
        <v>5100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5101</v>
      </c>
      <c r="B1959" t="s">
        <v>3839</v>
      </c>
      <c r="D1959" t="b">
        <f>IFERROR(VLOOKUP(B1959,PatData!$A$2:$A$2000,1,),"")&lt;&gt;""</f>
        <v>0</v>
      </c>
      <c r="E1959" t="s">
        <v>5102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5103</v>
      </c>
      <c r="B1960" t="s">
        <v>3840</v>
      </c>
      <c r="D1960" t="b">
        <f>IFERROR(VLOOKUP(B1960,PatData!$A$2:$A$2000,1,),"")&lt;&gt;""</f>
        <v>0</v>
      </c>
      <c r="E1960" t="s">
        <v>5104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5105</v>
      </c>
      <c r="B1961" t="s">
        <v>3841</v>
      </c>
      <c r="D1961" t="b">
        <f>IFERROR(VLOOKUP(B1961,PatData!$A$2:$A$2000,1,),"")&lt;&gt;""</f>
        <v>0</v>
      </c>
      <c r="E1961" t="s">
        <v>5106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5107</v>
      </c>
      <c r="B1962" t="s">
        <v>3842</v>
      </c>
      <c r="D1962" t="b">
        <f>IFERROR(VLOOKUP(B1962,PatData!$A$2:$A$2000,1,),"")&lt;&gt;""</f>
        <v>0</v>
      </c>
      <c r="E1962" t="s">
        <v>5108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5109</v>
      </c>
      <c r="B1963" t="s">
        <v>3843</v>
      </c>
      <c r="D1963" t="b">
        <f>IFERROR(VLOOKUP(B1963,PatData!$A$2:$A$2000,1,),"")&lt;&gt;""</f>
        <v>0</v>
      </c>
      <c r="E1963" t="s">
        <v>5110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3748</v>
      </c>
      <c r="B1964" t="s">
        <v>3784</v>
      </c>
      <c r="D1964" t="b">
        <f>IFERROR(VLOOKUP(B1964,PatData!$A$2:$A$2000,1,),"")&lt;&gt;""</f>
        <v>0</v>
      </c>
      <c r="E1964" t="s">
        <v>4379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3749</v>
      </c>
      <c r="B1965" t="s">
        <v>3785</v>
      </c>
      <c r="D1965" t="b">
        <f>IFERROR(VLOOKUP(B1965,PatData!$A$2:$A$2000,1,),"")&lt;&gt;""</f>
        <v>0</v>
      </c>
      <c r="E1965" t="s">
        <v>4380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3750</v>
      </c>
      <c r="B1966" t="s">
        <v>3786</v>
      </c>
      <c r="D1966" t="b">
        <f>IFERROR(VLOOKUP(B1966,PatData!$A$2:$A$2000,1,),"")&lt;&gt;""</f>
        <v>0</v>
      </c>
      <c r="E1966" t="s">
        <v>2835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3751</v>
      </c>
      <c r="B1967" t="s">
        <v>3787</v>
      </c>
      <c r="D1967" t="b">
        <f>IFERROR(VLOOKUP(B1967,PatData!$A$2:$A$2000,1,),"")&lt;&gt;""</f>
        <v>0</v>
      </c>
      <c r="E1967" t="s">
        <v>4381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3752</v>
      </c>
      <c r="B1968" t="s">
        <v>3788</v>
      </c>
      <c r="D1968" t="b">
        <f>IFERROR(VLOOKUP(B1968,PatData!$A$2:$A$2000,1,),"")&lt;&gt;""</f>
        <v>0</v>
      </c>
      <c r="E1968" t="s">
        <v>5111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3753</v>
      </c>
      <c r="B1969" t="s">
        <v>3789</v>
      </c>
      <c r="D1969" t="b">
        <f>IFERROR(VLOOKUP(B1969,PatData!$A$2:$A$2000,1,),"")&lt;&gt;""</f>
        <v>0</v>
      </c>
      <c r="E1969" t="s">
        <v>5112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3754</v>
      </c>
      <c r="B1970" t="s">
        <v>3790</v>
      </c>
      <c r="D1970" t="b">
        <f>IFERROR(VLOOKUP(B1970,PatData!$A$2:$A$2000,1,),"")&lt;&gt;""</f>
        <v>0</v>
      </c>
      <c r="E1970" t="s">
        <v>338</v>
      </c>
      <c r="F1970" t="b">
        <v>0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3755</v>
      </c>
      <c r="B1971" t="s">
        <v>3791</v>
      </c>
      <c r="D1971" t="b">
        <f>IFERROR(VLOOKUP(B1971,PatData!$A$2:$A$2000,1,),"")&lt;&gt;""</f>
        <v>0</v>
      </c>
      <c r="E1971" t="s">
        <v>5113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3756</v>
      </c>
      <c r="B1972" t="s">
        <v>3792</v>
      </c>
      <c r="D1972" t="b">
        <f>IFERROR(VLOOKUP(B1972,PatData!$A$2:$A$2000,1,),"")&lt;&gt;""</f>
        <v>0</v>
      </c>
      <c r="E1972" t="s">
        <v>5114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3757</v>
      </c>
      <c r="B1973" t="s">
        <v>3793</v>
      </c>
      <c r="D1973" t="b">
        <f>IFERROR(VLOOKUP(B1973,PatData!$A$2:$A$2000,1,),"")&lt;&gt;""</f>
        <v>0</v>
      </c>
      <c r="E1973" t="s">
        <v>4382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3758</v>
      </c>
      <c r="B1974" t="s">
        <v>3794</v>
      </c>
      <c r="D1974" t="b">
        <f>IFERROR(VLOOKUP(B1974,PatData!$A$2:$A$2000,1,),"")&lt;&gt;""</f>
        <v>0</v>
      </c>
      <c r="E1974" t="s">
        <v>5115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3759</v>
      </c>
      <c r="B1975" t="s">
        <v>3795</v>
      </c>
      <c r="D1975" t="b">
        <f>IFERROR(VLOOKUP(B1975,PatData!$A$2:$A$2000,1,),"")&lt;&gt;""</f>
        <v>0</v>
      </c>
      <c r="E1975" t="s">
        <v>5116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3760</v>
      </c>
      <c r="B1976" t="s">
        <v>3796</v>
      </c>
      <c r="D1976" t="b">
        <f>IFERROR(VLOOKUP(B1976,PatData!$A$2:$A$2000,1,),"")&lt;&gt;""</f>
        <v>0</v>
      </c>
      <c r="E1976" t="s">
        <v>415</v>
      </c>
      <c r="F1976" t="b">
        <v>0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3761</v>
      </c>
      <c r="B1977" t="s">
        <v>3797</v>
      </c>
      <c r="D1977" t="b">
        <f>IFERROR(VLOOKUP(B1977,PatData!$A$2:$A$2000,1,),"")&lt;&gt;""</f>
        <v>0</v>
      </c>
      <c r="E1977" t="s">
        <v>5117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3762</v>
      </c>
      <c r="B1978" t="s">
        <v>3798</v>
      </c>
      <c r="D1978" t="b">
        <f>IFERROR(VLOOKUP(B1978,PatData!$A$2:$A$2000,1,),"")&lt;&gt;""</f>
        <v>0</v>
      </c>
      <c r="E1978" t="s">
        <v>5118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3763</v>
      </c>
      <c r="B1979" t="s">
        <v>3799</v>
      </c>
      <c r="D1979" t="b">
        <f>IFERROR(VLOOKUP(B1979,PatData!$A$2:$A$2000,1,),"")&lt;&gt;""</f>
        <v>0</v>
      </c>
      <c r="E1979" t="s">
        <v>339</v>
      </c>
      <c r="F1979" t="b">
        <v>0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3764</v>
      </c>
      <c r="B1980" t="s">
        <v>3800</v>
      </c>
      <c r="D1980" t="b">
        <f>IFERROR(VLOOKUP(B1980,PatData!$A$2:$A$2000,1,),"")&lt;&gt;""</f>
        <v>0</v>
      </c>
      <c r="E1980" t="s">
        <v>5119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3765</v>
      </c>
      <c r="B1981" t="s">
        <v>3801</v>
      </c>
      <c r="D1981" t="b">
        <f>IFERROR(VLOOKUP(B1981,PatData!$A$2:$A$2000,1,),"")&lt;&gt;""</f>
        <v>0</v>
      </c>
      <c r="E1981" t="s">
        <v>5120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3766</v>
      </c>
      <c r="B1982" t="s">
        <v>3802</v>
      </c>
      <c r="D1982" t="b">
        <f>IFERROR(VLOOKUP(B1982,PatData!$A$2:$A$2000,1,),"")&lt;&gt;""</f>
        <v>0</v>
      </c>
      <c r="E1982" t="s">
        <v>32</v>
      </c>
      <c r="F1982" t="b">
        <v>0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3767</v>
      </c>
      <c r="B1983" t="s">
        <v>3803</v>
      </c>
      <c r="D1983" t="b">
        <f>IFERROR(VLOOKUP(B1983,PatData!$A$2:$A$2000,1,),"")&lt;&gt;""</f>
        <v>0</v>
      </c>
      <c r="E1983" t="s">
        <v>5121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3768</v>
      </c>
      <c r="B1984" t="s">
        <v>3804</v>
      </c>
      <c r="D1984" t="b">
        <f>IFERROR(VLOOKUP(B1984,PatData!$A$2:$A$2000,1,),"")&lt;&gt;""</f>
        <v>0</v>
      </c>
      <c r="E1984" t="s">
        <v>5122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3769</v>
      </c>
      <c r="B1985" t="s">
        <v>3805</v>
      </c>
      <c r="D1985" t="b">
        <f>IFERROR(VLOOKUP(B1985,PatData!$A$2:$A$2000,1,),"")&lt;&gt;""</f>
        <v>0</v>
      </c>
      <c r="E1985" t="s">
        <v>417</v>
      </c>
      <c r="F1985" t="b">
        <v>0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3770</v>
      </c>
      <c r="B1986" t="s">
        <v>3806</v>
      </c>
      <c r="D1986" t="b">
        <f>IFERROR(VLOOKUP(B1986,PatData!$A$2:$A$2000,1,),"")&lt;&gt;""</f>
        <v>0</v>
      </c>
      <c r="E1986" t="s">
        <v>5123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3771</v>
      </c>
      <c r="B1987" t="s">
        <v>3807</v>
      </c>
      <c r="D1987" t="b">
        <f>IFERROR(VLOOKUP(B1987,PatData!$A$2:$A$2000,1,),"")&lt;&gt;""</f>
        <v>0</v>
      </c>
      <c r="E1987" t="s">
        <v>5124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3772</v>
      </c>
      <c r="B1988" t="s">
        <v>3808</v>
      </c>
      <c r="D1988" t="b">
        <f>IFERROR(VLOOKUP(B1988,PatData!$A$2:$A$2000,1,),"")&lt;&gt;""</f>
        <v>0</v>
      </c>
      <c r="E1988" t="s">
        <v>416</v>
      </c>
      <c r="F1988" t="b">
        <v>0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3773</v>
      </c>
      <c r="B1989" t="s">
        <v>3809</v>
      </c>
      <c r="D1989" t="b">
        <f>IFERROR(VLOOKUP(B1989,PatData!$A$2:$A$2000,1,),"")&lt;&gt;""</f>
        <v>0</v>
      </c>
      <c r="E1989" t="s">
        <v>5125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3774</v>
      </c>
      <c r="B1990" t="s">
        <v>3810</v>
      </c>
      <c r="D1990" t="b">
        <f>IFERROR(VLOOKUP(B1990,PatData!$A$2:$A$2000,1,),"")&lt;&gt;""</f>
        <v>0</v>
      </c>
      <c r="E1990" t="s">
        <v>5126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3775</v>
      </c>
      <c r="B1991" t="s">
        <v>3811</v>
      </c>
      <c r="D1991" t="b">
        <f>IFERROR(VLOOKUP(B1991,PatData!$A$2:$A$2000,1,),"")&lt;&gt;""</f>
        <v>0</v>
      </c>
      <c r="E1991" t="s">
        <v>263</v>
      </c>
      <c r="F1991" t="b">
        <v>0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3776</v>
      </c>
      <c r="B1992" t="s">
        <v>3812</v>
      </c>
      <c r="D1992" t="b">
        <f>IFERROR(VLOOKUP(B1992,PatData!$A$2:$A$2000,1,),"")&lt;&gt;""</f>
        <v>0</v>
      </c>
      <c r="E1992" t="s">
        <v>5127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3777</v>
      </c>
      <c r="B1993" t="s">
        <v>3813</v>
      </c>
      <c r="D1993" t="b">
        <f>IFERROR(VLOOKUP(B1993,PatData!$A$2:$A$2000,1,),"")&lt;&gt;""</f>
        <v>0</v>
      </c>
      <c r="E1993" t="s">
        <v>5128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3778</v>
      </c>
      <c r="B1994" t="s">
        <v>3814</v>
      </c>
      <c r="D1994" t="b">
        <f>IFERROR(VLOOKUP(B1994,PatData!$A$2:$A$2000,1,),"")&lt;&gt;""</f>
        <v>0</v>
      </c>
      <c r="E1994" t="s">
        <v>152</v>
      </c>
      <c r="F1994" t="b">
        <v>0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3779</v>
      </c>
      <c r="B1995" t="s">
        <v>3815</v>
      </c>
      <c r="D1995" t="b">
        <f>IFERROR(VLOOKUP(B1995,PatData!$A$2:$A$2000,1,),"")&lt;&gt;""</f>
        <v>0</v>
      </c>
      <c r="E1995" t="s">
        <v>2836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3780</v>
      </c>
      <c r="B1996" t="s">
        <v>3816</v>
      </c>
      <c r="D1996" t="b">
        <f>IFERROR(VLOOKUP(B1996,PatData!$A$2:$A$2000,1,),"")&lt;&gt;""</f>
        <v>0</v>
      </c>
      <c r="E1996" t="s">
        <v>5129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3781</v>
      </c>
      <c r="B1997" t="s">
        <v>3817</v>
      </c>
      <c r="D1997" t="b">
        <f>IFERROR(VLOOKUP(B1997,PatData!$A$2:$A$2000,1,),"")&lt;&gt;""</f>
        <v>0</v>
      </c>
      <c r="E1997" t="s">
        <v>5130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4707</v>
      </c>
      <c r="B1998" t="s">
        <v>4698</v>
      </c>
      <c r="D1998" t="b">
        <f>IFERROR(VLOOKUP(B1998,PatData!$A$2:$A$2000,1,),"")&lt;&gt;""</f>
        <v>0</v>
      </c>
      <c r="E1998" t="s">
        <v>4699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4710</v>
      </c>
      <c r="B1999" t="s">
        <v>4701</v>
      </c>
      <c r="D1999" t="b">
        <f>IFERROR(VLOOKUP(B1999,PatData!$A$2:$A$2000,1,),"")&lt;&gt;""</f>
        <v>0</v>
      </c>
      <c r="E1999" t="s">
        <v>4702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4713</v>
      </c>
      <c r="B2000" t="s">
        <v>4703</v>
      </c>
      <c r="D2000" t="b">
        <f>IFERROR(VLOOKUP(B2000,PatData!$A$2:$A$2000,1,),"")&lt;&gt;""</f>
        <v>0</v>
      </c>
      <c r="E2000" t="s">
        <v>5811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5293</v>
      </c>
      <c r="B2001" t="s">
        <v>4705</v>
      </c>
      <c r="D2001" t="b">
        <f>IFERROR(VLOOKUP(B2001,PatData!$A$2:$A$2000,1,),"")&lt;&gt;""</f>
        <v>0</v>
      </c>
      <c r="E2001" t="s">
        <v>4706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5294</v>
      </c>
      <c r="B2002" t="s">
        <v>4708</v>
      </c>
      <c r="D2002" t="b">
        <f>IFERROR(VLOOKUP(B2002,PatData!$A$2:$A$2000,1,),"")&lt;&gt;""</f>
        <v>0</v>
      </c>
      <c r="E2002" t="s">
        <v>4709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5812</v>
      </c>
      <c r="B2003" t="s">
        <v>5813</v>
      </c>
      <c r="D2003" t="b">
        <f>IFERROR(VLOOKUP(B2003,PatData!$A$2:$A$2000,1,),"")&lt;&gt;""</f>
        <v>0</v>
      </c>
      <c r="E2003" t="s">
        <v>5814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5815</v>
      </c>
      <c r="B2004" t="s">
        <v>4711</v>
      </c>
      <c r="D2004" t="b">
        <f>IFERROR(VLOOKUP(B2004,PatData!$A$2:$A$2000,1,),"")&lt;&gt;""</f>
        <v>0</v>
      </c>
      <c r="E2004" t="s">
        <v>4712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4722</v>
      </c>
      <c r="B2005" t="s">
        <v>4714</v>
      </c>
      <c r="D2005" t="b">
        <f>IFERROR(VLOOKUP(B2005,PatData!$A$2:$A$2000,1,),"")&lt;&gt;""</f>
        <v>0</v>
      </c>
      <c r="E2005" t="s">
        <v>4810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4719</v>
      </c>
      <c r="B2006" t="s">
        <v>4715</v>
      </c>
      <c r="D2006" t="b">
        <f>IFERROR(VLOOKUP(B2006,PatData!$A$2:$A$2000,1,),"")&lt;&gt;""</f>
        <v>0</v>
      </c>
      <c r="E2006" t="s">
        <v>5816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4700</v>
      </c>
      <c r="B2007" t="s">
        <v>4717</v>
      </c>
      <c r="D2007" t="b">
        <f>IFERROR(VLOOKUP(B2007,PatData!$A$2:$A$2000,1,),"")&lt;&gt;""</f>
        <v>0</v>
      </c>
      <c r="E2007" t="s">
        <v>4718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4716</v>
      </c>
      <c r="B2008" t="s">
        <v>4720</v>
      </c>
      <c r="D2008" t="b">
        <f>IFERROR(VLOOKUP(B2008,PatData!$A$2:$A$2000,1,),"")&lt;&gt;""</f>
        <v>0</v>
      </c>
      <c r="E2008" t="s">
        <v>5817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4725</v>
      </c>
      <c r="B2009" t="s">
        <v>4721</v>
      </c>
      <c r="D2009" t="b">
        <f>IFERROR(VLOOKUP(B2009,PatData!$A$2:$A$2000,1,),"")&lt;&gt;""</f>
        <v>0</v>
      </c>
      <c r="E2009" t="s">
        <v>5818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4704</v>
      </c>
      <c r="B2010" t="s">
        <v>4723</v>
      </c>
      <c r="D2010" t="b">
        <f>IFERROR(VLOOKUP(B2010,PatData!$A$2:$A$2000,1,),"")&lt;&gt;""</f>
        <v>0</v>
      </c>
      <c r="E2010" t="s">
        <v>4724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5819</v>
      </c>
      <c r="B2011" t="s">
        <v>4726</v>
      </c>
      <c r="D2011" t="b">
        <f>IFERROR(VLOOKUP(B2011,PatData!$A$2:$A$2000,1,),"")&lt;&gt;""</f>
        <v>0</v>
      </c>
      <c r="E2011" t="s">
        <v>4727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3282</v>
      </c>
      <c r="B2012" t="s">
        <v>4831</v>
      </c>
      <c r="D2012" t="b">
        <f>IFERROR(VLOOKUP(B2012,PatData!$A$2:$A$2000,1,),"")&lt;&gt;""</f>
        <v>0</v>
      </c>
      <c r="E2012" t="s">
        <v>4829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3283</v>
      </c>
      <c r="B2013" t="s">
        <v>4834</v>
      </c>
      <c r="D2013" t="b">
        <f>IFERROR(VLOOKUP(B2013,PatData!$A$2:$A$2000,1,),"")&lt;&gt;""</f>
        <v>0</v>
      </c>
      <c r="E2013" t="s">
        <v>2837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3284</v>
      </c>
      <c r="B2014" t="s">
        <v>4832</v>
      </c>
      <c r="D2014" t="b">
        <f>IFERROR(VLOOKUP(B2014,PatData!$A$2:$A$2000,1,),"")&lt;&gt;""</f>
        <v>0</v>
      </c>
      <c r="E2014" t="s">
        <v>2838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3285</v>
      </c>
      <c r="B2015" t="s">
        <v>4833</v>
      </c>
      <c r="D2015" t="b">
        <f>IFERROR(VLOOKUP(B2015,PatData!$A$2:$A$2000,1,),"")&lt;&gt;""</f>
        <v>0</v>
      </c>
      <c r="E2015" t="s">
        <v>2839</v>
      </c>
      <c r="F2015" t="b">
        <v>1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4841</v>
      </c>
      <c r="B2016" t="s">
        <v>4842</v>
      </c>
      <c r="D2016" t="b">
        <f>IFERROR(VLOOKUP(B2016,PatData!$A$2:$A$2000,1,),"")&lt;&gt;""</f>
        <v>0</v>
      </c>
      <c r="E2016" t="s">
        <v>4843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4844</v>
      </c>
      <c r="B2017" t="s">
        <v>4845</v>
      </c>
      <c r="D2017" t="b">
        <f>IFERROR(VLOOKUP(B2017,PatData!$A$2:$A$2000,1,),"")&lt;&gt;""</f>
        <v>0</v>
      </c>
      <c r="E2017" t="s">
        <v>4846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4847</v>
      </c>
      <c r="B2018" t="s">
        <v>4848</v>
      </c>
      <c r="D2018" t="b">
        <f>IFERROR(VLOOKUP(B2018,PatData!$A$2:$A$2000,1,),"")&lt;&gt;""</f>
        <v>0</v>
      </c>
      <c r="E2018" t="s">
        <v>4849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4850</v>
      </c>
      <c r="B2019" t="s">
        <v>4851</v>
      </c>
      <c r="D2019" t="b">
        <f>IFERROR(VLOOKUP(B2019,PatData!$A$2:$A$2000,1,),"")&lt;&gt;""</f>
        <v>0</v>
      </c>
      <c r="E2019" t="s">
        <v>4852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4853</v>
      </c>
      <c r="B2020" t="s">
        <v>4854</v>
      </c>
      <c r="D2020" t="b">
        <f>IFERROR(VLOOKUP(B2020,PatData!$A$2:$A$2000,1,),"")&lt;&gt;""</f>
        <v>0</v>
      </c>
      <c r="E2020" t="s">
        <v>4855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4856</v>
      </c>
      <c r="B2021" t="s">
        <v>4857</v>
      </c>
      <c r="D2021" t="b">
        <f>IFERROR(VLOOKUP(B2021,PatData!$A$2:$A$2000,1,),"")&lt;&gt;""</f>
        <v>0</v>
      </c>
      <c r="E2021" t="s">
        <v>4858</v>
      </c>
      <c r="F2021" t="b">
        <v>1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4859</v>
      </c>
      <c r="B2022" t="s">
        <v>4860</v>
      </c>
      <c r="D2022" t="b">
        <f>IFERROR(VLOOKUP(B2022,PatData!$A$2:$A$2000,1,),"")&lt;&gt;""</f>
        <v>0</v>
      </c>
      <c r="E2022" t="s">
        <v>4861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4862</v>
      </c>
      <c r="B2023" t="s">
        <v>4863</v>
      </c>
      <c r="D2023" t="b">
        <f>IFERROR(VLOOKUP(B2023,PatData!$A$2:$A$2000,1,),"")&lt;&gt;""</f>
        <v>0</v>
      </c>
      <c r="E2023" t="s">
        <v>4864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4865</v>
      </c>
      <c r="B2024" t="s">
        <v>4866</v>
      </c>
      <c r="D2024" t="b">
        <f>IFERROR(VLOOKUP(B2024,PatData!$A$2:$A$2000,1,),"")&lt;&gt;""</f>
        <v>0</v>
      </c>
      <c r="E2024" t="s">
        <v>4867</v>
      </c>
      <c r="F2024" t="b">
        <v>1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4868</v>
      </c>
      <c r="B2025" t="s">
        <v>4869</v>
      </c>
      <c r="D2025" t="b">
        <f>IFERROR(VLOOKUP(B2025,PatData!$A$2:$A$2000,1,),"")&lt;&gt;""</f>
        <v>0</v>
      </c>
      <c r="E2025" t="s">
        <v>4870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3539</v>
      </c>
      <c r="B2026" t="s">
        <v>5131</v>
      </c>
      <c r="D2026" t="b">
        <f>IFERROR(VLOOKUP(B2026,PatData!$A$2:$A$2000,1,),"")&lt;&gt;""</f>
        <v>0</v>
      </c>
      <c r="E2026" t="s">
        <v>5132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5133</v>
      </c>
      <c r="B2027" t="s">
        <v>5134</v>
      </c>
      <c r="D2027" t="b">
        <f>IFERROR(VLOOKUP(B2027,PatData!$A$2:$A$2000,1,),"")&lt;&gt;""</f>
        <v>0</v>
      </c>
      <c r="E2027" t="s">
        <v>5135</v>
      </c>
      <c r="F2027" t="b">
        <v>1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5136</v>
      </c>
      <c r="B2028" t="s">
        <v>5137</v>
      </c>
      <c r="D2028" t="b">
        <f>IFERROR(VLOOKUP(B2028,PatData!$A$2:$A$2000,1,),"")&lt;&gt;""</f>
        <v>0</v>
      </c>
      <c r="E2028" t="s">
        <v>5138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5139</v>
      </c>
      <c r="B2029" t="s">
        <v>5140</v>
      </c>
      <c r="D2029" t="b">
        <f>IFERROR(VLOOKUP(B2029,PatData!$A$2:$A$2000,1,),"")&lt;&gt;""</f>
        <v>0</v>
      </c>
      <c r="E2029" t="s">
        <v>5141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5142</v>
      </c>
      <c r="B2030" t="s">
        <v>5143</v>
      </c>
      <c r="D2030" t="b">
        <f>IFERROR(VLOOKUP(B2030,PatData!$A$2:$A$2000,1,),"")&lt;&gt;""</f>
        <v>0</v>
      </c>
      <c r="E2030" t="s">
        <v>5144</v>
      </c>
      <c r="F2030" t="b">
        <v>1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5145</v>
      </c>
      <c r="B2031" t="s">
        <v>5146</v>
      </c>
      <c r="D2031" t="b">
        <f>IFERROR(VLOOKUP(B2031,PatData!$A$2:$A$2000,1,),"")&lt;&gt;""</f>
        <v>0</v>
      </c>
      <c r="E2031" t="s">
        <v>5147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5295</v>
      </c>
      <c r="B2032" t="s">
        <v>1753</v>
      </c>
      <c r="D2032" t="b">
        <f>IFERROR(VLOOKUP(B2032,PatData!$A$2:$A$2000,1,),"")&lt;&gt;""</f>
        <v>0</v>
      </c>
      <c r="E2032" t="s">
        <v>1758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5148</v>
      </c>
      <c r="B2033" t="s">
        <v>5149</v>
      </c>
      <c r="D2033" t="b">
        <f>IFERROR(VLOOKUP(B2033,PatData!$A$2:$A$2000,1,),"")&lt;&gt;""</f>
        <v>0</v>
      </c>
      <c r="E2033" t="s">
        <v>5821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5820</v>
      </c>
      <c r="B2034" t="s">
        <v>1739</v>
      </c>
      <c r="D2034" t="b">
        <f>IFERROR(VLOOKUP(B2034,PatData!$A$2:$A$2000,1,),"")&lt;&gt;""</f>
        <v>0</v>
      </c>
      <c r="E2034">
        <v>42989.814062500001</v>
      </c>
      <c r="F2034" t="b">
        <v>0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6007</v>
      </c>
      <c r="B2035" t="s">
        <v>6008</v>
      </c>
      <c r="D2035" t="b">
        <f>IFERROR(VLOOKUP(B2035,PatData!$A$2:$A$2000,1,),"")&lt;&gt;""</f>
        <v>0</v>
      </c>
      <c r="E2035" t="s">
        <v>6009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6010</v>
      </c>
      <c r="B2036" t="s">
        <v>6011</v>
      </c>
      <c r="D2036" t="b">
        <f>IFERROR(VLOOKUP(B2036,PatData!$A$2:$A$2000,1,),"")&lt;&gt;""</f>
        <v>0</v>
      </c>
      <c r="E2036" t="s">
        <v>6012</v>
      </c>
      <c r="F2036" t="b">
        <v>1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6013</v>
      </c>
      <c r="B2037" t="s">
        <v>6014</v>
      </c>
      <c r="D2037" t="b">
        <f>IFERROR(VLOOKUP(B2037,PatData!$A$2:$A$2000,1,),"")&lt;&gt;""</f>
        <v>0</v>
      </c>
      <c r="E2037" t="s">
        <v>6015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6016</v>
      </c>
      <c r="B2038" t="s">
        <v>6017</v>
      </c>
      <c r="D2038" t="b">
        <f>IFERROR(VLOOKUP(B2038,PatData!$A$2:$A$2000,1,),"")&lt;&gt;""</f>
        <v>0</v>
      </c>
      <c r="E2038" t="s">
        <v>6018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6019</v>
      </c>
      <c r="B2039" t="s">
        <v>6020</v>
      </c>
      <c r="D2039" t="b">
        <f>IFERROR(VLOOKUP(B2039,PatData!$A$2:$A$2000,1,),"")&lt;&gt;""</f>
        <v>0</v>
      </c>
      <c r="E2039" t="s">
        <v>6021</v>
      </c>
      <c r="F2039" t="b">
        <v>1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6022</v>
      </c>
      <c r="B2040" t="s">
        <v>6023</v>
      </c>
      <c r="D2040" t="b">
        <f>IFERROR(VLOOKUP(B2040,PatData!$A$2:$A$2000,1,),"")&lt;&gt;""</f>
        <v>0</v>
      </c>
      <c r="E2040" t="s">
        <v>6024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6025</v>
      </c>
      <c r="B2041" t="s">
        <v>6026</v>
      </c>
      <c r="D2041" t="b">
        <f>IFERROR(VLOOKUP(B2041,PatData!$A$2:$A$2000,1,),"")&lt;&gt;""</f>
        <v>0</v>
      </c>
      <c r="E2041" t="s">
        <v>6027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6028</v>
      </c>
      <c r="B2042" t="s">
        <v>6029</v>
      </c>
      <c r="D2042" t="b">
        <f>IFERROR(VLOOKUP(B2042,PatData!$A$2:$A$2000,1,),"")&lt;&gt;""</f>
        <v>0</v>
      </c>
      <c r="E2042" t="s">
        <v>6030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6031</v>
      </c>
      <c r="B2043" t="s">
        <v>6032</v>
      </c>
      <c r="D2043" t="b">
        <f>IFERROR(VLOOKUP(B2043,PatData!$A$2:$A$2000,1,),"")&lt;&gt;""</f>
        <v>0</v>
      </c>
      <c r="E2043" t="s">
        <v>6033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6034</v>
      </c>
      <c r="B2044" t="s">
        <v>6035</v>
      </c>
      <c r="D2044" t="b">
        <f>IFERROR(VLOOKUP(B2044,PatData!$A$2:$A$2000,1,),"")&lt;&gt;""</f>
        <v>0</v>
      </c>
      <c r="E2044" t="s">
        <v>6036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6037</v>
      </c>
      <c r="B2045" t="s">
        <v>6038</v>
      </c>
      <c r="D2045" t="b">
        <f>IFERROR(VLOOKUP(B2045,PatData!$A$2:$A$2000,1,),"")&lt;&gt;""</f>
        <v>0</v>
      </c>
      <c r="E2045" t="s">
        <v>6039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6040</v>
      </c>
      <c r="B2046" t="s">
        <v>6041</v>
      </c>
      <c r="D2046" t="b">
        <f>IFERROR(VLOOKUP(B2046,PatData!$A$2:$A$2000,1,),"")&lt;&gt;""</f>
        <v>0</v>
      </c>
      <c r="E2046" t="s">
        <v>6042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6043</v>
      </c>
      <c r="B2047" t="s">
        <v>6044</v>
      </c>
      <c r="D2047" t="b">
        <f>IFERROR(VLOOKUP(B2047,PatData!$A$2:$A$2000,1,),"")&lt;&gt;""</f>
        <v>0</v>
      </c>
      <c r="E2047" t="s">
        <v>6045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6046</v>
      </c>
      <c r="B2048" t="s">
        <v>6047</v>
      </c>
      <c r="D2048" t="b">
        <f>IFERROR(VLOOKUP(B2048,PatData!$A$2:$A$2000,1,),"")&lt;&gt;""</f>
        <v>0</v>
      </c>
      <c r="E2048" t="s">
        <v>6048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6049</v>
      </c>
      <c r="B2049" t="s">
        <v>6050</v>
      </c>
      <c r="D2049" t="b">
        <f>IFERROR(VLOOKUP(B2049,PatData!$A$2:$A$2000,1,),"")&lt;&gt;""</f>
        <v>0</v>
      </c>
      <c r="E2049" t="s">
        <v>6051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6052</v>
      </c>
      <c r="B2050" t="s">
        <v>6053</v>
      </c>
      <c r="D2050" t="b">
        <f>IFERROR(VLOOKUP(B2050,PatData!$A$2:$A$2000,1,),"")&lt;&gt;""</f>
        <v>0</v>
      </c>
      <c r="E2050" t="s">
        <v>6054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6055</v>
      </c>
      <c r="B2051" t="s">
        <v>6056</v>
      </c>
      <c r="D2051" t="b">
        <f>IFERROR(VLOOKUP(B2051,PatData!$A$2:$A$2000,1,),"")&lt;&gt;""</f>
        <v>0</v>
      </c>
      <c r="E2051" t="s">
        <v>6057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6058</v>
      </c>
      <c r="B2052" t="s">
        <v>6059</v>
      </c>
      <c r="D2052" t="b">
        <f>IFERROR(VLOOKUP(B2052,PatData!$A$2:$A$2000,1,),"")&lt;&gt;""</f>
        <v>0</v>
      </c>
      <c r="E2052" t="s">
        <v>6060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6061</v>
      </c>
      <c r="B2053" t="s">
        <v>6062</v>
      </c>
      <c r="D2053" t="b">
        <f>IFERROR(VLOOKUP(B2053,PatData!$A$2:$A$2000,1,),"")&lt;&gt;""</f>
        <v>0</v>
      </c>
      <c r="E2053" t="s">
        <v>6063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6064</v>
      </c>
      <c r="B2054" t="s">
        <v>6065</v>
      </c>
      <c r="D2054" t="b">
        <f>IFERROR(VLOOKUP(B2054,PatData!$A$2:$A$2000,1,),"")&lt;&gt;""</f>
        <v>0</v>
      </c>
      <c r="E2054" t="s">
        <v>6066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6067</v>
      </c>
      <c r="B2055" t="s">
        <v>6068</v>
      </c>
      <c r="D2055" t="b">
        <f>IFERROR(VLOOKUP(B2055,PatData!$A$2:$A$2000,1,),"")&lt;&gt;""</f>
        <v>0</v>
      </c>
      <c r="E2055" t="s">
        <v>6069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6070</v>
      </c>
      <c r="B2056" t="s">
        <v>6071</v>
      </c>
      <c r="D2056" t="b">
        <f>IFERROR(VLOOKUP(B2056,PatData!$A$2:$A$2000,1,),"")&lt;&gt;""</f>
        <v>0</v>
      </c>
      <c r="E2056" t="s">
        <v>6072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6073</v>
      </c>
      <c r="B2057" t="s">
        <v>6074</v>
      </c>
      <c r="D2057" t="b">
        <f>IFERROR(VLOOKUP(B2057,PatData!$A$2:$A$2000,1,),"")&lt;&gt;""</f>
        <v>0</v>
      </c>
      <c r="E2057" t="s">
        <v>6075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6076</v>
      </c>
      <c r="B2058" t="s">
        <v>6077</v>
      </c>
      <c r="D2058" t="b">
        <f>IFERROR(VLOOKUP(B2058,PatData!$A$2:$A$2000,1,),"")&lt;&gt;""</f>
        <v>0</v>
      </c>
      <c r="E2058" t="s">
        <v>6078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6079</v>
      </c>
      <c r="B2059" t="s">
        <v>6080</v>
      </c>
      <c r="D2059" t="b">
        <f>IFERROR(VLOOKUP(B2059,PatData!$A$2:$A$2000,1,),"")&lt;&gt;""</f>
        <v>0</v>
      </c>
      <c r="E2059" t="s">
        <v>6081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6082</v>
      </c>
      <c r="B2060" t="s">
        <v>6083</v>
      </c>
      <c r="D2060" t="b">
        <f>IFERROR(VLOOKUP(B2060,PatData!$A$2:$A$2000,1,),"")&lt;&gt;""</f>
        <v>0</v>
      </c>
      <c r="E2060" t="s">
        <v>6084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6085</v>
      </c>
      <c r="B2061" t="s">
        <v>6086</v>
      </c>
      <c r="D2061" t="b">
        <f>IFERROR(VLOOKUP(B2061,PatData!$A$2:$A$2000,1,),"")&lt;&gt;""</f>
        <v>0</v>
      </c>
      <c r="E2061" t="s">
        <v>6087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6088</v>
      </c>
      <c r="B2062" t="s">
        <v>6089</v>
      </c>
      <c r="D2062" t="b">
        <f>IFERROR(VLOOKUP(B2062,PatData!$A$2:$A$2000,1,),"")&lt;&gt;""</f>
        <v>0</v>
      </c>
      <c r="E2062" t="s">
        <v>6090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6091</v>
      </c>
      <c r="B2063" t="s">
        <v>6092</v>
      </c>
      <c r="D2063" t="b">
        <f>IFERROR(VLOOKUP(B2063,PatData!$A$2:$A$2000,1,),"")&lt;&gt;""</f>
        <v>0</v>
      </c>
      <c r="E2063" t="s">
        <v>6093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6094</v>
      </c>
      <c r="B2064" t="s">
        <v>6095</v>
      </c>
      <c r="D2064" t="b">
        <f>IFERROR(VLOOKUP(B2064,PatData!$A$2:$A$2000,1,),"")&lt;&gt;""</f>
        <v>0</v>
      </c>
      <c r="E2064" t="s">
        <v>6096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1252</v>
      </c>
      <c r="B2065" t="s">
        <v>1750</v>
      </c>
      <c r="D2065" t="b">
        <f>IFERROR(VLOOKUP(B2065,PatData!$A$2:$A$2000,1,),"")&lt;&gt;""</f>
        <v>0</v>
      </c>
      <c r="E2065" t="s">
        <v>4827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1253</v>
      </c>
      <c r="B2066" t="s">
        <v>1751</v>
      </c>
      <c r="D2066" t="b">
        <f>IFERROR(VLOOKUP(B2066,PatData!$A$2:$A$2000,1,),"")&lt;&gt;""</f>
        <v>0</v>
      </c>
      <c r="E2066" t="s">
        <v>2832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1254</v>
      </c>
      <c r="B2067" t="s">
        <v>1752</v>
      </c>
      <c r="D2067" t="b">
        <f>IFERROR(VLOOKUP(B2067,PatData!$A$2:$A$2000,1,),"")&lt;&gt;""</f>
        <v>0</v>
      </c>
      <c r="E2067" t="s">
        <v>4828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947</v>
      </c>
      <c r="B2068" t="s">
        <v>1736</v>
      </c>
      <c r="D2068" t="b">
        <f>IFERROR(VLOOKUP(B2068,PatData!$A$2:$A$2000,1,),"")&lt;&gt;""</f>
        <v>0</v>
      </c>
      <c r="E2068" t="s">
        <v>2833</v>
      </c>
      <c r="F2068" t="b">
        <v>1</v>
      </c>
      <c r="G2068" t="b">
        <v>0</v>
      </c>
      <c r="H2068" t="b">
        <v>0</v>
      </c>
      <c r="I2068" t="b">
        <v>0</v>
      </c>
    </row>
    <row r="2069" spans="1:9" ht="140.25" hidden="1" x14ac:dyDescent="0.2">
      <c r="A2069" t="s">
        <v>948</v>
      </c>
      <c r="B2069" t="s">
        <v>1737</v>
      </c>
      <c r="D2069" t="b">
        <f>IFERROR(VLOOKUP(B2069,PatData!$A$2:$A$2000,1,),"")&lt;&gt;""</f>
        <v>0</v>
      </c>
      <c r="E2069" s="9" t="s">
        <v>2834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4383</v>
      </c>
      <c r="B2070" t="s">
        <v>1738</v>
      </c>
      <c r="D2070" t="b">
        <f>IFERROR(VLOOKUP(B2070,PatData!$A$2:$A$2000,1,),"")&lt;&gt;""</f>
        <v>0</v>
      </c>
      <c r="E2070" t="s">
        <v>4254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3180</v>
      </c>
      <c r="B2071" t="s">
        <v>3998</v>
      </c>
      <c r="D2071" t="b">
        <f>IFERROR(VLOOKUP(B2071,PatData!$A$2:$A$2000,1,),"")&lt;&gt;""</f>
        <v>0</v>
      </c>
      <c r="E2071">
        <v>0</v>
      </c>
      <c r="F2071" t="b">
        <v>0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5296</v>
      </c>
      <c r="B2072" t="s">
        <v>5297</v>
      </c>
      <c r="D2072" t="b">
        <f>IFERROR(VLOOKUP(B2072,PatData!$A$2:$A$2000,1,),"")&lt;&gt;""</f>
        <v>0</v>
      </c>
      <c r="E2072" t="s">
        <v>5298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3181</v>
      </c>
      <c r="B2073" t="s">
        <v>4384</v>
      </c>
      <c r="D2073" t="b">
        <f>IFERROR(VLOOKUP(B2073,PatData!$A$2:$A$2000,1,),"")&lt;&gt;""</f>
        <v>0</v>
      </c>
      <c r="E2073">
        <v>1</v>
      </c>
      <c r="F2073" t="b">
        <v>0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3182</v>
      </c>
      <c r="B2074" t="s">
        <v>4385</v>
      </c>
      <c r="D2074" t="b">
        <f>IFERROR(VLOOKUP(B2074,PatData!$A$2:$A$2000,1,),"")&lt;&gt;""</f>
        <v>0</v>
      </c>
      <c r="E2074">
        <v>1</v>
      </c>
      <c r="F2074" t="b">
        <v>0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4386</v>
      </c>
      <c r="B2075" t="s">
        <v>4387</v>
      </c>
      <c r="D2075" t="b">
        <f>IFERROR(VLOOKUP(B2075,PatData!$A$2:$A$2000,1,),"")&lt;&gt;""</f>
        <v>0</v>
      </c>
      <c r="E2075">
        <v>1</v>
      </c>
      <c r="F2075" t="b">
        <v>0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4388</v>
      </c>
      <c r="B2076" t="s">
        <v>4389</v>
      </c>
      <c r="D2076" t="b">
        <f>IFERROR(VLOOKUP(B2076,PatData!$A$2:$A$2000,1,),"")&lt;&gt;""</f>
        <v>0</v>
      </c>
      <c r="E2076">
        <v>1</v>
      </c>
      <c r="F2076" t="b">
        <v>0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4390</v>
      </c>
      <c r="B2077" t="s">
        <v>4391</v>
      </c>
      <c r="D2077" t="b">
        <f>IFERROR(VLOOKUP(B2077,PatData!$A$2:$A$2000,1,),"")&lt;&gt;""</f>
        <v>0</v>
      </c>
      <c r="E2077">
        <v>1</v>
      </c>
      <c r="F2077" t="b">
        <v>0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3183</v>
      </c>
      <c r="B2078" t="s">
        <v>4392</v>
      </c>
      <c r="D2078" t="b">
        <f>IFERROR(VLOOKUP(B2078,PatData!$A$2:$A$2000,1,),"")&lt;&gt;""</f>
        <v>0</v>
      </c>
      <c r="E2078">
        <v>1</v>
      </c>
      <c r="F2078" t="b">
        <v>0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4258</v>
      </c>
      <c r="B2079" t="s">
        <v>4393</v>
      </c>
      <c r="D2079" t="b">
        <f>IFERROR(VLOOKUP(B2079,PatData!$A$2:$A$2000,1,),"")&lt;&gt;""</f>
        <v>0</v>
      </c>
      <c r="E2079">
        <v>1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4394</v>
      </c>
      <c r="B2080" t="s">
        <v>4395</v>
      </c>
      <c r="D2080" t="b">
        <f>IFERROR(VLOOKUP(B2080,PatData!$A$2:$A$2000,1,),"")&lt;&gt;""</f>
        <v>0</v>
      </c>
      <c r="E2080">
        <v>1</v>
      </c>
      <c r="F2080" t="b">
        <v>0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4396</v>
      </c>
      <c r="B2081" t="s">
        <v>4397</v>
      </c>
      <c r="D2081" t="b">
        <f>IFERROR(VLOOKUP(B2081,PatData!$A$2:$A$2000,1,),"")&lt;&gt;""</f>
        <v>0</v>
      </c>
      <c r="E2081">
        <v>1</v>
      </c>
      <c r="F2081" t="b">
        <v>0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4398</v>
      </c>
      <c r="B2082" t="s">
        <v>4399</v>
      </c>
      <c r="D2082" t="b">
        <f>IFERROR(VLOOKUP(B2082,PatData!$A$2:$A$2000,1,),"")&lt;&gt;""</f>
        <v>0</v>
      </c>
      <c r="E2082">
        <v>1</v>
      </c>
      <c r="F2082" t="b">
        <v>0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3184</v>
      </c>
      <c r="B2083" t="s">
        <v>4400</v>
      </c>
      <c r="D2083" t="b">
        <f>IFERROR(VLOOKUP(B2083,PatData!$A$2:$A$2000,1,),"")&lt;&gt;""</f>
        <v>0</v>
      </c>
      <c r="E2083">
        <v>0</v>
      </c>
      <c r="F2083" t="b">
        <v>0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3185</v>
      </c>
      <c r="B2084" t="s">
        <v>4401</v>
      </c>
      <c r="D2084" t="b">
        <f>IFERROR(VLOOKUP(B2084,PatData!$A$2:$A$2000,1,),"")&lt;&gt;""</f>
        <v>0</v>
      </c>
      <c r="E2084">
        <v>0</v>
      </c>
      <c r="F2084" t="b">
        <v>0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4402</v>
      </c>
      <c r="B2085" t="s">
        <v>4403</v>
      </c>
      <c r="D2085" t="b">
        <f>IFERROR(VLOOKUP(B2085,PatData!$A$2:$A$2000,1,),"")&lt;&gt;""</f>
        <v>0</v>
      </c>
      <c r="E2085">
        <v>0</v>
      </c>
      <c r="F2085" t="b">
        <v>0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4404</v>
      </c>
      <c r="B2086" t="s">
        <v>4405</v>
      </c>
      <c r="D2086" t="b">
        <f>IFERROR(VLOOKUP(B2086,PatData!$A$2:$A$2000,1,),"")&lt;&gt;""</f>
        <v>0</v>
      </c>
      <c r="E2086">
        <v>0</v>
      </c>
      <c r="F2086" t="b">
        <v>0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4406</v>
      </c>
      <c r="B2087" t="s">
        <v>4407</v>
      </c>
      <c r="D2087" t="b">
        <f>IFERROR(VLOOKUP(B2087,PatData!$A$2:$A$2000,1,),"")&lt;&gt;""</f>
        <v>0</v>
      </c>
      <c r="E2087">
        <v>0</v>
      </c>
      <c r="F2087" t="b">
        <v>0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4408</v>
      </c>
      <c r="B2088" t="s">
        <v>4409</v>
      </c>
      <c r="D2088" t="b">
        <f>IFERROR(VLOOKUP(B2088,PatData!$A$2:$A$2000,1,),"")&lt;&gt;""</f>
        <v>0</v>
      </c>
      <c r="E2088">
        <v>0</v>
      </c>
      <c r="F2088" t="b">
        <v>0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4410</v>
      </c>
      <c r="B2089" t="s">
        <v>4411</v>
      </c>
      <c r="D2089" t="b">
        <f>IFERROR(VLOOKUP(B2089,PatData!$A$2:$A$2000,1,),"")&lt;&gt;""</f>
        <v>0</v>
      </c>
      <c r="E2089">
        <v>0</v>
      </c>
      <c r="F2089" t="b">
        <v>0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4412</v>
      </c>
      <c r="B2090" t="s">
        <v>4413</v>
      </c>
      <c r="D2090" t="b">
        <f>IFERROR(VLOOKUP(B2090,PatData!$A$2:$A$2000,1,),"")&lt;&gt;""</f>
        <v>0</v>
      </c>
      <c r="E2090">
        <v>0</v>
      </c>
      <c r="F2090" t="b">
        <v>0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4414</v>
      </c>
      <c r="B2091" t="s">
        <v>4415</v>
      </c>
      <c r="D2091" t="b">
        <f>IFERROR(VLOOKUP(B2091,PatData!$A$2:$A$2000,1,),"")&lt;&gt;""</f>
        <v>0</v>
      </c>
      <c r="E2091">
        <v>0</v>
      </c>
      <c r="F2091" t="b">
        <v>0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4416</v>
      </c>
      <c r="B2092" t="s">
        <v>4417</v>
      </c>
      <c r="D2092" t="b">
        <f>IFERROR(VLOOKUP(B2092,PatData!$A$2:$A$2000,1,),"")&lt;&gt;""</f>
        <v>0</v>
      </c>
      <c r="E2092">
        <v>0</v>
      </c>
      <c r="F2092" t="b">
        <v>0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4418</v>
      </c>
      <c r="B2093" t="s">
        <v>3999</v>
      </c>
      <c r="D2093" t="b">
        <f>IFERROR(VLOOKUP(B2093,PatData!$A$2:$A$2000,1,),"")&lt;&gt;""</f>
        <v>0</v>
      </c>
      <c r="E2093"/>
      <c r="F2093" t="b">
        <v>0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4419</v>
      </c>
      <c r="B2094" t="s">
        <v>4000</v>
      </c>
      <c r="D2094" t="b">
        <f>IFERROR(VLOOKUP(B2094,PatData!$A$2:$A$2000,1,),"")&lt;&gt;""</f>
        <v>0</v>
      </c>
      <c r="E2094"/>
      <c r="F2094" t="b">
        <v>0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3187</v>
      </c>
      <c r="B2095" t="s">
        <v>4420</v>
      </c>
      <c r="D2095" t="b">
        <f>IFERROR(VLOOKUP(B2095,PatData!$A$2:$A$2000,1,),"")&lt;&gt;""</f>
        <v>0</v>
      </c>
      <c r="E2095">
        <v>0</v>
      </c>
      <c r="F2095" t="b">
        <v>0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3188</v>
      </c>
      <c r="B2096" t="s">
        <v>4421</v>
      </c>
      <c r="D2096" t="b">
        <f>IFERROR(VLOOKUP(B2096,PatData!$A$2:$A$2000,1,),"")&lt;&gt;""</f>
        <v>0</v>
      </c>
      <c r="E2096">
        <v>0</v>
      </c>
      <c r="F2096" t="b">
        <v>0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4422</v>
      </c>
      <c r="B2097" t="s">
        <v>4423</v>
      </c>
      <c r="D2097" t="b">
        <f>IFERROR(VLOOKUP(B2097,PatData!$A$2:$A$2000,1,),"")&lt;&gt;""</f>
        <v>0</v>
      </c>
      <c r="E2097">
        <v>0</v>
      </c>
      <c r="F2097" t="b">
        <v>0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4424</v>
      </c>
      <c r="B2098" t="s">
        <v>4425</v>
      </c>
      <c r="D2098" t="b">
        <f>IFERROR(VLOOKUP(B2098,PatData!$A$2:$A$2000,1,),"")&lt;&gt;""</f>
        <v>0</v>
      </c>
      <c r="E2098">
        <v>0</v>
      </c>
      <c r="F2098" t="b">
        <v>0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4426</v>
      </c>
      <c r="B2099" t="s">
        <v>4427</v>
      </c>
      <c r="D2099" t="b">
        <f>IFERROR(VLOOKUP(B2099,PatData!$A$2:$A$2000,1,),"")&lt;&gt;""</f>
        <v>0</v>
      </c>
      <c r="E2099">
        <v>0</v>
      </c>
      <c r="F2099" t="b">
        <v>0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4428</v>
      </c>
      <c r="B2100" t="s">
        <v>4429</v>
      </c>
      <c r="D2100" t="b">
        <f>IFERROR(VLOOKUP(B2100,PatData!$A$2:$A$2000,1,),"")&lt;&gt;""</f>
        <v>0</v>
      </c>
      <c r="E2100">
        <v>0</v>
      </c>
      <c r="F2100" t="b">
        <v>0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4430</v>
      </c>
      <c r="B2101" t="s">
        <v>4431</v>
      </c>
      <c r="D2101" t="b">
        <f>IFERROR(VLOOKUP(B2101,PatData!$A$2:$A$2000,1,),"")&lt;&gt;""</f>
        <v>0</v>
      </c>
      <c r="E2101">
        <v>0</v>
      </c>
      <c r="F2101" t="b">
        <v>0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4432</v>
      </c>
      <c r="B2102" t="s">
        <v>4433</v>
      </c>
      <c r="D2102" t="b">
        <f>IFERROR(VLOOKUP(B2102,PatData!$A$2:$A$2000,1,),"")&lt;&gt;""</f>
        <v>0</v>
      </c>
      <c r="E2102">
        <v>0</v>
      </c>
      <c r="F2102" t="b">
        <v>0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4271</v>
      </c>
      <c r="B2103" t="s">
        <v>4434</v>
      </c>
      <c r="D2103" t="b">
        <f>IFERROR(VLOOKUP(B2103,PatData!$A$2:$A$2000,1,),"")&lt;&gt;""</f>
        <v>0</v>
      </c>
      <c r="E2103">
        <v>0</v>
      </c>
      <c r="F2103" t="b">
        <v>0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4270</v>
      </c>
      <c r="B2104" t="s">
        <v>4435</v>
      </c>
      <c r="D2104" t="b">
        <f>IFERROR(VLOOKUP(B2104,PatData!$A$2:$A$2000,1,),"")&lt;&gt;""</f>
        <v>0</v>
      </c>
      <c r="E2104">
        <v>0</v>
      </c>
      <c r="F2104" t="b">
        <v>0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3189</v>
      </c>
      <c r="B2105" t="s">
        <v>4001</v>
      </c>
      <c r="D2105" t="b">
        <f>IFERROR(VLOOKUP(B2105,PatData!$A$2:$A$2000,1,),"")&lt;&gt;""</f>
        <v>0</v>
      </c>
      <c r="E2105">
        <v>1</v>
      </c>
      <c r="F2105" t="b">
        <v>0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3190</v>
      </c>
      <c r="B2106" t="s">
        <v>4002</v>
      </c>
      <c r="D2106" t="b">
        <f>IFERROR(VLOOKUP(B2106,PatData!$A$2:$A$2000,1,),"")&lt;&gt;""</f>
        <v>0</v>
      </c>
      <c r="E2106">
        <v>1</v>
      </c>
      <c r="F2106" t="b">
        <v>0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3191</v>
      </c>
      <c r="B2107" t="s">
        <v>4003</v>
      </c>
      <c r="D2107" t="b">
        <f>IFERROR(VLOOKUP(B2107,PatData!$A$2:$A$2000,1,),"")&lt;&gt;""</f>
        <v>0</v>
      </c>
      <c r="E2107">
        <v>1</v>
      </c>
      <c r="F2107" t="b">
        <v>0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3192</v>
      </c>
      <c r="B2108" t="s">
        <v>4004</v>
      </c>
      <c r="D2108" t="b">
        <f>IFERROR(VLOOKUP(B2108,PatData!$A$2:$A$2000,1,),"")&lt;&gt;""</f>
        <v>0</v>
      </c>
      <c r="E2108">
        <v>1</v>
      </c>
      <c r="F2108" t="b">
        <v>0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3193</v>
      </c>
      <c r="B2109" t="s">
        <v>4005</v>
      </c>
      <c r="D2109" t="b">
        <f>IFERROR(VLOOKUP(B2109,PatData!$A$2:$A$2000,1,),"")&lt;&gt;""</f>
        <v>0</v>
      </c>
      <c r="E2109">
        <v>1</v>
      </c>
      <c r="F2109" t="b">
        <v>0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4436</v>
      </c>
      <c r="B2110" t="s">
        <v>4006</v>
      </c>
      <c r="D2110" t="b">
        <f>IFERROR(VLOOKUP(B2110,PatData!$A$2:$A$2000,1,),"")&lt;&gt;""</f>
        <v>0</v>
      </c>
      <c r="E2110">
        <v>1</v>
      </c>
      <c r="F2110" t="b">
        <v>0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4437</v>
      </c>
      <c r="B2111" t="s">
        <v>4007</v>
      </c>
      <c r="D2111" t="b">
        <f>IFERROR(VLOOKUP(B2111,PatData!$A$2:$A$2000,1,),"")&lt;&gt;""</f>
        <v>0</v>
      </c>
      <c r="E2111">
        <v>1</v>
      </c>
      <c r="F2111" t="b">
        <v>0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4438</v>
      </c>
      <c r="B2112" t="s">
        <v>4008</v>
      </c>
      <c r="D2112" t="b">
        <f>IFERROR(VLOOKUP(B2112,PatData!$A$2:$A$2000,1,),"")&lt;&gt;""</f>
        <v>0</v>
      </c>
      <c r="E2112">
        <v>1</v>
      </c>
      <c r="F2112" t="b">
        <v>0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4439</v>
      </c>
      <c r="B2113" t="s">
        <v>4009</v>
      </c>
      <c r="D2113" t="b">
        <f>IFERROR(VLOOKUP(B2113,PatData!$A$2:$A$2000,1,),"")&lt;&gt;""</f>
        <v>0</v>
      </c>
      <c r="E2113">
        <v>1</v>
      </c>
      <c r="F2113" t="b">
        <v>0</v>
      </c>
      <c r="G2113" t="b">
        <v>0</v>
      </c>
      <c r="H2113" t="b">
        <v>0</v>
      </c>
      <c r="I2113" t="b">
        <v>0</v>
      </c>
    </row>
    <row r="2114" spans="1:9" hidden="1" x14ac:dyDescent="0.2">
      <c r="A2114" t="s">
        <v>4440</v>
      </c>
      <c r="B2114" t="s">
        <v>4010</v>
      </c>
      <c r="D2114" t="b">
        <f>IFERROR(VLOOKUP(B2114,PatData!$A$2:$A$2000,1,),"")&lt;&gt;""</f>
        <v>0</v>
      </c>
      <c r="E2114">
        <v>1</v>
      </c>
      <c r="F2114" t="b">
        <v>0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4441</v>
      </c>
      <c r="B2115" t="s">
        <v>4011</v>
      </c>
      <c r="D2115" t="b">
        <f>IFERROR(VLOOKUP(B2115,PatData!$A$2:$A$2000,1,),"")&lt;&gt;""</f>
        <v>0</v>
      </c>
      <c r="E2115">
        <v>1</v>
      </c>
      <c r="F2115" t="b">
        <v>0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4442</v>
      </c>
      <c r="B2116" t="s">
        <v>4012</v>
      </c>
      <c r="D2116" t="b">
        <f>IFERROR(VLOOKUP(B2116,PatData!$A$2:$A$2000,1,),"")&lt;&gt;""</f>
        <v>0</v>
      </c>
      <c r="E2116">
        <v>1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4443</v>
      </c>
      <c r="B2117" t="s">
        <v>4444</v>
      </c>
      <c r="D2117" t="b">
        <f>IFERROR(VLOOKUP(B2117,PatData!$A$2:$A$2000,1,),"")&lt;&gt;""</f>
        <v>0</v>
      </c>
      <c r="E2117">
        <v>1</v>
      </c>
      <c r="F2117" t="b">
        <v>0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3196</v>
      </c>
      <c r="B2118" t="s">
        <v>4013</v>
      </c>
      <c r="D2118" t="b">
        <f>IFERROR(VLOOKUP(B2118,PatData!$A$2:$A$2000,1,),"")&lt;&gt;""</f>
        <v>0</v>
      </c>
      <c r="E2118">
        <v>0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3197</v>
      </c>
      <c r="B2119" t="s">
        <v>4014</v>
      </c>
      <c r="D2119" t="b">
        <f>IFERROR(VLOOKUP(B2119,PatData!$A$2:$A$2000,1,),"")&lt;&gt;""</f>
        <v>0</v>
      </c>
      <c r="E2119">
        <v>0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3198</v>
      </c>
      <c r="B2120" t="s">
        <v>4015</v>
      </c>
      <c r="D2120" t="b">
        <f>IFERROR(VLOOKUP(B2120,PatData!$A$2:$A$2000,1,),"")&lt;&gt;""</f>
        <v>0</v>
      </c>
      <c r="E2120">
        <v>0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3199</v>
      </c>
      <c r="B2121" t="s">
        <v>4016</v>
      </c>
      <c r="D2121" t="b">
        <f>IFERROR(VLOOKUP(B2121,PatData!$A$2:$A$2000,1,),"")&lt;&gt;""</f>
        <v>0</v>
      </c>
      <c r="E2121">
        <v>0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3200</v>
      </c>
      <c r="B2122" t="s">
        <v>4017</v>
      </c>
      <c r="D2122" t="b">
        <f>IFERROR(VLOOKUP(B2122,PatData!$A$2:$A$2000,1,),"")&lt;&gt;""</f>
        <v>0</v>
      </c>
      <c r="E2122">
        <v>0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4445</v>
      </c>
      <c r="B2123" t="s">
        <v>4018</v>
      </c>
      <c r="D2123" t="b">
        <f>IFERROR(VLOOKUP(B2123,PatData!$A$2:$A$2000,1,),"")&lt;&gt;""</f>
        <v>0</v>
      </c>
      <c r="E2123">
        <v>0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4446</v>
      </c>
      <c r="B2124" t="s">
        <v>4019</v>
      </c>
      <c r="D2124" t="b">
        <f>IFERROR(VLOOKUP(B2124,PatData!$A$2:$A$2000,1,),"")&lt;&gt;""</f>
        <v>0</v>
      </c>
      <c r="E2124">
        <v>0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4447</v>
      </c>
      <c r="B2125" t="s">
        <v>4020</v>
      </c>
      <c r="D2125" t="b">
        <f>IFERROR(VLOOKUP(B2125,PatData!$A$2:$A$2000,1,),"")&lt;&gt;""</f>
        <v>0</v>
      </c>
      <c r="E2125">
        <v>0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3201</v>
      </c>
      <c r="B2126" t="s">
        <v>4021</v>
      </c>
      <c r="D2126" t="b">
        <f>IFERROR(VLOOKUP(B2126,PatData!$A$2:$A$2000,1,),"")&lt;&gt;""</f>
        <v>0</v>
      </c>
      <c r="E2126">
        <v>0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4448</v>
      </c>
      <c r="B2127" t="s">
        <v>4022</v>
      </c>
      <c r="D2127" t="b">
        <f>IFERROR(VLOOKUP(B2127,PatData!$A$2:$A$2000,1,),"")&lt;&gt;""</f>
        <v>0</v>
      </c>
      <c r="E2127">
        <v>0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4449</v>
      </c>
      <c r="B2128" t="s">
        <v>4023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4450</v>
      </c>
      <c r="B2129" t="s">
        <v>4024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4451</v>
      </c>
      <c r="B2130" t="s">
        <v>4452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4263</v>
      </c>
      <c r="B2131" t="s">
        <v>4025</v>
      </c>
      <c r="D2131" t="b">
        <f>IFERROR(VLOOKUP(B2131,PatData!$A$2:$A$2000,1,),"")&lt;&gt;""</f>
        <v>0</v>
      </c>
      <c r="E2131" t="b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4264</v>
      </c>
      <c r="B2132" t="s">
        <v>4026</v>
      </c>
      <c r="D2132" t="b">
        <f>IFERROR(VLOOKUP(B2132,PatData!$A$2:$A$2000,1,),"")&lt;&gt;""</f>
        <v>0</v>
      </c>
      <c r="E2132" t="b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4265</v>
      </c>
      <c r="B2133" t="s">
        <v>4027</v>
      </c>
      <c r="D2133" t="b">
        <f>IFERROR(VLOOKUP(B2133,PatData!$A$2:$A$2000,1,),"")&lt;&gt;""</f>
        <v>0</v>
      </c>
      <c r="E2133" t="b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4266</v>
      </c>
      <c r="B2134" t="s">
        <v>4028</v>
      </c>
      <c r="D2134" t="b">
        <f>IFERROR(VLOOKUP(B2134,PatData!$A$2:$A$2000,1,),"")&lt;&gt;""</f>
        <v>0</v>
      </c>
      <c r="E2134" t="b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4267</v>
      </c>
      <c r="B2135" t="s">
        <v>4029</v>
      </c>
      <c r="D2135" t="b">
        <f>IFERROR(VLOOKUP(B2135,PatData!$A$2:$A$2000,1,),"")&lt;&gt;""</f>
        <v>0</v>
      </c>
      <c r="E2135" t="b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4268</v>
      </c>
      <c r="B2136" t="s">
        <v>4030</v>
      </c>
      <c r="D2136" t="b">
        <f>IFERROR(VLOOKUP(B2136,PatData!$A$2:$A$2000,1,),"")&lt;&gt;""</f>
        <v>0</v>
      </c>
      <c r="E2136" t="b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4453</v>
      </c>
      <c r="B2137" t="s">
        <v>4031</v>
      </c>
      <c r="D2137" t="b">
        <f>IFERROR(VLOOKUP(B2137,PatData!$A$2:$A$2000,1,),"")&lt;&gt;""</f>
        <v>0</v>
      </c>
      <c r="E2137" t="b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4454</v>
      </c>
      <c r="B2138" t="s">
        <v>4032</v>
      </c>
      <c r="D2138" t="b">
        <f>IFERROR(VLOOKUP(B2138,PatData!$A$2:$A$2000,1,),"")&lt;&gt;""</f>
        <v>0</v>
      </c>
      <c r="E2138" t="b">
        <v>0</v>
      </c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4455</v>
      </c>
      <c r="B2139" t="s">
        <v>4033</v>
      </c>
      <c r="D2139" t="b">
        <f>IFERROR(VLOOKUP(B2139,PatData!$A$2:$A$2000,1,),"")&lt;&gt;""</f>
        <v>0</v>
      </c>
      <c r="E2139" t="b">
        <v>0</v>
      </c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4456</v>
      </c>
      <c r="B2140" t="s">
        <v>4034</v>
      </c>
      <c r="D2140" t="b">
        <f>IFERROR(VLOOKUP(B2140,PatData!$A$2:$A$2000,1,),"")&lt;&gt;""</f>
        <v>0</v>
      </c>
      <c r="E2140" t="b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4457</v>
      </c>
      <c r="B2141" t="s">
        <v>4035</v>
      </c>
      <c r="D2141" t="b">
        <f>IFERROR(VLOOKUP(B2141,PatData!$A$2:$A$2000,1,),"")&lt;&gt;""</f>
        <v>0</v>
      </c>
      <c r="E2141" t="b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4458</v>
      </c>
      <c r="B2142" t="s">
        <v>4036</v>
      </c>
      <c r="D2142" t="b">
        <f>IFERROR(VLOOKUP(B2142,PatData!$A$2:$A$2000,1,),"")&lt;&gt;""</f>
        <v>0</v>
      </c>
      <c r="E2142" t="b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4459</v>
      </c>
      <c r="B2143" t="s">
        <v>4037</v>
      </c>
      <c r="D2143" t="b">
        <f>IFERROR(VLOOKUP(B2143,PatData!$A$2:$A$2000,1,),"")&lt;&gt;""</f>
        <v>0</v>
      </c>
      <c r="E2143" t="b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4460</v>
      </c>
      <c r="B2144" t="s">
        <v>4038</v>
      </c>
      <c r="D2144" t="b">
        <f>IFERROR(VLOOKUP(B2144,PatData!$A$2:$A$2000,1,),"")&lt;&gt;""</f>
        <v>0</v>
      </c>
      <c r="E2144" t="b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4504</v>
      </c>
      <c r="B2145" t="s">
        <v>4505</v>
      </c>
      <c r="D2145" t="b">
        <f>IFERROR(VLOOKUP(B2145,PatData!$A$2:$A$2000,1,),"")&lt;&gt;""</f>
        <v>0</v>
      </c>
      <c r="E2145">
        <v>2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4461</v>
      </c>
      <c r="B2146" t="s">
        <v>4039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4462</v>
      </c>
      <c r="B2147" t="s">
        <v>4040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4975</v>
      </c>
      <c r="B2148" t="s">
        <v>4041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4976</v>
      </c>
      <c r="B2149" t="s">
        <v>4042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4463</v>
      </c>
      <c r="B2150" t="s">
        <v>4043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4464</v>
      </c>
      <c r="B2151" t="s">
        <v>4044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4465</v>
      </c>
      <c r="B2152" t="s">
        <v>4045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4466</v>
      </c>
      <c r="B2153" t="s">
        <v>4046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4467</v>
      </c>
      <c r="B2154" t="s">
        <v>4047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4259</v>
      </c>
      <c r="B2155" t="s">
        <v>4048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4260</v>
      </c>
      <c r="B2156" t="s">
        <v>4049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4261</v>
      </c>
      <c r="B2157" t="s">
        <v>4050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4262</v>
      </c>
      <c r="B2158" t="s">
        <v>4051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4468</v>
      </c>
      <c r="B2159" t="s">
        <v>4052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4272</v>
      </c>
      <c r="B2160" t="s">
        <v>4053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4255</v>
      </c>
      <c r="B2161" t="s">
        <v>4054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4469</v>
      </c>
      <c r="B2162" t="s">
        <v>4055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4256</v>
      </c>
      <c r="B2163" t="s">
        <v>4056</v>
      </c>
      <c r="D2163" t="b">
        <f>IFERROR(VLOOKUP(B2163,PatData!$A$2:$A$2000,1,),"")&lt;&gt;""</f>
        <v>0</v>
      </c>
      <c r="E2163">
        <v>1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3194</v>
      </c>
      <c r="B2164" t="s">
        <v>4057</v>
      </c>
      <c r="D2164" t="b">
        <f>IFERROR(VLOOKUP(B2164,PatData!$A$2:$A$2000,1,),"")&lt;&gt;""</f>
        <v>0</v>
      </c>
      <c r="E2164">
        <v>1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3178</v>
      </c>
      <c r="B2165" t="s">
        <v>4058</v>
      </c>
      <c r="D2165" t="b">
        <f>IFERROR(VLOOKUP(B2165,PatData!$A$2:$A$2000,1,),"")&lt;&gt;""</f>
        <v>0</v>
      </c>
      <c r="E2165">
        <v>1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4257</v>
      </c>
      <c r="B2166" t="s">
        <v>4059</v>
      </c>
      <c r="D2166" t="b">
        <f>IFERROR(VLOOKUP(B2166,PatData!$A$2:$A$2000,1,),"")&lt;&gt;""</f>
        <v>0</v>
      </c>
      <c r="E2166">
        <v>1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4470</v>
      </c>
      <c r="B2167" t="s">
        <v>4060</v>
      </c>
      <c r="D2167" t="b">
        <f>IFERROR(VLOOKUP(B2167,PatData!$A$2:$A$2000,1,),"")&lt;&gt;""</f>
        <v>0</v>
      </c>
      <c r="E2167">
        <v>1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4471</v>
      </c>
      <c r="B2168" t="s">
        <v>4061</v>
      </c>
      <c r="D2168" t="b">
        <f>IFERROR(VLOOKUP(B2168,PatData!$A$2:$A$2000,1,),"")&lt;&gt;""</f>
        <v>0</v>
      </c>
      <c r="E2168">
        <v>5000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3195</v>
      </c>
      <c r="B2169" t="s">
        <v>4062</v>
      </c>
      <c r="D2169" t="b">
        <f>IFERROR(VLOOKUP(B2169,PatData!$A$2:$A$2000,1,),"")&lt;&gt;""</f>
        <v>0</v>
      </c>
      <c r="E2169">
        <v>1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4472</v>
      </c>
      <c r="B2170" t="s">
        <v>4063</v>
      </c>
      <c r="D2170" t="b">
        <f>IFERROR(VLOOKUP(B2170,PatData!$A$2:$A$2000,1,),"")&lt;&gt;""</f>
        <v>0</v>
      </c>
      <c r="E2170">
        <v>2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4473</v>
      </c>
      <c r="B2171" t="s">
        <v>4064</v>
      </c>
      <c r="D2171" t="b">
        <f>IFERROR(VLOOKUP(B2171,PatData!$A$2:$A$2000,1,),"")&lt;&gt;""</f>
        <v>0</v>
      </c>
      <c r="E2171">
        <v>2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4269</v>
      </c>
      <c r="B2172" t="s">
        <v>4065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3186</v>
      </c>
      <c r="B2173" t="s">
        <v>4066</v>
      </c>
      <c r="D2173" t="b">
        <f>IFERROR(VLOOKUP(B2173,PatData!$A$2:$A$2000,1,),"")&lt;&gt;""</f>
        <v>0</v>
      </c>
      <c r="E2173">
        <v>5000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4474</v>
      </c>
      <c r="B2174" t="s">
        <v>4067</v>
      </c>
      <c r="D2174" t="b">
        <f>IFERROR(VLOOKUP(B2174,PatData!$A$2:$A$2000,1,),"")&lt;&gt;""</f>
        <v>0</v>
      </c>
      <c r="E2174">
        <v>1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4475</v>
      </c>
      <c r="B2175" t="s">
        <v>4068</v>
      </c>
      <c r="D2175" t="b">
        <f>IFERROR(VLOOKUP(B2175,PatData!$A$2:$A$2000,1,),"")&lt;&gt;""</f>
        <v>0</v>
      </c>
      <c r="E2175">
        <v>5000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4476</v>
      </c>
      <c r="B2176" t="s">
        <v>4069</v>
      </c>
      <c r="D2176" t="b">
        <f>IFERROR(VLOOKUP(B2176,PatData!$A$2:$A$2000,1,),"")&lt;&gt;""</f>
        <v>0</v>
      </c>
      <c r="E2176">
        <v>5000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4477</v>
      </c>
      <c r="B2177" t="s">
        <v>4740</v>
      </c>
      <c r="D2177" t="b">
        <f>IFERROR(VLOOKUP(B2177,PatData!$A$2:$A$2000,1,),"")&lt;&gt;""</f>
        <v>0</v>
      </c>
      <c r="E2177">
        <v>5000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4478</v>
      </c>
      <c r="B2178" t="s">
        <v>4071</v>
      </c>
      <c r="D2178" t="b">
        <f>IFERROR(VLOOKUP(B2178,PatData!$A$2:$A$2000,1,),"")&lt;&gt;""</f>
        <v>0</v>
      </c>
      <c r="E2178">
        <v>5000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3179</v>
      </c>
      <c r="B2179" t="s">
        <v>4072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4479</v>
      </c>
      <c r="B2180" t="s">
        <v>4073</v>
      </c>
      <c r="D2180" t="b">
        <f>IFERROR(VLOOKUP(B2180,PatData!$A$2:$A$2000,1,),"")&lt;&gt;""</f>
        <v>0</v>
      </c>
      <c r="E2180">
        <v>5000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4480</v>
      </c>
      <c r="B2181" t="s">
        <v>4741</v>
      </c>
      <c r="D2181" t="b">
        <f>IFERROR(VLOOKUP(B2181,PatData!$A$2:$A$2000,1,),"")&lt;&gt;""</f>
        <v>0</v>
      </c>
      <c r="E2181">
        <v>5000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4481</v>
      </c>
      <c r="B2182" t="s">
        <v>4075</v>
      </c>
      <c r="D2182" t="b">
        <f>IFERROR(VLOOKUP(B2182,PatData!$A$2:$A$2000,1,),"")&lt;&gt;""</f>
        <v>0</v>
      </c>
      <c r="E2182">
        <v>5000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4511</v>
      </c>
      <c r="B2183" t="s">
        <v>4512</v>
      </c>
      <c r="D2183" t="b">
        <f>IFERROR(VLOOKUP(B2183,PatData!$A$2:$A$2000,1,),"")&lt;&gt;""</f>
        <v>0</v>
      </c>
      <c r="E2183" t="s">
        <v>4513</v>
      </c>
      <c r="F2183" t="b">
        <v>1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4514</v>
      </c>
      <c r="B2184" t="s">
        <v>4515</v>
      </c>
      <c r="D2184" t="b">
        <f>IFERROR(VLOOKUP(B2184,PatData!$A$2:$A$2000,1,),"")&lt;&gt;""</f>
        <v>0</v>
      </c>
      <c r="E2184" t="s">
        <v>4516</v>
      </c>
      <c r="F2184" t="b">
        <v>1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4482</v>
      </c>
      <c r="B2185" t="s">
        <v>1741</v>
      </c>
      <c r="D2185" t="b">
        <f>IFERROR(VLOOKUP(B2185,PatData!$A$2:$A$2000,1,),"")&lt;&gt;""</f>
        <v>0</v>
      </c>
      <c r="E2185" t="s">
        <v>4765</v>
      </c>
      <c r="F2185" t="b">
        <v>1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4483</v>
      </c>
      <c r="B2186" t="s">
        <v>1742</v>
      </c>
      <c r="D2186" t="b">
        <f>IFERROR(VLOOKUP(B2186,PatData!$A$2:$A$2000,1,),"")&lt;&gt;""</f>
        <v>0</v>
      </c>
      <c r="E2186" t="s">
        <v>4766</v>
      </c>
      <c r="F2186" t="b">
        <v>1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4484</v>
      </c>
      <c r="B2187" t="s">
        <v>1743</v>
      </c>
      <c r="D2187" t="b">
        <f>IFERROR(VLOOKUP(B2187,PatData!$A$2:$A$2000,1,),"")&lt;&gt;""</f>
        <v>0</v>
      </c>
      <c r="E2187" t="s">
        <v>4767</v>
      </c>
      <c r="F2187" t="b">
        <v>1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4485</v>
      </c>
      <c r="B2188" t="s">
        <v>1744</v>
      </c>
      <c r="D2188" t="b">
        <f>IFERROR(VLOOKUP(B2188,PatData!$A$2:$A$2000,1,),"")&lt;&gt;""</f>
        <v>0</v>
      </c>
      <c r="E2188" t="s">
        <v>4768</v>
      </c>
      <c r="F2188" t="b">
        <v>1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4486</v>
      </c>
      <c r="B2189" t="s">
        <v>1745</v>
      </c>
      <c r="D2189" t="b">
        <f>IFERROR(VLOOKUP(B2189,PatData!$A$2:$A$2000,1,),"")&lt;&gt;""</f>
        <v>0</v>
      </c>
      <c r="E2189" t="s">
        <v>4769</v>
      </c>
      <c r="F2189" t="b">
        <v>1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4487</v>
      </c>
      <c r="B2190" t="s">
        <v>1746</v>
      </c>
      <c r="D2190" t="b">
        <f>IFERROR(VLOOKUP(B2190,PatData!$A$2:$A$2000,1,),"")&lt;&gt;""</f>
        <v>0</v>
      </c>
      <c r="E2190" t="s">
        <v>4770</v>
      </c>
      <c r="F2190" t="b">
        <v>1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4488</v>
      </c>
      <c r="B2191" t="s">
        <v>1747</v>
      </c>
      <c r="D2191" t="b">
        <f>IFERROR(VLOOKUP(B2191,PatData!$A$2:$A$2000,1,),"")&lt;&gt;""</f>
        <v>0</v>
      </c>
      <c r="E2191" t="s">
        <v>4771</v>
      </c>
      <c r="F2191" t="b">
        <v>1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4489</v>
      </c>
      <c r="B2192" t="s">
        <v>1748</v>
      </c>
      <c r="D2192" t="b">
        <f>IFERROR(VLOOKUP(B2192,PatData!$A$2:$A$2000,1,),"")&lt;&gt;""</f>
        <v>0</v>
      </c>
      <c r="E2192" t="s">
        <v>4772</v>
      </c>
      <c r="F2192" t="b">
        <v>1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4490</v>
      </c>
      <c r="B2193" t="s">
        <v>1749</v>
      </c>
      <c r="D2193" t="b">
        <f>IFERROR(VLOOKUP(B2193,PatData!$A$2:$A$2000,1,),"")&lt;&gt;""</f>
        <v>0</v>
      </c>
      <c r="E2193" t="s">
        <v>4773</v>
      </c>
      <c r="F2193" t="b">
        <v>1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4506</v>
      </c>
      <c r="B2194" t="s">
        <v>4507</v>
      </c>
      <c r="D2194" t="b">
        <f>IFERROR(VLOOKUP(B2194,PatData!$A$2:$A$2000,1,),"")&lt;&gt;""</f>
        <v>0</v>
      </c>
      <c r="E2194">
        <v>1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5299</v>
      </c>
      <c r="B2195" t="s">
        <v>5164</v>
      </c>
      <c r="D2195" t="b">
        <f>IFERROR(VLOOKUP(B2195,PatData!$A$2:$A$2000,1,),"")&lt;&gt;""</f>
        <v>0</v>
      </c>
      <c r="E2195">
        <v>10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4517</v>
      </c>
      <c r="B2196" t="s">
        <v>4518</v>
      </c>
      <c r="D2196" t="b">
        <f>IFERROR(VLOOKUP(B2196,PatData!$A$2:$A$2000,1,),"")&lt;&gt;""</f>
        <v>0</v>
      </c>
      <c r="E2196" t="s">
        <v>4516</v>
      </c>
      <c r="F2196" t="b">
        <v>1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4728</v>
      </c>
      <c r="B2197" t="s">
        <v>1740</v>
      </c>
      <c r="D2197" t="b">
        <f>IFERROR(VLOOKUP(B2197,PatData!$A$2:$A$2000,1,),"")&lt;&gt;""</f>
        <v>0</v>
      </c>
      <c r="E2197" t="s">
        <v>4729</v>
      </c>
      <c r="F2197" t="b">
        <v>1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949</v>
      </c>
      <c r="B2198" t="s">
        <v>934</v>
      </c>
      <c r="D2198" t="b">
        <f>IFERROR(VLOOKUP(B2198,PatData!$A$2:$A$2000,1,),"")&lt;&gt;""</f>
        <v>0</v>
      </c>
      <c r="E2198" t="s">
        <v>4729</v>
      </c>
      <c r="F2198" t="b">
        <v>1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4306</v>
      </c>
      <c r="B2199" t="s">
        <v>935</v>
      </c>
      <c r="D2199" t="b">
        <f>IFERROR(VLOOKUP(B2199,PatData!$A$2:$A$2000,1,),"")&lt;&gt;""</f>
        <v>0</v>
      </c>
      <c r="E2199" t="s">
        <v>4729</v>
      </c>
      <c r="F2199" t="b">
        <v>1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1539</v>
      </c>
      <c r="B2200" t="s">
        <v>936</v>
      </c>
      <c r="D2200" t="b">
        <f>IFERROR(VLOOKUP(B2200,PatData!$A$2:$A$2000,1,),"")&lt;&gt;""</f>
        <v>0</v>
      </c>
      <c r="E2200" t="s">
        <v>4729</v>
      </c>
      <c r="F2200" t="b">
        <v>1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5165</v>
      </c>
      <c r="B2201" t="s">
        <v>937</v>
      </c>
      <c r="D2201" t="b">
        <f>IFERROR(VLOOKUP(B2201,PatData!$A$2:$A$2000,1,),"")&lt;&gt;""</f>
        <v>0</v>
      </c>
      <c r="E2201" t="s">
        <v>4729</v>
      </c>
      <c r="F2201" t="b">
        <v>1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1540</v>
      </c>
      <c r="B2202" t="s">
        <v>938</v>
      </c>
      <c r="D2202" t="b">
        <f>IFERROR(VLOOKUP(B2202,PatData!$A$2:$A$2000,1,),"")&lt;&gt;""</f>
        <v>0</v>
      </c>
      <c r="E2202" t="s">
        <v>4729</v>
      </c>
      <c r="F2202" t="b">
        <v>1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5018</v>
      </c>
      <c r="B2203" t="s">
        <v>939</v>
      </c>
      <c r="D2203" t="b">
        <f>IFERROR(VLOOKUP(B2203,PatData!$A$2:$A$2000,1,),"")&lt;&gt;""</f>
        <v>0</v>
      </c>
      <c r="E2203" t="s">
        <v>4729</v>
      </c>
      <c r="F2203" t="b">
        <v>1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5166</v>
      </c>
      <c r="B2204" t="s">
        <v>940</v>
      </c>
      <c r="D2204" t="b">
        <f>IFERROR(VLOOKUP(B2204,PatData!$A$2:$A$2000,1,),"")&lt;&gt;""</f>
        <v>0</v>
      </c>
      <c r="E2204" t="s">
        <v>4729</v>
      </c>
      <c r="F2204" t="b">
        <v>1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5020</v>
      </c>
      <c r="B2205" t="s">
        <v>941</v>
      </c>
      <c r="D2205" t="b">
        <f>IFERROR(VLOOKUP(B2205,PatData!$A$2:$A$2000,1,),"")&lt;&gt;""</f>
        <v>0</v>
      </c>
      <c r="E2205" t="s">
        <v>4729</v>
      </c>
      <c r="F2205" t="b">
        <v>1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5021</v>
      </c>
      <c r="B2206" t="s">
        <v>942</v>
      </c>
      <c r="D2206" t="b">
        <f>IFERROR(VLOOKUP(B2206,PatData!$A$2:$A$2000,1,),"")&lt;&gt;""</f>
        <v>0</v>
      </c>
      <c r="E2206" t="s">
        <v>4729</v>
      </c>
      <c r="F2206" t="b">
        <v>1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5167</v>
      </c>
      <c r="B2207" t="s">
        <v>943</v>
      </c>
      <c r="D2207" t="b">
        <f>IFERROR(VLOOKUP(B2207,PatData!$A$2:$A$2000,1,),"")&lt;&gt;""</f>
        <v>0</v>
      </c>
      <c r="E2207" t="s">
        <v>4729</v>
      </c>
      <c r="F2207" t="b">
        <v>1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5023</v>
      </c>
      <c r="B2208" t="s">
        <v>944</v>
      </c>
      <c r="D2208" t="b">
        <f>IFERROR(VLOOKUP(B2208,PatData!$A$2:$A$2000,1,),"")&lt;&gt;""</f>
        <v>0</v>
      </c>
      <c r="E2208" t="s">
        <v>4729</v>
      </c>
      <c r="F2208" t="b">
        <v>1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5024</v>
      </c>
      <c r="B2209" t="s">
        <v>945</v>
      </c>
      <c r="D2209" t="b">
        <f>IFERROR(VLOOKUP(B2209,PatData!$A$2:$A$2000,1,),"")&lt;&gt;""</f>
        <v>0</v>
      </c>
      <c r="E2209" t="s">
        <v>4729</v>
      </c>
      <c r="F2209" t="b">
        <v>1</v>
      </c>
      <c r="G2209" t="b">
        <v>0</v>
      </c>
      <c r="H2209" t="b">
        <v>0</v>
      </c>
      <c r="I2209" t="b">
        <v>0</v>
      </c>
    </row>
  </sheetData>
  <autoFilter ref="A1:I2209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4096</v>
      </c>
      <c r="B1" s="219" t="s">
        <v>4076</v>
      </c>
      <c r="C1" s="219" t="s">
        <v>4082</v>
      </c>
      <c r="E1" s="218" t="s">
        <v>262</v>
      </c>
      <c r="F1" s="218" t="s">
        <v>465</v>
      </c>
      <c r="J1" s="209" t="s">
        <v>4111</v>
      </c>
      <c r="K1" s="209"/>
      <c r="L1" s="209" t="s">
        <v>4112</v>
      </c>
      <c r="O1" s="209"/>
    </row>
    <row r="2" spans="1:16" ht="15" x14ac:dyDescent="0.25">
      <c r="A2" s="415" t="s">
        <v>178</v>
      </c>
      <c r="B2" s="218">
        <v>1</v>
      </c>
      <c r="C2" s="415" t="s">
        <v>4081</v>
      </c>
      <c r="K2" s="212" t="s">
        <v>4114</v>
      </c>
      <c r="L2" s="208" t="s">
        <v>121</v>
      </c>
      <c r="M2" s="208" t="s">
        <v>56</v>
      </c>
      <c r="N2" s="208" t="s">
        <v>122</v>
      </c>
      <c r="O2" s="209" t="s">
        <v>4083</v>
      </c>
      <c r="P2" s="208" t="s">
        <v>382</v>
      </c>
    </row>
    <row r="3" spans="1:16" ht="15" x14ac:dyDescent="0.25">
      <c r="A3" s="415" t="s">
        <v>147</v>
      </c>
      <c r="B3" s="218">
        <v>1</v>
      </c>
      <c r="C3" s="415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4110</v>
      </c>
      <c r="O3" s="209" t="s">
        <v>4110</v>
      </c>
      <c r="P3" s="209" t="s">
        <v>4110</v>
      </c>
    </row>
    <row r="4" spans="1:16" ht="15" x14ac:dyDescent="0.25">
      <c r="A4" s="415" t="s">
        <v>179</v>
      </c>
      <c r="B4" s="218">
        <v>1</v>
      </c>
      <c r="C4" s="415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4110</v>
      </c>
      <c r="M4" s="209" t="s">
        <v>4110</v>
      </c>
      <c r="N4" s="209" t="s">
        <v>4110</v>
      </c>
      <c r="O4">
        <v>1</v>
      </c>
      <c r="P4" s="209" t="s">
        <v>4110</v>
      </c>
    </row>
    <row r="5" spans="1:16" ht="15" x14ac:dyDescent="0.25">
      <c r="A5" s="415" t="s">
        <v>148</v>
      </c>
      <c r="B5" s="218">
        <v>1</v>
      </c>
      <c r="C5" s="415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4110</v>
      </c>
      <c r="O5" s="209" t="s">
        <v>4110</v>
      </c>
      <c r="P5" s="209" t="s">
        <v>4110</v>
      </c>
    </row>
    <row r="6" spans="1:16" ht="15" x14ac:dyDescent="0.25">
      <c r="A6" s="415" t="s">
        <v>173</v>
      </c>
      <c r="B6" s="417">
        <v>4.3478000000000003E-2</v>
      </c>
      <c r="C6" s="415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4110</v>
      </c>
      <c r="O6" s="209" t="s">
        <v>4110</v>
      </c>
      <c r="P6" s="209" t="s">
        <v>4110</v>
      </c>
    </row>
    <row r="7" spans="1:16" ht="15" x14ac:dyDescent="0.25">
      <c r="A7" s="415" t="s">
        <v>174</v>
      </c>
      <c r="B7" s="417">
        <v>2.5641000000000001E-2</v>
      </c>
      <c r="C7" s="415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4110</v>
      </c>
      <c r="O7" s="209" t="s">
        <v>4110</v>
      </c>
      <c r="P7" s="209" t="s">
        <v>4110</v>
      </c>
    </row>
    <row r="8" spans="1:16" ht="15" x14ac:dyDescent="0.25">
      <c r="A8" s="415" t="s">
        <v>175</v>
      </c>
      <c r="B8" s="417">
        <v>2.4899999999999999E-2</v>
      </c>
      <c r="C8" s="415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4110</v>
      </c>
      <c r="O8" s="209" t="s">
        <v>4110</v>
      </c>
      <c r="P8" s="209" t="s">
        <v>4110</v>
      </c>
    </row>
    <row r="9" spans="1:16" ht="15" x14ac:dyDescent="0.25">
      <c r="A9" s="415" t="s">
        <v>180</v>
      </c>
      <c r="B9" s="417">
        <v>3.2288999999999998E-2</v>
      </c>
      <c r="C9" s="415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4110</v>
      </c>
      <c r="O9" s="209" t="s">
        <v>4110</v>
      </c>
      <c r="P9" s="209" t="s">
        <v>4110</v>
      </c>
    </row>
    <row r="10" spans="1:16" ht="15" x14ac:dyDescent="0.25">
      <c r="A10" s="415" t="s">
        <v>176</v>
      </c>
      <c r="B10" s="417">
        <v>4.1140999999999997E-2</v>
      </c>
      <c r="C10" s="415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4110</v>
      </c>
      <c r="M10" s="209" t="s">
        <v>4110</v>
      </c>
      <c r="N10" s="209">
        <v>1</v>
      </c>
      <c r="O10" s="209" t="s">
        <v>4110</v>
      </c>
      <c r="P10" s="209" t="s">
        <v>4110</v>
      </c>
    </row>
    <row r="11" spans="1:16" ht="15" x14ac:dyDescent="0.25">
      <c r="A11" s="415" t="s">
        <v>741</v>
      </c>
      <c r="B11" s="417">
        <v>1.7899999999999999E-2</v>
      </c>
      <c r="C11" s="415" t="s">
        <v>382</v>
      </c>
      <c r="J11" t="s">
        <v>311</v>
      </c>
      <c r="K11" s="208">
        <v>10</v>
      </c>
      <c r="L11" s="209" t="s">
        <v>4110</v>
      </c>
      <c r="M11" s="209" t="s">
        <v>4110</v>
      </c>
      <c r="N11" s="209" t="s">
        <v>4110</v>
      </c>
      <c r="O11" s="209" t="s">
        <v>4110</v>
      </c>
      <c r="P11">
        <f>24</f>
        <v>24</v>
      </c>
    </row>
    <row r="12" spans="1:16" ht="15" x14ac:dyDescent="0.25">
      <c r="A12" s="415" t="s">
        <v>742</v>
      </c>
      <c r="B12" s="417">
        <v>40</v>
      </c>
      <c r="C12" s="415" t="s">
        <v>4083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4110</v>
      </c>
      <c r="O12" s="209" t="s">
        <v>4110</v>
      </c>
      <c r="P12" s="209" t="s">
        <v>4110</v>
      </c>
    </row>
    <row r="13" spans="1:16" ht="15" x14ac:dyDescent="0.25">
      <c r="A13" s="415" t="s">
        <v>466</v>
      </c>
      <c r="B13" s="417">
        <v>2.8205999999999998E-2</v>
      </c>
      <c r="C13" s="415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28" sqref="H28"/>
    </sheetView>
  </sheetViews>
  <sheetFormatPr defaultColWidth="9.140625" defaultRowHeight="12.75" x14ac:dyDescent="0.2"/>
  <cols>
    <col min="1" max="1" width="27.28515625" style="346" customWidth="1"/>
    <col min="2" max="10" width="9.140625" style="346"/>
    <col min="11" max="11" width="9.140625" style="346" customWidth="1"/>
    <col min="12" max="13" width="9.140625" style="346"/>
    <col min="14" max="14" width="54.5703125" style="346" customWidth="1"/>
    <col min="15" max="18" width="9.140625" style="346"/>
    <col min="19" max="19" width="29.85546875" style="346" customWidth="1"/>
    <col min="20" max="16384" width="9.140625" style="346"/>
  </cols>
  <sheetData>
    <row r="1" spans="1:21" x14ac:dyDescent="0.2">
      <c r="B1" s="347" t="s">
        <v>4084</v>
      </c>
    </row>
    <row r="2" spans="1:21" ht="15" x14ac:dyDescent="0.25">
      <c r="B2" s="446">
        <v>2</v>
      </c>
      <c r="C2" s="446">
        <v>3</v>
      </c>
      <c r="D2" s="446">
        <v>4</v>
      </c>
      <c r="E2" s="446">
        <v>5</v>
      </c>
      <c r="F2" s="446">
        <v>6</v>
      </c>
      <c r="G2" s="446">
        <v>7</v>
      </c>
      <c r="H2" s="446">
        <v>8</v>
      </c>
      <c r="I2" s="446">
        <v>9</v>
      </c>
      <c r="J2" s="446">
        <v>10</v>
      </c>
      <c r="K2" s="446">
        <v>11</v>
      </c>
      <c r="L2" s="446">
        <v>12</v>
      </c>
      <c r="M2" s="446">
        <v>13</v>
      </c>
      <c r="N2" s="628">
        <v>14</v>
      </c>
    </row>
    <row r="3" spans="1:21" ht="15" x14ac:dyDescent="0.25">
      <c r="B3" s="446" t="s">
        <v>178</v>
      </c>
      <c r="C3" s="446" t="s">
        <v>147</v>
      </c>
      <c r="D3" s="446" t="s">
        <v>179</v>
      </c>
      <c r="E3" s="446" t="s">
        <v>148</v>
      </c>
      <c r="F3" s="446" t="s">
        <v>173</v>
      </c>
      <c r="G3" s="446" t="s">
        <v>174</v>
      </c>
      <c r="H3" s="446" t="s">
        <v>175</v>
      </c>
      <c r="I3" s="446" t="s">
        <v>180</v>
      </c>
      <c r="J3" s="446" t="s">
        <v>176</v>
      </c>
      <c r="K3" s="446" t="s">
        <v>741</v>
      </c>
      <c r="L3" s="446" t="s">
        <v>742</v>
      </c>
      <c r="M3" s="446" t="s">
        <v>466</v>
      </c>
      <c r="N3" s="636" t="s">
        <v>4958</v>
      </c>
    </row>
    <row r="4" spans="1:21" ht="15" x14ac:dyDescent="0.25">
      <c r="A4" s="444" t="s">
        <v>4097</v>
      </c>
      <c r="B4" s="447" t="str">
        <f t="shared" ref="B4:M4" si="0">VLOOKUP(B3,Tbl_Glob_Conversie,3,FALSE)</f>
        <v>kcal</v>
      </c>
      <c r="C4" s="447" t="str">
        <f t="shared" si="0"/>
        <v>gram</v>
      </c>
      <c r="D4" s="447" t="str">
        <f t="shared" si="0"/>
        <v>gram</v>
      </c>
      <c r="E4" s="447" t="str">
        <f t="shared" si="0"/>
        <v>gram</v>
      </c>
      <c r="F4" s="447" t="str">
        <f t="shared" si="0"/>
        <v>mmol</v>
      </c>
      <c r="G4" s="447" t="str">
        <f t="shared" si="0"/>
        <v>mmol</v>
      </c>
      <c r="H4" s="447" t="str">
        <f t="shared" si="0"/>
        <v>mmol</v>
      </c>
      <c r="I4" s="447" t="str">
        <f t="shared" si="0"/>
        <v>mmol</v>
      </c>
      <c r="J4" s="447" t="str">
        <f t="shared" si="0"/>
        <v>mmol</v>
      </c>
      <c r="K4" s="447" t="str">
        <f t="shared" si="0"/>
        <v>mmol</v>
      </c>
      <c r="L4" s="447" t="str">
        <f t="shared" si="0"/>
        <v>IE</v>
      </c>
      <c r="M4" s="447" t="str">
        <f t="shared" si="0"/>
        <v>mmol</v>
      </c>
    </row>
    <row r="5" spans="1:21" x14ac:dyDescent="0.2">
      <c r="B5" s="802"/>
      <c r="C5" s="802"/>
      <c r="D5" s="802"/>
      <c r="E5" s="802"/>
      <c r="F5" s="802"/>
      <c r="G5" s="802"/>
      <c r="H5" s="802"/>
      <c r="I5" s="802"/>
      <c r="J5" s="802"/>
      <c r="K5" s="802"/>
      <c r="L5" s="802"/>
      <c r="M5" s="802"/>
      <c r="N5" s="802"/>
    </row>
    <row r="6" spans="1:21" x14ac:dyDescent="0.2">
      <c r="A6" s="346" t="s">
        <v>467</v>
      </c>
      <c r="B6" s="802">
        <f>D6*4</f>
        <v>0.2</v>
      </c>
      <c r="C6" s="802"/>
      <c r="D6" s="801">
        <v>0.05</v>
      </c>
      <c r="E6" s="802"/>
      <c r="F6" s="802"/>
      <c r="G6" s="802"/>
      <c r="H6" s="802"/>
      <c r="I6" s="802"/>
      <c r="J6" s="802"/>
      <c r="K6" s="802"/>
      <c r="L6" s="802"/>
      <c r="M6" s="802"/>
      <c r="N6" s="802" t="s">
        <v>4959</v>
      </c>
    </row>
    <row r="7" spans="1:21" x14ac:dyDescent="0.2">
      <c r="A7" s="346" t="s">
        <v>470</v>
      </c>
      <c r="B7" s="802">
        <f t="shared" ref="B7:B19" si="1">D7*4</f>
        <v>0.4</v>
      </c>
      <c r="C7" s="802"/>
      <c r="D7" s="801">
        <v>0.1</v>
      </c>
      <c r="E7" s="802"/>
      <c r="F7" s="802"/>
      <c r="G7" s="802"/>
      <c r="H7" s="802"/>
      <c r="I7" s="802"/>
      <c r="J7" s="802"/>
      <c r="K7" s="802"/>
      <c r="L7" s="802"/>
      <c r="M7" s="802"/>
      <c r="N7" s="802" t="s">
        <v>4960</v>
      </c>
    </row>
    <row r="8" spans="1:21" x14ac:dyDescent="0.2">
      <c r="A8" s="346" t="s">
        <v>4091</v>
      </c>
      <c r="B8" s="802">
        <f t="shared" si="1"/>
        <v>0.5</v>
      </c>
      <c r="C8" s="802"/>
      <c r="D8" s="802">
        <v>0.125</v>
      </c>
      <c r="E8" s="802"/>
      <c r="F8" s="802"/>
      <c r="G8" s="802"/>
      <c r="H8" s="802"/>
      <c r="I8" s="802"/>
      <c r="J8" s="802"/>
      <c r="K8" s="802"/>
      <c r="L8" s="802"/>
      <c r="M8" s="802"/>
      <c r="N8" s="802"/>
    </row>
    <row r="9" spans="1:21" x14ac:dyDescent="0.2">
      <c r="A9" s="346" t="s">
        <v>471</v>
      </c>
      <c r="B9" s="802">
        <f t="shared" si="1"/>
        <v>0.6</v>
      </c>
      <c r="C9" s="802"/>
      <c r="D9" s="802">
        <v>0.15</v>
      </c>
      <c r="E9" s="802"/>
      <c r="F9" s="802"/>
      <c r="G9" s="802"/>
      <c r="H9" s="802"/>
      <c r="I9" s="802"/>
      <c r="J9" s="802"/>
      <c r="K9" s="802"/>
      <c r="L9" s="802"/>
      <c r="M9" s="802"/>
      <c r="N9" s="802" t="s">
        <v>4961</v>
      </c>
    </row>
    <row r="10" spans="1:21" x14ac:dyDescent="0.2">
      <c r="A10" s="346" t="s">
        <v>4092</v>
      </c>
      <c r="B10" s="802">
        <f t="shared" si="1"/>
        <v>0.7</v>
      </c>
      <c r="C10" s="802"/>
      <c r="D10" s="802">
        <v>0.17499999999999999</v>
      </c>
      <c r="E10" s="802"/>
      <c r="F10" s="802"/>
      <c r="G10" s="802"/>
      <c r="H10" s="802"/>
      <c r="I10" s="802"/>
      <c r="J10" s="802"/>
      <c r="K10" s="802"/>
      <c r="L10" s="802"/>
      <c r="M10" s="802"/>
      <c r="N10" s="802"/>
      <c r="S10" s="430"/>
      <c r="T10" s="430"/>
      <c r="U10" s="430"/>
    </row>
    <row r="11" spans="1:21" x14ac:dyDescent="0.2">
      <c r="A11" s="346" t="s">
        <v>473</v>
      </c>
      <c r="B11" s="802">
        <f t="shared" si="1"/>
        <v>0.8</v>
      </c>
      <c r="C11" s="802"/>
      <c r="D11" s="801">
        <v>0.2</v>
      </c>
      <c r="E11" s="802"/>
      <c r="F11" s="802"/>
      <c r="G11" s="802"/>
      <c r="H11" s="802"/>
      <c r="I11" s="802"/>
      <c r="J11" s="802"/>
      <c r="K11" s="802"/>
      <c r="L11" s="802"/>
      <c r="M11" s="802"/>
      <c r="N11" s="802" t="s">
        <v>4962</v>
      </c>
      <c r="S11" s="430"/>
      <c r="U11" s="430"/>
    </row>
    <row r="12" spans="1:21" x14ac:dyDescent="0.2">
      <c r="A12" s="346" t="s">
        <v>474</v>
      </c>
      <c r="B12" s="802">
        <f t="shared" si="1"/>
        <v>1</v>
      </c>
      <c r="C12" s="802"/>
      <c r="D12" s="801">
        <v>0.25</v>
      </c>
      <c r="E12" s="802"/>
      <c r="F12" s="802"/>
      <c r="G12" s="802"/>
      <c r="H12" s="802"/>
      <c r="I12" s="802"/>
      <c r="J12" s="802"/>
      <c r="K12" s="802"/>
      <c r="L12" s="802"/>
      <c r="M12" s="802"/>
      <c r="N12" s="802" t="s">
        <v>4963</v>
      </c>
      <c r="S12" s="430"/>
      <c r="U12" s="430"/>
    </row>
    <row r="13" spans="1:21" x14ac:dyDescent="0.2">
      <c r="A13" s="430" t="s">
        <v>475</v>
      </c>
      <c r="B13" s="802">
        <f t="shared" si="1"/>
        <v>1.2</v>
      </c>
      <c r="C13" s="802"/>
      <c r="D13" s="801">
        <v>0.3</v>
      </c>
      <c r="E13" s="802"/>
      <c r="F13" s="802"/>
      <c r="G13" s="802"/>
      <c r="H13" s="802"/>
      <c r="I13" s="802"/>
      <c r="J13" s="802"/>
      <c r="K13" s="802"/>
      <c r="L13" s="802"/>
      <c r="M13" s="802"/>
      <c r="N13" s="802" t="s">
        <v>4964</v>
      </c>
      <c r="S13" s="430"/>
      <c r="T13" s="430"/>
      <c r="U13" s="430"/>
    </row>
    <row r="14" spans="1:21" x14ac:dyDescent="0.2">
      <c r="A14" s="347" t="s">
        <v>476</v>
      </c>
      <c r="B14" s="802">
        <f t="shared" si="1"/>
        <v>1.4</v>
      </c>
      <c r="C14" s="802"/>
      <c r="D14" s="801">
        <v>0.35</v>
      </c>
      <c r="E14" s="802"/>
      <c r="F14" s="802"/>
      <c r="G14" s="802"/>
      <c r="H14" s="802"/>
      <c r="I14" s="802"/>
      <c r="J14" s="802"/>
      <c r="K14" s="802"/>
      <c r="L14" s="802"/>
      <c r="M14" s="802"/>
      <c r="N14" s="802" t="s">
        <v>4965</v>
      </c>
      <c r="S14" s="430"/>
      <c r="U14" s="430"/>
    </row>
    <row r="15" spans="1:21" x14ac:dyDescent="0.2">
      <c r="A15" s="346" t="s">
        <v>477</v>
      </c>
      <c r="B15" s="802">
        <f t="shared" si="1"/>
        <v>1.6</v>
      </c>
      <c r="C15" s="802"/>
      <c r="D15" s="801">
        <v>0.4</v>
      </c>
      <c r="E15" s="802"/>
      <c r="F15" s="802"/>
      <c r="G15" s="802"/>
      <c r="H15" s="802"/>
      <c r="I15" s="802"/>
      <c r="J15" s="802"/>
      <c r="K15" s="802"/>
      <c r="L15" s="802"/>
      <c r="M15" s="802"/>
      <c r="N15" s="802" t="s">
        <v>4966</v>
      </c>
      <c r="S15" s="430"/>
      <c r="U15" s="430"/>
    </row>
    <row r="16" spans="1:21" x14ac:dyDescent="0.2">
      <c r="A16" s="430" t="s">
        <v>478</v>
      </c>
      <c r="B16" s="802">
        <f t="shared" si="1"/>
        <v>1.8</v>
      </c>
      <c r="C16" s="802"/>
      <c r="D16" s="801">
        <v>0.45</v>
      </c>
      <c r="E16" s="802"/>
      <c r="F16" s="802"/>
      <c r="G16" s="802"/>
      <c r="H16" s="802"/>
      <c r="I16" s="802"/>
      <c r="J16" s="802"/>
      <c r="K16" s="802"/>
      <c r="L16" s="802"/>
      <c r="M16" s="802"/>
      <c r="N16" s="802" t="s">
        <v>4967</v>
      </c>
      <c r="S16" s="430"/>
      <c r="U16" s="430"/>
    </row>
    <row r="17" spans="1:21" x14ac:dyDescent="0.2">
      <c r="A17" s="346" t="s">
        <v>479</v>
      </c>
      <c r="B17" s="802">
        <f t="shared" si="1"/>
        <v>2</v>
      </c>
      <c r="C17" s="802"/>
      <c r="D17" s="801">
        <v>0.5</v>
      </c>
      <c r="E17" s="802"/>
      <c r="F17" s="802"/>
      <c r="G17" s="802"/>
      <c r="H17" s="802"/>
      <c r="I17" s="802"/>
      <c r="J17" s="802"/>
      <c r="K17" s="802"/>
      <c r="L17" s="802"/>
      <c r="M17" s="802"/>
      <c r="N17" s="802" t="s">
        <v>4968</v>
      </c>
      <c r="S17" s="430"/>
      <c r="U17" s="430"/>
    </row>
    <row r="18" spans="1:21" x14ac:dyDescent="0.2">
      <c r="A18" s="346" t="s">
        <v>4093</v>
      </c>
      <c r="B18" s="802">
        <f t="shared" si="1"/>
        <v>0.2</v>
      </c>
      <c r="C18" s="802"/>
      <c r="D18" s="802">
        <v>0.05</v>
      </c>
      <c r="E18" s="802"/>
      <c r="F18" s="802">
        <v>7.6999999999999999E-2</v>
      </c>
      <c r="G18" s="802"/>
      <c r="H18" s="802"/>
      <c r="I18" s="802"/>
      <c r="J18" s="802"/>
      <c r="K18" s="802"/>
      <c r="L18" s="802"/>
      <c r="M18" s="802">
        <f>F18</f>
        <v>7.6999999999999999E-2</v>
      </c>
      <c r="N18" s="802"/>
      <c r="S18" s="430"/>
      <c r="U18" s="430"/>
    </row>
    <row r="19" spans="1:21" x14ac:dyDescent="0.2">
      <c r="A19" s="346" t="s">
        <v>4094</v>
      </c>
      <c r="B19" s="802">
        <f t="shared" si="1"/>
        <v>0.2</v>
      </c>
      <c r="C19" s="802"/>
      <c r="D19" s="802">
        <v>0.05</v>
      </c>
      <c r="E19" s="802"/>
      <c r="F19" s="802">
        <v>0.155</v>
      </c>
      <c r="G19" s="802"/>
      <c r="H19" s="802"/>
      <c r="I19" s="802"/>
      <c r="J19" s="802"/>
      <c r="K19" s="802"/>
      <c r="L19" s="802"/>
      <c r="M19" s="802">
        <f t="shared" ref="M19:M21" si="2">F19</f>
        <v>0.155</v>
      </c>
      <c r="N19" s="802"/>
      <c r="S19" s="430"/>
      <c r="U19" s="430"/>
    </row>
    <row r="20" spans="1:21" x14ac:dyDescent="0.2">
      <c r="A20" s="445" t="s">
        <v>4278</v>
      </c>
      <c r="B20" s="802"/>
      <c r="C20" s="802"/>
      <c r="D20" s="802"/>
      <c r="E20" s="802"/>
      <c r="F20" s="802">
        <f>F21/2</f>
        <v>7.7499999999999999E-2</v>
      </c>
      <c r="G20" s="802"/>
      <c r="H20" s="802"/>
      <c r="I20" s="802"/>
      <c r="J20" s="802"/>
      <c r="K20" s="802"/>
      <c r="L20" s="802"/>
      <c r="M20" s="802">
        <f t="shared" si="2"/>
        <v>7.7499999999999999E-2</v>
      </c>
      <c r="N20" s="802"/>
      <c r="S20" s="430"/>
      <c r="U20" s="430"/>
    </row>
    <row r="21" spans="1:21" x14ac:dyDescent="0.2">
      <c r="A21" s="346" t="s">
        <v>239</v>
      </c>
      <c r="B21" s="802"/>
      <c r="C21" s="802"/>
      <c r="D21" s="802"/>
      <c r="E21" s="802"/>
      <c r="F21" s="802">
        <v>0.155</v>
      </c>
      <c r="G21" s="802"/>
      <c r="H21" s="802"/>
      <c r="I21" s="802"/>
      <c r="J21" s="802"/>
      <c r="K21" s="802"/>
      <c r="L21" s="802"/>
      <c r="M21" s="802">
        <f t="shared" si="2"/>
        <v>0.155</v>
      </c>
      <c r="N21" s="802" t="s">
        <v>4969</v>
      </c>
      <c r="S21" s="430"/>
      <c r="U21" s="430"/>
    </row>
    <row r="22" spans="1:21" x14ac:dyDescent="0.2">
      <c r="A22" s="346" t="s">
        <v>360</v>
      </c>
      <c r="B22" s="802"/>
      <c r="C22" s="802"/>
      <c r="D22" s="802"/>
      <c r="E22" s="802"/>
      <c r="F22" s="802">
        <v>0.13100000000000001</v>
      </c>
      <c r="G22" s="802">
        <v>5.4000000000000003E-3</v>
      </c>
      <c r="H22" s="802"/>
      <c r="I22" s="802"/>
      <c r="J22" s="802"/>
      <c r="K22" s="802"/>
      <c r="L22" s="802"/>
      <c r="M22" s="802">
        <v>0.109</v>
      </c>
      <c r="N22" s="802"/>
      <c r="S22" s="430"/>
      <c r="T22" s="430"/>
      <c r="U22" s="430"/>
    </row>
    <row r="23" spans="1:21" x14ac:dyDescent="0.2">
      <c r="A23" s="430" t="s">
        <v>480</v>
      </c>
      <c r="B23" s="802"/>
      <c r="C23" s="802"/>
      <c r="D23" s="802"/>
      <c r="E23" s="802"/>
      <c r="F23" s="801">
        <v>0.5</v>
      </c>
      <c r="G23" s="802"/>
      <c r="H23" s="802"/>
      <c r="I23" s="802"/>
      <c r="J23" s="802"/>
      <c r="K23" s="802"/>
      <c r="L23" s="802"/>
      <c r="M23" s="802"/>
      <c r="N23" s="802"/>
      <c r="S23" s="430"/>
      <c r="T23" s="430"/>
    </row>
    <row r="24" spans="1:21" x14ac:dyDescent="0.2">
      <c r="A24" s="430" t="s">
        <v>47</v>
      </c>
      <c r="B24" s="802"/>
      <c r="C24" s="802"/>
      <c r="D24" s="802"/>
      <c r="E24" s="802"/>
      <c r="F24" s="801">
        <v>1</v>
      </c>
      <c r="G24" s="802"/>
      <c r="H24" s="802"/>
      <c r="I24" s="802"/>
      <c r="J24" s="802"/>
      <c r="K24" s="802"/>
      <c r="L24" s="802"/>
      <c r="M24" s="802"/>
      <c r="N24" s="802"/>
      <c r="S24" s="430"/>
      <c r="T24" s="430"/>
    </row>
    <row r="25" spans="1:21" x14ac:dyDescent="0.2">
      <c r="A25" s="430" t="s">
        <v>265</v>
      </c>
      <c r="B25" s="802"/>
      <c r="C25" s="802"/>
      <c r="D25" s="802"/>
      <c r="E25" s="802"/>
      <c r="F25" s="801">
        <v>0.5</v>
      </c>
      <c r="G25" s="802"/>
      <c r="H25" s="802"/>
      <c r="I25" s="802"/>
      <c r="J25" s="802"/>
      <c r="K25" s="802"/>
      <c r="L25" s="802"/>
      <c r="M25" s="802">
        <f>F25</f>
        <v>0.5</v>
      </c>
      <c r="N25" s="802"/>
      <c r="T25" s="430"/>
    </row>
    <row r="26" spans="1:21" x14ac:dyDescent="0.2">
      <c r="A26" s="346" t="s">
        <v>449</v>
      </c>
      <c r="B26" s="802"/>
      <c r="C26" s="802"/>
      <c r="D26" s="802"/>
      <c r="E26" s="802"/>
      <c r="F26" s="801"/>
      <c r="G26" s="247">
        <v>1</v>
      </c>
      <c r="H26" s="802"/>
      <c r="I26" s="802"/>
      <c r="J26" s="802"/>
      <c r="K26" s="802"/>
      <c r="L26" s="802"/>
      <c r="M26" s="802"/>
      <c r="N26" s="802"/>
      <c r="T26" s="430"/>
    </row>
    <row r="27" spans="1:21" x14ac:dyDescent="0.2">
      <c r="A27" s="346" t="s">
        <v>171</v>
      </c>
      <c r="B27" s="802"/>
      <c r="C27" s="802"/>
      <c r="D27" s="802"/>
      <c r="E27" s="802"/>
      <c r="F27" s="801"/>
      <c r="G27" s="802">
        <v>1</v>
      </c>
      <c r="H27" s="802"/>
      <c r="I27" s="802"/>
      <c r="J27" s="802"/>
      <c r="K27" s="802"/>
      <c r="L27" s="802"/>
      <c r="M27" s="802">
        <f>G27</f>
        <v>1</v>
      </c>
      <c r="N27" s="802"/>
      <c r="T27" s="430"/>
    </row>
    <row r="28" spans="1:21" x14ac:dyDescent="0.2">
      <c r="A28" s="346" t="s">
        <v>450</v>
      </c>
      <c r="B28" s="802"/>
      <c r="C28" s="802"/>
      <c r="D28" s="802"/>
      <c r="E28" s="802"/>
      <c r="F28" s="801"/>
      <c r="G28" s="802"/>
      <c r="H28" s="247">
        <v>0.22500000000000001</v>
      </c>
      <c r="I28" s="802"/>
      <c r="J28" s="802"/>
      <c r="K28" s="802"/>
      <c r="L28" s="802"/>
      <c r="M28" s="247">
        <v>0.45</v>
      </c>
      <c r="N28" s="802"/>
      <c r="T28" s="430"/>
    </row>
    <row r="29" spans="1:21" x14ac:dyDescent="0.2">
      <c r="A29" s="346" t="s">
        <v>266</v>
      </c>
      <c r="B29" s="802"/>
      <c r="C29" s="802"/>
      <c r="D29" s="802"/>
      <c r="E29" s="802"/>
      <c r="F29" s="801"/>
      <c r="G29" s="802"/>
      <c r="H29" s="802">
        <v>0.22500000000000001</v>
      </c>
      <c r="I29" s="802"/>
      <c r="J29" s="802"/>
      <c r="K29" s="802"/>
      <c r="L29" s="802"/>
      <c r="M29" s="802"/>
      <c r="N29" s="802"/>
      <c r="T29" s="430"/>
    </row>
    <row r="30" spans="1:21" x14ac:dyDescent="0.2">
      <c r="A30" s="346" t="s">
        <v>451</v>
      </c>
      <c r="B30" s="802"/>
      <c r="C30" s="802"/>
      <c r="D30" s="802"/>
      <c r="E30" s="802"/>
      <c r="F30" s="801"/>
      <c r="G30" s="802"/>
      <c r="H30" s="802"/>
      <c r="I30" s="802"/>
      <c r="J30" s="247">
        <v>0.5</v>
      </c>
      <c r="K30" s="802"/>
      <c r="L30" s="802"/>
      <c r="M30" s="247">
        <v>1</v>
      </c>
      <c r="N30" s="802"/>
      <c r="T30" s="430"/>
    </row>
    <row r="31" spans="1:21" x14ac:dyDescent="0.2">
      <c r="A31" s="346" t="s">
        <v>247</v>
      </c>
      <c r="B31" s="802"/>
      <c r="C31" s="802"/>
      <c r="D31" s="802"/>
      <c r="E31" s="802"/>
      <c r="F31" s="801"/>
      <c r="G31" s="802"/>
      <c r="H31" s="802"/>
      <c r="I31" s="802"/>
      <c r="J31" s="247">
        <v>0.5</v>
      </c>
      <c r="K31" s="802"/>
      <c r="L31" s="802"/>
      <c r="M31" s="247">
        <v>1</v>
      </c>
      <c r="N31" s="802"/>
      <c r="T31" s="430"/>
    </row>
    <row r="32" spans="1:21" x14ac:dyDescent="0.2">
      <c r="A32" s="346" t="s">
        <v>245</v>
      </c>
      <c r="B32" s="802"/>
      <c r="C32" s="802"/>
      <c r="D32" s="802"/>
      <c r="E32" s="802"/>
      <c r="F32" s="802">
        <v>0.5</v>
      </c>
      <c r="G32" s="802">
        <v>1.25</v>
      </c>
      <c r="H32" s="802"/>
      <c r="I32" s="802">
        <v>1.5</v>
      </c>
      <c r="J32" s="247"/>
      <c r="K32" s="802"/>
      <c r="L32" s="802"/>
      <c r="M32" s="247"/>
      <c r="N32" s="802"/>
      <c r="T32" s="430"/>
    </row>
    <row r="33" spans="1:14" x14ac:dyDescent="0.2">
      <c r="A33" s="430" t="s">
        <v>91</v>
      </c>
      <c r="B33" s="802"/>
      <c r="C33" s="802">
        <v>0.2</v>
      </c>
      <c r="D33" s="802"/>
      <c r="E33" s="802"/>
      <c r="F33" s="802"/>
      <c r="G33" s="802"/>
      <c r="H33" s="802"/>
      <c r="I33" s="802"/>
      <c r="J33" s="802"/>
      <c r="K33" s="802"/>
      <c r="L33" s="802"/>
      <c r="M33" s="802"/>
      <c r="N33" s="802" t="s">
        <v>4970</v>
      </c>
    </row>
    <row r="34" spans="1:14" x14ac:dyDescent="0.2">
      <c r="A34" s="346" t="s">
        <v>481</v>
      </c>
      <c r="B34" s="802">
        <v>0.28999999999999998</v>
      </c>
      <c r="C34" s="802">
        <v>7.4285714285714288E-2</v>
      </c>
      <c r="D34" s="802"/>
      <c r="E34" s="802"/>
      <c r="F34" s="802">
        <v>5.4285714285714284E-2</v>
      </c>
      <c r="G34" s="802">
        <v>7.1428571428571425E-2</v>
      </c>
      <c r="H34" s="802">
        <v>2.5714285714285714E-2</v>
      </c>
      <c r="I34" s="802">
        <v>3.4285714285714287E-2</v>
      </c>
      <c r="J34" s="802">
        <v>4.2857142857142859E-3</v>
      </c>
      <c r="K34" s="802"/>
      <c r="L34" s="802"/>
      <c r="M34" s="802"/>
      <c r="N34" s="802"/>
    </row>
    <row r="35" spans="1:14" x14ac:dyDescent="0.2">
      <c r="A35" s="346" t="s">
        <v>263</v>
      </c>
      <c r="B35" s="802">
        <v>0.28999999999999998</v>
      </c>
      <c r="C35" s="802">
        <v>7.4285714285714288E-2</v>
      </c>
      <c r="D35" s="802">
        <v>0</v>
      </c>
      <c r="E35" s="802"/>
      <c r="F35" s="802">
        <v>7.1428571428571426E-3</v>
      </c>
      <c r="G35" s="802">
        <v>1.7142857142857144E-2</v>
      </c>
      <c r="H35" s="802">
        <v>2.5714285714285714E-2</v>
      </c>
      <c r="I35" s="802">
        <v>2.1428571428571429E-2</v>
      </c>
      <c r="J35" s="802">
        <v>5.7142857142857143E-3</v>
      </c>
      <c r="K35" s="802"/>
      <c r="L35" s="802"/>
      <c r="M35" s="802"/>
      <c r="N35" s="802"/>
    </row>
    <row r="36" spans="1:14" x14ac:dyDescent="0.2">
      <c r="A36" s="346" t="s">
        <v>264</v>
      </c>
      <c r="B36" s="802">
        <v>0.32</v>
      </c>
      <c r="C36" s="802">
        <v>0.08</v>
      </c>
      <c r="D36" s="802">
        <v>0</v>
      </c>
      <c r="E36" s="802"/>
      <c r="F36" s="802">
        <v>8.0000000000000002E-3</v>
      </c>
      <c r="G36" s="802">
        <v>0.02</v>
      </c>
      <c r="H36" s="802">
        <v>2.8000000000000001E-2</v>
      </c>
      <c r="I36" s="802">
        <v>2.4E-2</v>
      </c>
      <c r="J36" s="802">
        <v>8.0000000000000002E-3</v>
      </c>
      <c r="K36" s="802"/>
      <c r="L36" s="802"/>
      <c r="M36" s="802"/>
      <c r="N36" s="802"/>
    </row>
    <row r="37" spans="1:14" x14ac:dyDescent="0.2">
      <c r="A37" s="346" t="s">
        <v>35</v>
      </c>
      <c r="B37" s="802">
        <v>0.35</v>
      </c>
      <c r="C37" s="802">
        <v>8.7999999999999995E-2</v>
      </c>
      <c r="D37" s="802">
        <v>0</v>
      </c>
      <c r="E37" s="802"/>
      <c r="F37" s="802">
        <v>0.01</v>
      </c>
      <c r="G37" s="802">
        <v>2.5000000000000001E-2</v>
      </c>
      <c r="H37" s="802">
        <v>1.7999999999999999E-2</v>
      </c>
      <c r="I37" s="802">
        <v>0.03</v>
      </c>
      <c r="J37" s="802">
        <v>0.01</v>
      </c>
      <c r="K37" s="802"/>
      <c r="L37" s="802"/>
      <c r="M37" s="802"/>
      <c r="N37" s="802"/>
    </row>
    <row r="38" spans="1:14" x14ac:dyDescent="0.2">
      <c r="A38" s="346" t="s">
        <v>36</v>
      </c>
      <c r="B38" s="802">
        <v>0.33</v>
      </c>
      <c r="C38" s="802">
        <v>8.3000000000000004E-2</v>
      </c>
      <c r="D38" s="802">
        <v>0</v>
      </c>
      <c r="E38" s="802"/>
      <c r="F38" s="802">
        <v>1.2499999999999999E-2</v>
      </c>
      <c r="G38" s="802">
        <v>3.1E-2</v>
      </c>
      <c r="H38" s="802">
        <v>2.5999999999999999E-2</v>
      </c>
      <c r="I38" s="802">
        <v>3.7999999999999999E-2</v>
      </c>
      <c r="J38" s="802">
        <v>1.2500000000000001E-2</v>
      </c>
      <c r="K38" s="802"/>
      <c r="L38" s="802"/>
      <c r="M38" s="802"/>
      <c r="N38" s="802"/>
    </row>
    <row r="39" spans="1:14" x14ac:dyDescent="0.2">
      <c r="A39" s="346" t="s">
        <v>67</v>
      </c>
      <c r="B39" s="802">
        <v>0.96</v>
      </c>
      <c r="C39" s="802">
        <v>7.0000000000000007E-2</v>
      </c>
      <c r="D39" s="802">
        <v>0.24</v>
      </c>
      <c r="E39" s="802"/>
      <c r="F39" s="802">
        <v>4.0500000000000001E-2</v>
      </c>
      <c r="G39" s="802">
        <v>2.5700000000000001E-2</v>
      </c>
      <c r="H39" s="802">
        <v>4.1000000000000003E-3</v>
      </c>
      <c r="I39" s="802">
        <v>1.47E-2</v>
      </c>
      <c r="J39" s="802">
        <v>5.0000000000000001E-3</v>
      </c>
      <c r="K39" s="802"/>
      <c r="L39" s="802"/>
      <c r="M39" s="802"/>
      <c r="N39" s="802"/>
    </row>
    <row r="40" spans="1:14" x14ac:dyDescent="0.2">
      <c r="A40" s="347" t="s">
        <v>240</v>
      </c>
      <c r="B40" s="802"/>
      <c r="C40" s="802"/>
      <c r="D40" s="802"/>
      <c r="E40" s="802"/>
      <c r="F40" s="802"/>
      <c r="G40" s="802"/>
      <c r="H40" s="802"/>
      <c r="I40" s="802"/>
      <c r="J40" s="802"/>
      <c r="K40" s="802"/>
      <c r="L40" s="802"/>
      <c r="M40" s="802"/>
      <c r="N40" s="802"/>
    </row>
    <row r="41" spans="1:14" x14ac:dyDescent="0.2">
      <c r="A41" s="346" t="s">
        <v>416</v>
      </c>
      <c r="B41" s="802"/>
      <c r="C41" s="247">
        <v>0.1</v>
      </c>
      <c r="D41" s="802"/>
      <c r="E41" s="802"/>
      <c r="F41" s="802"/>
      <c r="G41" s="802"/>
      <c r="H41" s="802"/>
      <c r="I41" s="802"/>
      <c r="J41" s="802"/>
      <c r="K41" s="802"/>
      <c r="L41" s="247"/>
      <c r="M41" s="802"/>
      <c r="N41" s="802"/>
    </row>
    <row r="42" spans="1:14" x14ac:dyDescent="0.2">
      <c r="A42" s="346" t="s">
        <v>152</v>
      </c>
      <c r="B42" s="802"/>
      <c r="C42" s="802"/>
      <c r="D42" s="802"/>
      <c r="E42" s="802"/>
      <c r="F42" s="802"/>
      <c r="G42" s="802"/>
      <c r="H42" s="802"/>
      <c r="I42" s="802"/>
      <c r="J42" s="802"/>
      <c r="K42" s="802"/>
      <c r="L42" s="802"/>
      <c r="M42" s="802"/>
      <c r="N42" s="802"/>
    </row>
    <row r="43" spans="1:14" x14ac:dyDescent="0.2">
      <c r="A43" s="347" t="s">
        <v>151</v>
      </c>
      <c r="B43" s="802"/>
      <c r="C43" s="802"/>
      <c r="D43" s="802"/>
      <c r="E43" s="802"/>
      <c r="F43" s="802"/>
      <c r="G43" s="802"/>
      <c r="H43" s="802"/>
      <c r="I43" s="802"/>
      <c r="J43" s="802"/>
      <c r="K43" s="802"/>
      <c r="L43" s="802">
        <v>40</v>
      </c>
      <c r="M43" s="802"/>
      <c r="N43" s="802"/>
    </row>
    <row r="44" spans="1:14" x14ac:dyDescent="0.2">
      <c r="A44" s="346" t="s">
        <v>150</v>
      </c>
      <c r="B44" s="802">
        <v>1.8</v>
      </c>
      <c r="C44" s="802"/>
      <c r="D44" s="802"/>
      <c r="E44" s="802">
        <v>0.2</v>
      </c>
      <c r="F44" s="802"/>
      <c r="G44" s="802"/>
      <c r="H44" s="802"/>
      <c r="I44" s="802"/>
      <c r="J44" s="802"/>
      <c r="K44" s="802"/>
      <c r="L44" s="802"/>
      <c r="M44" s="802"/>
      <c r="N44" s="802"/>
    </row>
    <row r="45" spans="1:14" x14ac:dyDescent="0.2">
      <c r="A45" s="346" t="s">
        <v>448</v>
      </c>
      <c r="B45" s="802">
        <v>1.8</v>
      </c>
      <c r="C45" s="802"/>
      <c r="D45" s="802"/>
      <c r="E45" s="802">
        <v>0.2</v>
      </c>
      <c r="F45" s="802"/>
      <c r="G45" s="802"/>
      <c r="H45" s="802"/>
      <c r="I45" s="802"/>
      <c r="J45" s="802"/>
      <c r="K45" s="802"/>
      <c r="L45" s="802"/>
      <c r="M45" s="802"/>
      <c r="N45" s="802"/>
    </row>
    <row r="46" spans="1:14" x14ac:dyDescent="0.2">
      <c r="A46" s="346" t="s">
        <v>872</v>
      </c>
      <c r="B46" s="802">
        <f>9*E46</f>
        <v>1.8</v>
      </c>
      <c r="C46" s="802"/>
      <c r="D46" s="802"/>
      <c r="E46" s="419">
        <v>0.2</v>
      </c>
      <c r="F46" s="802"/>
      <c r="G46" s="802"/>
      <c r="H46" s="802"/>
      <c r="I46" s="802"/>
      <c r="J46" s="802"/>
      <c r="K46" s="802"/>
      <c r="L46" s="802"/>
      <c r="M46" s="802"/>
      <c r="N46" s="802"/>
    </row>
    <row r="49" spans="2:13" x14ac:dyDescent="0.2">
      <c r="B49" s="342"/>
      <c r="C49" s="342"/>
      <c r="D49" s="342"/>
      <c r="E49" s="342"/>
      <c r="F49" s="342"/>
      <c r="G49" s="342"/>
      <c r="H49" s="342"/>
      <c r="I49" s="342"/>
      <c r="J49" s="342"/>
      <c r="K49" s="342"/>
      <c r="L49" s="342"/>
      <c r="M49" s="342"/>
    </row>
    <row r="50" spans="2:13" x14ac:dyDescent="0.2">
      <c r="B50" s="342"/>
      <c r="D50" s="342"/>
      <c r="E50" s="342"/>
      <c r="F50" s="342"/>
      <c r="G50" s="342"/>
      <c r="H50" s="342"/>
      <c r="I50" s="342"/>
      <c r="J50" s="342"/>
      <c r="K50" s="342"/>
      <c r="L50" s="342"/>
      <c r="M50" s="342"/>
    </row>
    <row r="51" spans="2:13" x14ac:dyDescent="0.2">
      <c r="B51" s="342"/>
      <c r="C51" s="342"/>
      <c r="E51" s="342"/>
      <c r="F51" s="342"/>
      <c r="G51" s="342"/>
      <c r="H51" s="342"/>
      <c r="I51" s="342"/>
      <c r="J51" s="342"/>
      <c r="L51" s="342"/>
      <c r="M51" s="342"/>
    </row>
    <row r="52" spans="2:13" x14ac:dyDescent="0.2">
      <c r="B52" s="342"/>
      <c r="C52" s="342"/>
      <c r="D52" s="342"/>
      <c r="F52" s="342"/>
      <c r="G52" s="342"/>
      <c r="H52" s="342"/>
      <c r="I52" s="342"/>
      <c r="J52" s="342"/>
      <c r="L52" s="342"/>
      <c r="M52" s="342"/>
    </row>
    <row r="53" spans="2:13" x14ac:dyDescent="0.2">
      <c r="B53" s="342"/>
      <c r="C53" s="342"/>
      <c r="D53" s="342"/>
      <c r="E53" s="342"/>
      <c r="F53" s="342"/>
      <c r="G53" s="342"/>
      <c r="H53" s="342"/>
      <c r="I53" s="342"/>
      <c r="J53" s="342"/>
      <c r="K53" s="342"/>
      <c r="M53" s="342"/>
    </row>
    <row r="54" spans="2:13" x14ac:dyDescent="0.2">
      <c r="B54" s="342"/>
      <c r="C54" s="342"/>
      <c r="D54" s="342"/>
      <c r="E54" s="342"/>
      <c r="F54" s="342"/>
      <c r="H54" s="342"/>
      <c r="I54" s="342"/>
      <c r="J54" s="342"/>
      <c r="K54" s="342"/>
      <c r="L54" s="342"/>
      <c r="M54" s="342"/>
    </row>
  </sheetData>
  <sheetProtection selectLockedCells="1"/>
  <protectedRanges>
    <protectedRange password="CC20" sqref="B5:N46" name="GlobParEnt"/>
  </protectedRange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50" bestFit="1" customWidth="1"/>
    <col min="2" max="14" width="8.28515625" style="450" customWidth="1"/>
    <col min="15" max="15" width="35.140625" style="450" customWidth="1"/>
    <col min="16" max="30" width="7.7109375" style="450" customWidth="1"/>
    <col min="31" max="16384" width="9.140625" style="450"/>
  </cols>
  <sheetData>
    <row r="1" spans="1:35" x14ac:dyDescent="0.2">
      <c r="A1" s="449" t="s">
        <v>4774</v>
      </c>
      <c r="B1" s="555" t="s">
        <v>4101</v>
      </c>
      <c r="O1" s="449" t="s">
        <v>4086</v>
      </c>
      <c r="P1" s="555" t="s">
        <v>4776</v>
      </c>
      <c r="AG1" s="451"/>
      <c r="AH1" s="448"/>
      <c r="AI1" s="451"/>
    </row>
    <row r="2" spans="1:35" x14ac:dyDescent="0.2">
      <c r="B2" s="450" t="s">
        <v>4081</v>
      </c>
      <c r="C2" s="451" t="s">
        <v>29</v>
      </c>
      <c r="D2" s="451" t="s">
        <v>29</v>
      </c>
      <c r="E2" s="451" t="s">
        <v>29</v>
      </c>
      <c r="F2" s="451" t="s">
        <v>121</v>
      </c>
      <c r="G2" s="451" t="s">
        <v>121</v>
      </c>
      <c r="H2" s="451" t="s">
        <v>121</v>
      </c>
      <c r="I2" s="451" t="s">
        <v>121</v>
      </c>
      <c r="J2" s="451" t="s">
        <v>121</v>
      </c>
      <c r="K2" s="451" t="s">
        <v>121</v>
      </c>
      <c r="L2" s="451" t="s">
        <v>743</v>
      </c>
      <c r="M2" s="451" t="s">
        <v>121</v>
      </c>
      <c r="N2" s="451"/>
      <c r="O2" s="452"/>
      <c r="P2" s="451">
        <v>2</v>
      </c>
      <c r="Q2" s="451">
        <v>3</v>
      </c>
      <c r="R2" s="451">
        <v>4</v>
      </c>
      <c r="S2" s="451">
        <v>5</v>
      </c>
      <c r="T2" s="451">
        <v>6</v>
      </c>
      <c r="U2" s="451">
        <v>7</v>
      </c>
      <c r="V2" s="451">
        <v>8</v>
      </c>
      <c r="W2" s="451">
        <v>9</v>
      </c>
      <c r="X2" s="451">
        <v>10</v>
      </c>
      <c r="Y2" s="451">
        <v>11</v>
      </c>
      <c r="Z2" s="451">
        <v>12</v>
      </c>
      <c r="AA2" s="451">
        <v>13</v>
      </c>
      <c r="AG2" s="451"/>
      <c r="AH2" s="448"/>
      <c r="AI2" s="451"/>
    </row>
    <row r="3" spans="1:35" x14ac:dyDescent="0.2">
      <c r="A3" s="451"/>
      <c r="B3" s="451" t="s">
        <v>178</v>
      </c>
      <c r="C3" s="451" t="s">
        <v>172</v>
      </c>
      <c r="D3" s="451" t="s">
        <v>422</v>
      </c>
      <c r="E3" s="451" t="s">
        <v>423</v>
      </c>
      <c r="F3" s="451" t="s">
        <v>173</v>
      </c>
      <c r="G3" s="451" t="s">
        <v>174</v>
      </c>
      <c r="H3" s="451" t="s">
        <v>175</v>
      </c>
      <c r="I3" s="451" t="s">
        <v>421</v>
      </c>
      <c r="J3" s="451" t="s">
        <v>176</v>
      </c>
      <c r="K3" s="451" t="s">
        <v>741</v>
      </c>
      <c r="L3" s="451" t="s">
        <v>742</v>
      </c>
      <c r="M3" s="451" t="s">
        <v>466</v>
      </c>
      <c r="N3" s="451"/>
      <c r="O3" s="451"/>
      <c r="P3" s="451" t="s">
        <v>178</v>
      </c>
      <c r="Q3" s="451" t="s">
        <v>147</v>
      </c>
      <c r="R3" s="451" t="s">
        <v>179</v>
      </c>
      <c r="S3" s="451" t="s">
        <v>148</v>
      </c>
      <c r="T3" s="451" t="s">
        <v>173</v>
      </c>
      <c r="U3" s="451" t="s">
        <v>174</v>
      </c>
      <c r="V3" s="451" t="s">
        <v>175</v>
      </c>
      <c r="W3" s="451" t="s">
        <v>180</v>
      </c>
      <c r="X3" s="451" t="s">
        <v>176</v>
      </c>
      <c r="Y3" s="451" t="s">
        <v>741</v>
      </c>
      <c r="Z3" s="451" t="s">
        <v>742</v>
      </c>
      <c r="AA3" s="451" t="s">
        <v>466</v>
      </c>
      <c r="AG3" s="451"/>
      <c r="AH3" s="448"/>
      <c r="AI3" s="451"/>
    </row>
    <row r="4" spans="1:35" x14ac:dyDescent="0.2">
      <c r="A4" s="451"/>
      <c r="B4" s="451" t="s">
        <v>178</v>
      </c>
      <c r="C4" s="451" t="s">
        <v>147</v>
      </c>
      <c r="D4" s="451" t="s">
        <v>179</v>
      </c>
      <c r="E4" s="451" t="s">
        <v>148</v>
      </c>
      <c r="F4" s="451" t="s">
        <v>173</v>
      </c>
      <c r="G4" s="451" t="s">
        <v>174</v>
      </c>
      <c r="H4" s="451" t="s">
        <v>175</v>
      </c>
      <c r="I4" s="451" t="s">
        <v>180</v>
      </c>
      <c r="J4" s="451" t="s">
        <v>176</v>
      </c>
      <c r="K4" s="451" t="s">
        <v>741</v>
      </c>
      <c r="L4" s="451" t="s">
        <v>742</v>
      </c>
      <c r="M4" s="451" t="s">
        <v>466</v>
      </c>
      <c r="N4" s="451"/>
      <c r="O4" s="451"/>
      <c r="P4" s="450" t="str">
        <f t="shared" ref="P4:AA4" si="0">VLOOKUP(P3,Tbl_Glob_Conversie,3,FALSE)</f>
        <v>kcal</v>
      </c>
      <c r="Q4" s="450" t="str">
        <f t="shared" si="0"/>
        <v>gram</v>
      </c>
      <c r="R4" s="450" t="str">
        <f t="shared" si="0"/>
        <v>gram</v>
      </c>
      <c r="S4" s="450" t="str">
        <f t="shared" si="0"/>
        <v>gram</v>
      </c>
      <c r="T4" s="450" t="str">
        <f t="shared" si="0"/>
        <v>mmol</v>
      </c>
      <c r="U4" s="450" t="str">
        <f t="shared" si="0"/>
        <v>mmol</v>
      </c>
      <c r="V4" s="450" t="str">
        <f t="shared" si="0"/>
        <v>mmol</v>
      </c>
      <c r="W4" s="450" t="str">
        <f t="shared" si="0"/>
        <v>mmol</v>
      </c>
      <c r="X4" s="450" t="str">
        <f t="shared" si="0"/>
        <v>mmol</v>
      </c>
      <c r="Y4" s="450" t="str">
        <f t="shared" si="0"/>
        <v>mmol</v>
      </c>
      <c r="Z4" s="450" t="str">
        <f t="shared" si="0"/>
        <v>IE</v>
      </c>
      <c r="AA4" s="450" t="str">
        <f t="shared" si="0"/>
        <v>mmol</v>
      </c>
      <c r="AG4" s="451"/>
      <c r="AH4" s="448"/>
      <c r="AI4" s="451"/>
    </row>
    <row r="5" spans="1:35" x14ac:dyDescent="0.2">
      <c r="A5" s="451"/>
      <c r="B5" s="451">
        <v>2</v>
      </c>
      <c r="C5" s="451">
        <v>3</v>
      </c>
      <c r="D5" s="451">
        <v>4</v>
      </c>
      <c r="E5" s="451">
        <v>5</v>
      </c>
      <c r="F5" s="451">
        <v>6</v>
      </c>
      <c r="G5" s="451">
        <v>7</v>
      </c>
      <c r="H5" s="451">
        <v>8</v>
      </c>
      <c r="I5" s="451">
        <v>9</v>
      </c>
      <c r="J5" s="451">
        <v>10</v>
      </c>
      <c r="K5" s="451">
        <v>11</v>
      </c>
      <c r="L5" s="451">
        <v>12</v>
      </c>
      <c r="M5" s="451">
        <v>13</v>
      </c>
      <c r="N5" s="451"/>
      <c r="O5" s="451"/>
      <c r="AG5" s="451"/>
      <c r="AH5" s="448"/>
      <c r="AI5" s="451"/>
    </row>
    <row r="6" spans="1:35" x14ac:dyDescent="0.2">
      <c r="A6" s="321" t="s">
        <v>123</v>
      </c>
      <c r="B6" s="321">
        <v>68</v>
      </c>
      <c r="C6" s="321">
        <v>1</v>
      </c>
      <c r="D6" s="453">
        <v>7.0000000000000009</v>
      </c>
      <c r="E6" s="453">
        <v>4</v>
      </c>
      <c r="F6" s="321">
        <v>20</v>
      </c>
      <c r="G6" s="321">
        <v>50.000000000000007</v>
      </c>
      <c r="H6" s="321">
        <v>30</v>
      </c>
      <c r="I6" s="321">
        <v>15</v>
      </c>
      <c r="J6" s="321">
        <v>3.0000000000000004</v>
      </c>
      <c r="K6" s="453">
        <v>0.1</v>
      </c>
      <c r="L6" s="321">
        <v>0</v>
      </c>
      <c r="M6" s="321">
        <v>43</v>
      </c>
      <c r="N6" s="451"/>
      <c r="O6" s="451" t="str">
        <f>A6</f>
        <v>MM</v>
      </c>
      <c r="P6" s="450">
        <f t="shared" ref="P6:P38" si="1">VLOOKUP(P$3,Tbl_Glob_Conversie,2,FALSE)*B6/100</f>
        <v>0.68</v>
      </c>
      <c r="Q6" s="450">
        <f t="shared" ref="Q6:Q38" si="2">VLOOKUP(Q$3,Tbl_Glob_Conversie,2,FALSE)*C6/100</f>
        <v>0.01</v>
      </c>
      <c r="R6" s="450">
        <f t="shared" ref="R6:R38" si="3">VLOOKUP(R$3,Tbl_Glob_Conversie,2,FALSE)*D6/100</f>
        <v>7.0000000000000007E-2</v>
      </c>
      <c r="S6" s="450">
        <f t="shared" ref="S6:S38" si="4">VLOOKUP(S$3,Tbl_Glob_Conversie,2,FALSE)*E6/100</f>
        <v>0.04</v>
      </c>
      <c r="T6" s="450">
        <f t="shared" ref="T6:T38" si="5">VLOOKUP(T$3,Tbl_Glob_Conversie,2,FALSE)*F6/100</f>
        <v>8.6956000000000012E-3</v>
      </c>
      <c r="U6" s="450">
        <f t="shared" ref="U6:U38" si="6">VLOOKUP(U$3,Tbl_Glob_Conversie,2,FALSE)*G6/100</f>
        <v>1.2820500000000002E-2</v>
      </c>
      <c r="V6" s="450">
        <f t="shared" ref="V6:V38" si="7">VLOOKUP(V$3,Tbl_Glob_Conversie,2,FALSE)*H6/100</f>
        <v>7.4700000000000001E-3</v>
      </c>
      <c r="W6" s="450">
        <f t="shared" ref="W6:W38" si="8">VLOOKUP(W$3,Tbl_Glob_Conversie,2,FALSE)*I6/100</f>
        <v>4.8433499999999997E-3</v>
      </c>
      <c r="X6" s="450">
        <f t="shared" ref="X6:X38" si="9">VLOOKUP(X$3,Tbl_Glob_Conversie,2,FALSE)*J6/100</f>
        <v>1.23423E-3</v>
      </c>
      <c r="Y6" s="450">
        <f t="shared" ref="Y6:Y38" si="10">VLOOKUP(Y$3,Tbl_Glob_Conversie,2,FALSE)*K6/100</f>
        <v>1.7899999999999998E-5</v>
      </c>
      <c r="Z6" s="450">
        <f t="shared" ref="Z6:Z38" si="11">VLOOKUP(Z$3,Tbl_Glob_Conversie,2,FALSE)*L6/100</f>
        <v>0</v>
      </c>
      <c r="AA6" s="450">
        <f t="shared" ref="AA6:AA38" si="12">VLOOKUP(AA$3,Tbl_Glob_Conversie,2,FALSE)*M6/100</f>
        <v>1.212858E-2</v>
      </c>
      <c r="AG6" s="451"/>
      <c r="AH6" s="448"/>
      <c r="AI6" s="451"/>
    </row>
    <row r="7" spans="1:35" x14ac:dyDescent="0.2">
      <c r="A7" s="321" t="s">
        <v>746</v>
      </c>
      <c r="B7" s="321">
        <v>80</v>
      </c>
      <c r="C7" s="321">
        <v>2.6</v>
      </c>
      <c r="D7" s="453">
        <v>8.4</v>
      </c>
      <c r="E7" s="453">
        <v>3.9</v>
      </c>
      <c r="F7" s="321">
        <v>70</v>
      </c>
      <c r="G7" s="321">
        <v>80</v>
      </c>
      <c r="H7" s="321">
        <v>100</v>
      </c>
      <c r="I7" s="321">
        <v>56</v>
      </c>
      <c r="J7" s="321">
        <v>8</v>
      </c>
      <c r="K7" s="453">
        <v>1.6</v>
      </c>
      <c r="L7" s="321">
        <v>3</v>
      </c>
      <c r="M7" s="321">
        <v>85</v>
      </c>
      <c r="N7" s="451"/>
      <c r="O7" s="451" t="str">
        <f t="shared" ref="O7:O39" si="13">A7</f>
        <v>Nutrilon Nenatal Start</v>
      </c>
      <c r="P7" s="450">
        <f t="shared" si="1"/>
        <v>0.8</v>
      </c>
      <c r="Q7" s="450">
        <f t="shared" si="2"/>
        <v>2.6000000000000002E-2</v>
      </c>
      <c r="R7" s="450">
        <f t="shared" si="3"/>
        <v>8.4000000000000005E-2</v>
      </c>
      <c r="S7" s="450">
        <f t="shared" si="4"/>
        <v>3.9E-2</v>
      </c>
      <c r="T7" s="450">
        <f t="shared" si="5"/>
        <v>3.0434599999999999E-2</v>
      </c>
      <c r="U7" s="450">
        <f t="shared" si="6"/>
        <v>2.0512800000000001E-2</v>
      </c>
      <c r="V7" s="450">
        <f t="shared" si="7"/>
        <v>2.4899999999999999E-2</v>
      </c>
      <c r="W7" s="450">
        <f t="shared" si="8"/>
        <v>1.8081839999999998E-2</v>
      </c>
      <c r="X7" s="450">
        <f t="shared" si="9"/>
        <v>3.2912799999999997E-3</v>
      </c>
      <c r="Y7" s="450">
        <f t="shared" si="10"/>
        <v>2.8639999999999997E-4</v>
      </c>
      <c r="Z7" s="450">
        <f t="shared" si="11"/>
        <v>1.2</v>
      </c>
      <c r="AA7" s="450">
        <f t="shared" si="12"/>
        <v>2.3975099999999999E-2</v>
      </c>
      <c r="AG7" s="451"/>
      <c r="AH7" s="448"/>
      <c r="AI7" s="451"/>
    </row>
    <row r="8" spans="1:35" x14ac:dyDescent="0.2">
      <c r="A8" s="321" t="s">
        <v>747</v>
      </c>
      <c r="B8" s="321">
        <v>75</v>
      </c>
      <c r="C8" s="321">
        <v>2</v>
      </c>
      <c r="D8" s="453">
        <v>7.5</v>
      </c>
      <c r="E8" s="453">
        <v>4</v>
      </c>
      <c r="F8" s="321">
        <v>28</v>
      </c>
      <c r="G8" s="321">
        <v>77</v>
      </c>
      <c r="H8" s="321">
        <v>87</v>
      </c>
      <c r="I8" s="321">
        <v>47</v>
      </c>
      <c r="J8" s="321">
        <v>7</v>
      </c>
      <c r="K8" s="453">
        <v>1.2</v>
      </c>
      <c r="L8" s="321">
        <v>1.7</v>
      </c>
      <c r="M8" s="321">
        <v>55</v>
      </c>
      <c r="N8" s="451"/>
      <c r="O8" s="451" t="str">
        <f t="shared" si="13"/>
        <v>Nutrilon Nenatal 1</v>
      </c>
      <c r="P8" s="450">
        <f t="shared" si="1"/>
        <v>0.75</v>
      </c>
      <c r="Q8" s="450">
        <f t="shared" si="2"/>
        <v>0.02</v>
      </c>
      <c r="R8" s="450">
        <f t="shared" si="3"/>
        <v>7.4999999999999997E-2</v>
      </c>
      <c r="S8" s="450">
        <f t="shared" si="4"/>
        <v>0.04</v>
      </c>
      <c r="T8" s="450">
        <f t="shared" si="5"/>
        <v>1.217384E-2</v>
      </c>
      <c r="U8" s="450">
        <f t="shared" si="6"/>
        <v>1.9743570000000002E-2</v>
      </c>
      <c r="V8" s="450">
        <f t="shared" si="7"/>
        <v>2.1662999999999998E-2</v>
      </c>
      <c r="W8" s="450">
        <f t="shared" si="8"/>
        <v>1.517583E-2</v>
      </c>
      <c r="X8" s="450">
        <f t="shared" si="9"/>
        <v>2.8798700000000001E-3</v>
      </c>
      <c r="Y8" s="450">
        <f t="shared" si="10"/>
        <v>2.1479999999999999E-4</v>
      </c>
      <c r="Z8" s="450">
        <f t="shared" si="11"/>
        <v>0.68</v>
      </c>
      <c r="AA8" s="450">
        <f t="shared" si="12"/>
        <v>1.5513299999999999E-2</v>
      </c>
    </row>
    <row r="9" spans="1:35" x14ac:dyDescent="0.2">
      <c r="A9" s="321" t="s">
        <v>748</v>
      </c>
      <c r="B9" s="454">
        <v>66</v>
      </c>
      <c r="C9" s="454">
        <v>1.5</v>
      </c>
      <c r="D9" s="455">
        <v>7.2</v>
      </c>
      <c r="E9" s="455">
        <v>3.4</v>
      </c>
      <c r="F9" s="454">
        <v>25</v>
      </c>
      <c r="G9" s="454">
        <v>73</v>
      </c>
      <c r="H9" s="454">
        <v>46</v>
      </c>
      <c r="I9" s="454">
        <v>26</v>
      </c>
      <c r="J9" s="454">
        <v>5.0999999999999996</v>
      </c>
      <c r="K9" s="456">
        <v>0.53</v>
      </c>
      <c r="L9" s="454">
        <v>1.2</v>
      </c>
      <c r="M9" s="321">
        <v>41</v>
      </c>
      <c r="N9" s="451"/>
      <c r="O9" s="451" t="str">
        <f t="shared" si="13"/>
        <v>Nutrilon Hypoallergeen 1</v>
      </c>
      <c r="P9" s="450">
        <f t="shared" si="1"/>
        <v>0.66</v>
      </c>
      <c r="Q9" s="450">
        <f t="shared" si="2"/>
        <v>1.4999999999999999E-2</v>
      </c>
      <c r="R9" s="450">
        <f t="shared" si="3"/>
        <v>7.2000000000000008E-2</v>
      </c>
      <c r="S9" s="450">
        <f t="shared" si="4"/>
        <v>3.4000000000000002E-2</v>
      </c>
      <c r="T9" s="450">
        <f t="shared" si="5"/>
        <v>1.0869500000000001E-2</v>
      </c>
      <c r="U9" s="450">
        <f t="shared" si="6"/>
        <v>1.8717930000000001E-2</v>
      </c>
      <c r="V9" s="450">
        <f t="shared" si="7"/>
        <v>1.1453999999999999E-2</v>
      </c>
      <c r="W9" s="450">
        <f t="shared" si="8"/>
        <v>8.3951400000000006E-3</v>
      </c>
      <c r="X9" s="450">
        <f t="shared" si="9"/>
        <v>2.0981909999999997E-3</v>
      </c>
      <c r="Y9" s="450">
        <f t="shared" si="10"/>
        <v>9.4870000000000005E-5</v>
      </c>
      <c r="Z9" s="450">
        <f t="shared" si="11"/>
        <v>0.48</v>
      </c>
      <c r="AA9" s="450">
        <f t="shared" si="12"/>
        <v>1.1564459999999999E-2</v>
      </c>
    </row>
    <row r="10" spans="1:35" x14ac:dyDescent="0.2">
      <c r="A10" s="321" t="s">
        <v>469</v>
      </c>
      <c r="B10" s="321">
        <v>66</v>
      </c>
      <c r="C10" s="321">
        <v>1.3</v>
      </c>
      <c r="D10" s="453">
        <v>7.3</v>
      </c>
      <c r="E10" s="453">
        <v>3.4</v>
      </c>
      <c r="F10" s="321">
        <v>17</v>
      </c>
      <c r="G10" s="321">
        <v>68</v>
      </c>
      <c r="H10" s="321">
        <v>57</v>
      </c>
      <c r="I10" s="321">
        <v>32</v>
      </c>
      <c r="J10" s="321">
        <v>5.0999999999999996</v>
      </c>
      <c r="K10" s="453">
        <v>3.9</v>
      </c>
      <c r="L10" s="321">
        <v>8.6999999999999993</v>
      </c>
      <c r="M10" s="321">
        <v>42</v>
      </c>
      <c r="N10" s="451"/>
      <c r="O10" s="451" t="str">
        <f t="shared" si="13"/>
        <v>Nutrilon Standaard 1</v>
      </c>
      <c r="P10" s="450">
        <f t="shared" si="1"/>
        <v>0.66</v>
      </c>
      <c r="Q10" s="450">
        <f t="shared" si="2"/>
        <v>1.3000000000000001E-2</v>
      </c>
      <c r="R10" s="450">
        <f t="shared" si="3"/>
        <v>7.2999999999999995E-2</v>
      </c>
      <c r="S10" s="450">
        <f t="shared" si="4"/>
        <v>3.4000000000000002E-2</v>
      </c>
      <c r="T10" s="450">
        <f t="shared" si="5"/>
        <v>7.3912600000000002E-3</v>
      </c>
      <c r="U10" s="450">
        <f t="shared" si="6"/>
        <v>1.7435880000000001E-2</v>
      </c>
      <c r="V10" s="450">
        <f t="shared" si="7"/>
        <v>1.4193000000000001E-2</v>
      </c>
      <c r="W10" s="450">
        <f t="shared" si="8"/>
        <v>1.033248E-2</v>
      </c>
      <c r="X10" s="450">
        <f t="shared" si="9"/>
        <v>2.0981909999999997E-3</v>
      </c>
      <c r="Y10" s="450">
        <f t="shared" si="10"/>
        <v>6.981E-4</v>
      </c>
      <c r="Z10" s="450">
        <f t="shared" si="11"/>
        <v>3.48</v>
      </c>
      <c r="AA10" s="450">
        <f t="shared" si="12"/>
        <v>1.1846520000000001E-2</v>
      </c>
    </row>
    <row r="11" spans="1:35" x14ac:dyDescent="0.2">
      <c r="A11" s="321" t="s">
        <v>811</v>
      </c>
      <c r="B11" s="321">
        <v>68</v>
      </c>
      <c r="C11" s="321">
        <v>1.4</v>
      </c>
      <c r="D11" s="453">
        <v>8.6</v>
      </c>
      <c r="E11" s="453">
        <v>3</v>
      </c>
      <c r="F11" s="321">
        <v>23</v>
      </c>
      <c r="G11" s="321">
        <v>74</v>
      </c>
      <c r="H11" s="321">
        <v>65</v>
      </c>
      <c r="I11" s="321">
        <v>36</v>
      </c>
      <c r="J11" s="321">
        <v>4.8</v>
      </c>
      <c r="K11" s="453">
        <v>7</v>
      </c>
      <c r="L11" s="321">
        <v>1.4</v>
      </c>
      <c r="M11" s="321">
        <v>47</v>
      </c>
      <c r="N11" s="451"/>
      <c r="O11" s="451" t="str">
        <f t="shared" si="13"/>
        <v>Nutrilon Standaard 2</v>
      </c>
      <c r="P11" s="450">
        <f t="shared" si="1"/>
        <v>0.68</v>
      </c>
      <c r="Q11" s="450">
        <f t="shared" si="2"/>
        <v>1.3999999999999999E-2</v>
      </c>
      <c r="R11" s="450">
        <f t="shared" si="3"/>
        <v>8.5999999999999993E-2</v>
      </c>
      <c r="S11" s="450">
        <f t="shared" si="4"/>
        <v>0.03</v>
      </c>
      <c r="T11" s="450">
        <f t="shared" si="5"/>
        <v>9.9999400000000006E-3</v>
      </c>
      <c r="U11" s="450">
        <f t="shared" si="6"/>
        <v>1.8974339999999999E-2</v>
      </c>
      <c r="V11" s="450">
        <f t="shared" si="7"/>
        <v>1.6184999999999998E-2</v>
      </c>
      <c r="W11" s="450">
        <f t="shared" si="8"/>
        <v>1.162404E-2</v>
      </c>
      <c r="X11" s="450">
        <f t="shared" si="9"/>
        <v>1.974768E-3</v>
      </c>
      <c r="Y11" s="450">
        <f t="shared" si="10"/>
        <v>1.253E-3</v>
      </c>
      <c r="Z11" s="450">
        <f t="shared" si="11"/>
        <v>0.56000000000000005</v>
      </c>
      <c r="AA11" s="450">
        <f t="shared" si="12"/>
        <v>1.3256820000000001E-2</v>
      </c>
    </row>
    <row r="12" spans="1:35" x14ac:dyDescent="0.2">
      <c r="A12" s="321" t="s">
        <v>17</v>
      </c>
      <c r="B12" s="321">
        <v>100</v>
      </c>
      <c r="C12" s="321">
        <v>2.6</v>
      </c>
      <c r="D12" s="453">
        <v>10.3</v>
      </c>
      <c r="E12" s="453">
        <v>5.4</v>
      </c>
      <c r="F12" s="321">
        <v>37</v>
      </c>
      <c r="G12" s="321">
        <v>95</v>
      </c>
      <c r="H12" s="321">
        <v>100</v>
      </c>
      <c r="I12" s="321">
        <v>50</v>
      </c>
      <c r="J12" s="321">
        <v>9</v>
      </c>
      <c r="K12" s="453">
        <v>1.2</v>
      </c>
      <c r="L12" s="321">
        <v>1.9</v>
      </c>
      <c r="M12" s="321">
        <v>62</v>
      </c>
      <c r="N12" s="451"/>
      <c r="O12" s="451" t="str">
        <f t="shared" si="13"/>
        <v>Infatrini</v>
      </c>
      <c r="P12" s="450">
        <f t="shared" si="1"/>
        <v>1</v>
      </c>
      <c r="Q12" s="450">
        <f t="shared" si="2"/>
        <v>2.6000000000000002E-2</v>
      </c>
      <c r="R12" s="450">
        <f t="shared" si="3"/>
        <v>0.10300000000000001</v>
      </c>
      <c r="S12" s="450">
        <f t="shared" si="4"/>
        <v>5.4000000000000006E-2</v>
      </c>
      <c r="T12" s="450">
        <f t="shared" si="5"/>
        <v>1.6086860000000001E-2</v>
      </c>
      <c r="U12" s="450">
        <f t="shared" si="6"/>
        <v>2.4358950000000001E-2</v>
      </c>
      <c r="V12" s="450">
        <f t="shared" si="7"/>
        <v>2.4899999999999999E-2</v>
      </c>
      <c r="W12" s="450">
        <f t="shared" si="8"/>
        <v>1.6144499999999999E-2</v>
      </c>
      <c r="X12" s="450">
        <f t="shared" si="9"/>
        <v>3.7026899999999998E-3</v>
      </c>
      <c r="Y12" s="450">
        <f t="shared" si="10"/>
        <v>2.1479999999999999E-4</v>
      </c>
      <c r="Z12" s="450">
        <f t="shared" si="11"/>
        <v>0.76</v>
      </c>
      <c r="AA12" s="450">
        <f t="shared" si="12"/>
        <v>1.7487719999999998E-2</v>
      </c>
    </row>
    <row r="13" spans="1:35" x14ac:dyDescent="0.2">
      <c r="A13" s="321" t="s">
        <v>827</v>
      </c>
      <c r="B13" s="321">
        <v>100</v>
      </c>
      <c r="C13" s="321">
        <v>2.6</v>
      </c>
      <c r="D13" s="453">
        <v>10.3</v>
      </c>
      <c r="E13" s="453">
        <v>5.4</v>
      </c>
      <c r="F13" s="321">
        <v>32</v>
      </c>
      <c r="G13" s="321">
        <v>108</v>
      </c>
      <c r="H13" s="321">
        <v>80</v>
      </c>
      <c r="I13" s="321">
        <v>40</v>
      </c>
      <c r="J13" s="321">
        <v>8</v>
      </c>
      <c r="K13" s="453">
        <v>1</v>
      </c>
      <c r="L13" s="321">
        <v>1.7</v>
      </c>
      <c r="M13" s="321">
        <v>64</v>
      </c>
      <c r="N13" s="451"/>
      <c r="O13" s="451" t="str">
        <f t="shared" si="13"/>
        <v>Infatrini Peptisorb</v>
      </c>
      <c r="P13" s="450">
        <f t="shared" si="1"/>
        <v>1</v>
      </c>
      <c r="Q13" s="450">
        <f t="shared" si="2"/>
        <v>2.6000000000000002E-2</v>
      </c>
      <c r="R13" s="450">
        <f t="shared" si="3"/>
        <v>0.10300000000000001</v>
      </c>
      <c r="S13" s="450">
        <f t="shared" si="4"/>
        <v>5.4000000000000006E-2</v>
      </c>
      <c r="T13" s="450">
        <f t="shared" si="5"/>
        <v>1.391296E-2</v>
      </c>
      <c r="U13" s="450">
        <f t="shared" si="6"/>
        <v>2.769228E-2</v>
      </c>
      <c r="V13" s="450">
        <f t="shared" si="7"/>
        <v>1.992E-2</v>
      </c>
      <c r="W13" s="450">
        <f t="shared" si="8"/>
        <v>1.2915600000000001E-2</v>
      </c>
      <c r="X13" s="450">
        <f t="shared" si="9"/>
        <v>3.2912799999999997E-3</v>
      </c>
      <c r="Y13" s="450">
        <f t="shared" si="10"/>
        <v>1.7899999999999999E-4</v>
      </c>
      <c r="Z13" s="450">
        <f t="shared" si="11"/>
        <v>0.68</v>
      </c>
      <c r="AA13" s="450">
        <f t="shared" si="12"/>
        <v>1.805184E-2</v>
      </c>
    </row>
    <row r="14" spans="1:35" x14ac:dyDescent="0.2">
      <c r="A14" s="321" t="s">
        <v>823</v>
      </c>
      <c r="B14" s="321">
        <v>67</v>
      </c>
      <c r="C14" s="321">
        <v>1.6</v>
      </c>
      <c r="D14" s="453">
        <v>7</v>
      </c>
      <c r="E14" s="453">
        <v>3.5</v>
      </c>
      <c r="F14" s="321">
        <v>20</v>
      </c>
      <c r="G14" s="321">
        <v>81</v>
      </c>
      <c r="H14" s="321">
        <v>47</v>
      </c>
      <c r="I14" s="321">
        <v>26</v>
      </c>
      <c r="J14" s="321">
        <v>5.3</v>
      </c>
      <c r="K14" s="456">
        <v>0.53</v>
      </c>
      <c r="L14" s="321">
        <v>1.3</v>
      </c>
      <c r="M14" s="321">
        <v>40</v>
      </c>
      <c r="N14" s="451"/>
      <c r="O14" s="451" t="str">
        <f t="shared" si="13"/>
        <v>Nutrilon Pepti 1</v>
      </c>
      <c r="P14" s="450">
        <f t="shared" si="1"/>
        <v>0.67</v>
      </c>
      <c r="Q14" s="450">
        <f t="shared" si="2"/>
        <v>1.6E-2</v>
      </c>
      <c r="R14" s="450">
        <f t="shared" si="3"/>
        <v>7.0000000000000007E-2</v>
      </c>
      <c r="S14" s="450">
        <f t="shared" si="4"/>
        <v>3.5000000000000003E-2</v>
      </c>
      <c r="T14" s="450">
        <f t="shared" si="5"/>
        <v>8.6956000000000012E-3</v>
      </c>
      <c r="U14" s="450">
        <f t="shared" si="6"/>
        <v>2.076921E-2</v>
      </c>
      <c r="V14" s="450">
        <f t="shared" si="7"/>
        <v>1.1702999999999998E-2</v>
      </c>
      <c r="W14" s="450">
        <f t="shared" si="8"/>
        <v>8.3951400000000006E-3</v>
      </c>
      <c r="X14" s="450">
        <f t="shared" si="9"/>
        <v>2.1804729999999996E-3</v>
      </c>
      <c r="Y14" s="450">
        <f t="shared" si="10"/>
        <v>9.4870000000000005E-5</v>
      </c>
      <c r="Z14" s="450">
        <f t="shared" si="11"/>
        <v>0.52</v>
      </c>
      <c r="AA14" s="450">
        <f t="shared" si="12"/>
        <v>1.12824E-2</v>
      </c>
    </row>
    <row r="15" spans="1:35" x14ac:dyDescent="0.2">
      <c r="A15" s="321" t="s">
        <v>386</v>
      </c>
      <c r="B15" s="321">
        <v>101</v>
      </c>
      <c r="C15" s="321">
        <v>2.7</v>
      </c>
      <c r="D15" s="453">
        <v>12.3</v>
      </c>
      <c r="E15" s="453">
        <v>4.4000000000000004</v>
      </c>
      <c r="F15" s="321">
        <v>60</v>
      </c>
      <c r="G15" s="321">
        <v>110</v>
      </c>
      <c r="H15" s="321">
        <v>60</v>
      </c>
      <c r="I15" s="321">
        <v>50</v>
      </c>
      <c r="J15" s="321">
        <v>11</v>
      </c>
      <c r="K15" s="457">
        <v>1</v>
      </c>
      <c r="L15" s="321">
        <v>1</v>
      </c>
      <c r="M15" s="321">
        <v>95</v>
      </c>
      <c r="N15" s="451"/>
      <c r="O15" s="451" t="str">
        <f t="shared" si="13"/>
        <v>Nutrini Multi Fibre</v>
      </c>
      <c r="P15" s="450">
        <f t="shared" si="1"/>
        <v>1.01</v>
      </c>
      <c r="Q15" s="450">
        <f t="shared" si="2"/>
        <v>2.7000000000000003E-2</v>
      </c>
      <c r="R15" s="450">
        <f t="shared" si="3"/>
        <v>0.12300000000000001</v>
      </c>
      <c r="S15" s="450">
        <f t="shared" si="4"/>
        <v>4.4000000000000004E-2</v>
      </c>
      <c r="T15" s="450">
        <f t="shared" si="5"/>
        <v>2.60868E-2</v>
      </c>
      <c r="U15" s="450">
        <f t="shared" si="6"/>
        <v>2.82051E-2</v>
      </c>
      <c r="V15" s="450">
        <f t="shared" si="7"/>
        <v>1.494E-2</v>
      </c>
      <c r="W15" s="450">
        <f t="shared" si="8"/>
        <v>1.6144499999999999E-2</v>
      </c>
      <c r="X15" s="450">
        <f t="shared" si="9"/>
        <v>4.5255099999999999E-3</v>
      </c>
      <c r="Y15" s="450">
        <f t="shared" si="10"/>
        <v>1.7899999999999999E-4</v>
      </c>
      <c r="Z15" s="450">
        <f t="shared" si="11"/>
        <v>0.4</v>
      </c>
      <c r="AA15" s="450">
        <f t="shared" si="12"/>
        <v>2.6795699999999999E-2</v>
      </c>
    </row>
    <row r="16" spans="1:35" x14ac:dyDescent="0.2">
      <c r="A16" s="321" t="s">
        <v>387</v>
      </c>
      <c r="B16" s="321">
        <v>151</v>
      </c>
      <c r="C16" s="321">
        <v>4</v>
      </c>
      <c r="D16" s="453">
        <v>18.5</v>
      </c>
      <c r="E16" s="453">
        <v>6.7</v>
      </c>
      <c r="F16" s="321">
        <v>90</v>
      </c>
      <c r="G16" s="321">
        <v>165</v>
      </c>
      <c r="H16" s="321">
        <v>90</v>
      </c>
      <c r="I16" s="321">
        <v>75</v>
      </c>
      <c r="J16" s="321">
        <v>17</v>
      </c>
      <c r="K16" s="453">
        <v>1.5</v>
      </c>
      <c r="L16" s="321">
        <v>1.5</v>
      </c>
      <c r="M16" s="321">
        <v>143</v>
      </c>
      <c r="N16" s="451"/>
      <c r="O16" s="451" t="str">
        <f t="shared" si="13"/>
        <v>Nutrini Energy Multi Fibre</v>
      </c>
      <c r="P16" s="450">
        <f t="shared" si="1"/>
        <v>1.51</v>
      </c>
      <c r="Q16" s="450">
        <f t="shared" si="2"/>
        <v>0.04</v>
      </c>
      <c r="R16" s="450">
        <f t="shared" si="3"/>
        <v>0.185</v>
      </c>
      <c r="S16" s="450">
        <f t="shared" si="4"/>
        <v>6.7000000000000004E-2</v>
      </c>
      <c r="T16" s="450">
        <f t="shared" si="5"/>
        <v>3.9130200000000004E-2</v>
      </c>
      <c r="U16" s="450">
        <f t="shared" si="6"/>
        <v>4.2307650000000002E-2</v>
      </c>
      <c r="V16" s="450">
        <f t="shared" si="7"/>
        <v>2.2409999999999996E-2</v>
      </c>
      <c r="W16" s="450">
        <f t="shared" si="8"/>
        <v>2.4216749999999999E-2</v>
      </c>
      <c r="X16" s="450">
        <f t="shared" si="9"/>
        <v>6.9939699999999995E-3</v>
      </c>
      <c r="Y16" s="450">
        <f t="shared" si="10"/>
        <v>2.6849999999999997E-4</v>
      </c>
      <c r="Z16" s="450">
        <f t="shared" si="11"/>
        <v>0.6</v>
      </c>
      <c r="AA16" s="450">
        <f t="shared" si="12"/>
        <v>4.0334579999999995E-2</v>
      </c>
    </row>
    <row r="17" spans="1:27" x14ac:dyDescent="0.2">
      <c r="A17" s="321" t="s">
        <v>828</v>
      </c>
      <c r="B17" s="321">
        <v>100</v>
      </c>
      <c r="C17" s="321">
        <v>2.8</v>
      </c>
      <c r="D17" s="453">
        <v>13.7</v>
      </c>
      <c r="E17" s="453">
        <v>3.9</v>
      </c>
      <c r="F17" s="321">
        <v>60</v>
      </c>
      <c r="G17" s="321">
        <v>110</v>
      </c>
      <c r="H17" s="321">
        <v>60</v>
      </c>
      <c r="I17" s="321">
        <v>50</v>
      </c>
      <c r="J17" s="321">
        <v>11</v>
      </c>
      <c r="K17" s="457">
        <v>1</v>
      </c>
      <c r="L17" s="457">
        <v>1</v>
      </c>
      <c r="M17" s="321">
        <v>95</v>
      </c>
      <c r="N17" s="451"/>
      <c r="O17" s="451" t="str">
        <f t="shared" si="13"/>
        <v>Nutrini Peptisorb</v>
      </c>
      <c r="P17" s="450">
        <f t="shared" si="1"/>
        <v>1</v>
      </c>
      <c r="Q17" s="450">
        <f t="shared" si="2"/>
        <v>2.7999999999999997E-2</v>
      </c>
      <c r="R17" s="450">
        <f t="shared" si="3"/>
        <v>0.13699999999999998</v>
      </c>
      <c r="S17" s="450">
        <f t="shared" si="4"/>
        <v>3.9E-2</v>
      </c>
      <c r="T17" s="450">
        <f t="shared" si="5"/>
        <v>2.60868E-2</v>
      </c>
      <c r="U17" s="450">
        <f t="shared" si="6"/>
        <v>2.82051E-2</v>
      </c>
      <c r="V17" s="450">
        <f t="shared" si="7"/>
        <v>1.494E-2</v>
      </c>
      <c r="W17" s="450">
        <f t="shared" si="8"/>
        <v>1.6144499999999999E-2</v>
      </c>
      <c r="X17" s="450">
        <f t="shared" si="9"/>
        <v>4.5255099999999999E-3</v>
      </c>
      <c r="Y17" s="450">
        <f t="shared" si="10"/>
        <v>1.7899999999999999E-4</v>
      </c>
      <c r="Z17" s="450">
        <f t="shared" si="11"/>
        <v>0.4</v>
      </c>
      <c r="AA17" s="450">
        <f t="shared" si="12"/>
        <v>2.6795699999999999E-2</v>
      </c>
    </row>
    <row r="18" spans="1:27" x14ac:dyDescent="0.2">
      <c r="A18" s="321" t="s">
        <v>835</v>
      </c>
      <c r="B18" s="321">
        <v>68</v>
      </c>
      <c r="C18" s="321">
        <v>1.6</v>
      </c>
      <c r="D18" s="453">
        <v>8.1</v>
      </c>
      <c r="E18" s="453">
        <v>3.1</v>
      </c>
      <c r="F18" s="321">
        <v>25</v>
      </c>
      <c r="G18" s="321">
        <v>78</v>
      </c>
      <c r="H18" s="321">
        <v>63</v>
      </c>
      <c r="I18" s="321">
        <v>37</v>
      </c>
      <c r="J18" s="321">
        <v>5.5</v>
      </c>
      <c r="K18" s="453">
        <v>1</v>
      </c>
      <c r="L18" s="321">
        <v>1.4</v>
      </c>
      <c r="M18" s="321">
        <v>42</v>
      </c>
      <c r="N18" s="451"/>
      <c r="O18" s="451" t="str">
        <f t="shared" si="13"/>
        <v>Nutrilon Pepti 2</v>
      </c>
      <c r="P18" s="450">
        <f t="shared" si="1"/>
        <v>0.68</v>
      </c>
      <c r="Q18" s="450">
        <f t="shared" si="2"/>
        <v>1.6E-2</v>
      </c>
      <c r="R18" s="450">
        <f t="shared" si="3"/>
        <v>8.1000000000000003E-2</v>
      </c>
      <c r="S18" s="450">
        <f t="shared" si="4"/>
        <v>3.1E-2</v>
      </c>
      <c r="T18" s="450">
        <f t="shared" si="5"/>
        <v>1.0869500000000001E-2</v>
      </c>
      <c r="U18" s="450">
        <f t="shared" si="6"/>
        <v>1.9999980000000001E-2</v>
      </c>
      <c r="V18" s="450">
        <f t="shared" si="7"/>
        <v>1.5687E-2</v>
      </c>
      <c r="W18" s="450">
        <f t="shared" si="8"/>
        <v>1.194693E-2</v>
      </c>
      <c r="X18" s="450">
        <f t="shared" si="9"/>
        <v>2.262755E-3</v>
      </c>
      <c r="Y18" s="450">
        <f t="shared" si="10"/>
        <v>1.7899999999999999E-4</v>
      </c>
      <c r="Z18" s="450">
        <f t="shared" si="11"/>
        <v>0.56000000000000005</v>
      </c>
      <c r="AA18" s="450">
        <f t="shared" si="12"/>
        <v>1.1846520000000001E-2</v>
      </c>
    </row>
    <row r="19" spans="1:27" x14ac:dyDescent="0.2">
      <c r="A19" s="321" t="s">
        <v>389</v>
      </c>
      <c r="B19" s="321">
        <v>102</v>
      </c>
      <c r="C19" s="321">
        <v>3.3</v>
      </c>
      <c r="D19" s="453">
        <v>12.3</v>
      </c>
      <c r="E19" s="453">
        <v>4.2</v>
      </c>
      <c r="F19" s="321">
        <v>80</v>
      </c>
      <c r="G19" s="321">
        <v>138</v>
      </c>
      <c r="H19" s="321">
        <v>70</v>
      </c>
      <c r="I19" s="321">
        <v>60</v>
      </c>
      <c r="J19" s="321">
        <v>17</v>
      </c>
      <c r="K19" s="453">
        <v>1.3</v>
      </c>
      <c r="L19" s="321">
        <v>0.7</v>
      </c>
      <c r="M19" s="321">
        <v>125</v>
      </c>
      <c r="N19" s="451"/>
      <c r="O19" s="451" t="str">
        <f t="shared" si="13"/>
        <v>NutriniMax Multi Fibre</v>
      </c>
      <c r="P19" s="450">
        <f t="shared" si="1"/>
        <v>1.02</v>
      </c>
      <c r="Q19" s="450">
        <f t="shared" si="2"/>
        <v>3.3000000000000002E-2</v>
      </c>
      <c r="R19" s="450">
        <f t="shared" si="3"/>
        <v>0.12300000000000001</v>
      </c>
      <c r="S19" s="450">
        <f t="shared" si="4"/>
        <v>4.2000000000000003E-2</v>
      </c>
      <c r="T19" s="450">
        <f t="shared" si="5"/>
        <v>3.4782400000000005E-2</v>
      </c>
      <c r="U19" s="450">
        <f t="shared" si="6"/>
        <v>3.5384579999999999E-2</v>
      </c>
      <c r="V19" s="450">
        <f t="shared" si="7"/>
        <v>1.7429999999999998E-2</v>
      </c>
      <c r="W19" s="450">
        <f t="shared" si="8"/>
        <v>1.9373399999999999E-2</v>
      </c>
      <c r="X19" s="450">
        <f t="shared" si="9"/>
        <v>6.9939699999999995E-3</v>
      </c>
      <c r="Y19" s="450">
        <f t="shared" si="10"/>
        <v>2.3269999999999999E-4</v>
      </c>
      <c r="Z19" s="450">
        <f t="shared" si="11"/>
        <v>0.28000000000000003</v>
      </c>
      <c r="AA19" s="450">
        <f t="shared" si="12"/>
        <v>3.5257499999999997E-2</v>
      </c>
    </row>
    <row r="20" spans="1:27" x14ac:dyDescent="0.2">
      <c r="A20" s="321" t="s">
        <v>390</v>
      </c>
      <c r="B20" s="321">
        <v>152</v>
      </c>
      <c r="C20" s="321">
        <v>4.8</v>
      </c>
      <c r="D20" s="453">
        <v>18.5</v>
      </c>
      <c r="E20" s="453">
        <v>6.3</v>
      </c>
      <c r="F20" s="321">
        <v>107</v>
      </c>
      <c r="G20" s="321">
        <v>186</v>
      </c>
      <c r="H20" s="321">
        <v>95</v>
      </c>
      <c r="I20" s="321">
        <v>90</v>
      </c>
      <c r="J20" s="321">
        <v>26</v>
      </c>
      <c r="K20" s="453">
        <v>2</v>
      </c>
      <c r="L20" s="321">
        <v>1.1000000000000001</v>
      </c>
      <c r="M20" s="321">
        <v>147</v>
      </c>
      <c r="N20" s="451"/>
      <c r="O20" s="451" t="str">
        <f t="shared" si="13"/>
        <v>NutriniMax Energy Multi Fibre</v>
      </c>
      <c r="P20" s="450">
        <f t="shared" si="1"/>
        <v>1.52</v>
      </c>
      <c r="Q20" s="450">
        <f t="shared" si="2"/>
        <v>4.8000000000000001E-2</v>
      </c>
      <c r="R20" s="450">
        <f t="shared" si="3"/>
        <v>0.185</v>
      </c>
      <c r="S20" s="450">
        <f t="shared" si="4"/>
        <v>6.3E-2</v>
      </c>
      <c r="T20" s="450">
        <f t="shared" si="5"/>
        <v>4.6521460000000001E-2</v>
      </c>
      <c r="U20" s="450">
        <f t="shared" si="6"/>
        <v>4.769226E-2</v>
      </c>
      <c r="V20" s="450">
        <f t="shared" si="7"/>
        <v>2.3654999999999999E-2</v>
      </c>
      <c r="W20" s="450">
        <f t="shared" si="8"/>
        <v>2.9060099999999998E-2</v>
      </c>
      <c r="X20" s="450">
        <f t="shared" si="9"/>
        <v>1.069666E-2</v>
      </c>
      <c r="Y20" s="450">
        <f t="shared" si="10"/>
        <v>3.5799999999999997E-4</v>
      </c>
      <c r="Z20" s="450">
        <f t="shared" si="11"/>
        <v>0.44</v>
      </c>
      <c r="AA20" s="450">
        <f t="shared" si="12"/>
        <v>4.1462819999999991E-2</v>
      </c>
    </row>
    <row r="21" spans="1:27" x14ac:dyDescent="0.2">
      <c r="A21" s="321" t="s">
        <v>392</v>
      </c>
      <c r="B21" s="321">
        <v>103</v>
      </c>
      <c r="C21" s="321">
        <v>4</v>
      </c>
      <c r="D21" s="453">
        <v>12.3</v>
      </c>
      <c r="E21" s="453">
        <v>3.9</v>
      </c>
      <c r="F21" s="321">
        <v>100</v>
      </c>
      <c r="G21" s="321">
        <v>150</v>
      </c>
      <c r="H21" s="321">
        <v>80</v>
      </c>
      <c r="I21" s="321">
        <v>72</v>
      </c>
      <c r="J21" s="321">
        <v>23</v>
      </c>
      <c r="K21" s="455">
        <v>1.6</v>
      </c>
      <c r="L21" s="454">
        <v>1</v>
      </c>
      <c r="M21" s="321">
        <v>125</v>
      </c>
      <c r="N21" s="451"/>
      <c r="O21" s="451" t="str">
        <f t="shared" si="13"/>
        <v>Nutrison Multi Fibre</v>
      </c>
      <c r="P21" s="450">
        <f t="shared" si="1"/>
        <v>1.03</v>
      </c>
      <c r="Q21" s="450">
        <f t="shared" si="2"/>
        <v>0.04</v>
      </c>
      <c r="R21" s="450">
        <f t="shared" si="3"/>
        <v>0.12300000000000001</v>
      </c>
      <c r="S21" s="450">
        <f t="shared" si="4"/>
        <v>3.9E-2</v>
      </c>
      <c r="T21" s="450">
        <f t="shared" si="5"/>
        <v>4.3478000000000003E-2</v>
      </c>
      <c r="U21" s="450">
        <f t="shared" si="6"/>
        <v>3.8461500000000003E-2</v>
      </c>
      <c r="V21" s="450">
        <f t="shared" si="7"/>
        <v>1.992E-2</v>
      </c>
      <c r="W21" s="450">
        <f t="shared" si="8"/>
        <v>2.3248080000000001E-2</v>
      </c>
      <c r="X21" s="450">
        <f t="shared" si="9"/>
        <v>9.4624299999999991E-3</v>
      </c>
      <c r="Y21" s="450">
        <f t="shared" si="10"/>
        <v>2.8639999999999997E-4</v>
      </c>
      <c r="Z21" s="450">
        <f t="shared" si="11"/>
        <v>0.4</v>
      </c>
      <c r="AA21" s="450">
        <f t="shared" si="12"/>
        <v>3.5257499999999997E-2</v>
      </c>
    </row>
    <row r="22" spans="1:27" x14ac:dyDescent="0.2">
      <c r="A22" s="321" t="s">
        <v>393</v>
      </c>
      <c r="B22" s="321">
        <v>153</v>
      </c>
      <c r="C22" s="321">
        <v>6</v>
      </c>
      <c r="D22" s="453">
        <v>18.399999999999999</v>
      </c>
      <c r="E22" s="453">
        <v>5.8</v>
      </c>
      <c r="F22" s="321">
        <v>134</v>
      </c>
      <c r="G22" s="321">
        <v>201</v>
      </c>
      <c r="H22" s="321">
        <v>84</v>
      </c>
      <c r="I22" s="321">
        <v>84</v>
      </c>
      <c r="J22" s="321">
        <v>30</v>
      </c>
      <c r="K22" s="455">
        <v>2.4</v>
      </c>
      <c r="L22" s="454">
        <v>1.5</v>
      </c>
      <c r="M22" s="321">
        <v>100</v>
      </c>
      <c r="N22" s="451"/>
      <c r="O22" s="451" t="str">
        <f t="shared" si="13"/>
        <v>Nutrison Energy Multi Fibre</v>
      </c>
      <c r="P22" s="450">
        <f t="shared" si="1"/>
        <v>1.53</v>
      </c>
      <c r="Q22" s="450">
        <f t="shared" si="2"/>
        <v>0.06</v>
      </c>
      <c r="R22" s="450">
        <f t="shared" si="3"/>
        <v>0.184</v>
      </c>
      <c r="S22" s="450">
        <f t="shared" si="4"/>
        <v>5.7999999999999996E-2</v>
      </c>
      <c r="T22" s="450">
        <f t="shared" si="5"/>
        <v>5.826052000000001E-2</v>
      </c>
      <c r="U22" s="450">
        <f t="shared" si="6"/>
        <v>5.153841E-2</v>
      </c>
      <c r="V22" s="450">
        <f t="shared" si="7"/>
        <v>2.0915999999999997E-2</v>
      </c>
      <c r="W22" s="450">
        <f t="shared" si="8"/>
        <v>2.7122759999999996E-2</v>
      </c>
      <c r="X22" s="450">
        <f t="shared" si="9"/>
        <v>1.2342299999999999E-2</v>
      </c>
      <c r="Y22" s="450">
        <f t="shared" si="10"/>
        <v>4.2959999999999998E-4</v>
      </c>
      <c r="Z22" s="450">
        <f t="shared" si="11"/>
        <v>0.6</v>
      </c>
      <c r="AA22" s="450">
        <f t="shared" si="12"/>
        <v>2.8205999999999998E-2</v>
      </c>
    </row>
    <row r="23" spans="1:27" x14ac:dyDescent="0.2">
      <c r="A23" s="321" t="s">
        <v>829</v>
      </c>
      <c r="B23" s="321">
        <v>100</v>
      </c>
      <c r="C23" s="321">
        <v>4</v>
      </c>
      <c r="D23" s="453">
        <v>17.600000000000001</v>
      </c>
      <c r="E23" s="453">
        <v>1.7</v>
      </c>
      <c r="F23" s="321">
        <v>100</v>
      </c>
      <c r="G23" s="321">
        <v>150</v>
      </c>
      <c r="H23" s="321">
        <v>80</v>
      </c>
      <c r="I23" s="321">
        <v>72</v>
      </c>
      <c r="J23" s="321">
        <v>23</v>
      </c>
      <c r="K23" s="455">
        <v>1.6</v>
      </c>
      <c r="L23" s="454">
        <v>0.7</v>
      </c>
      <c r="M23" s="321">
        <v>125</v>
      </c>
      <c r="N23" s="451"/>
      <c r="O23" s="451" t="str">
        <f t="shared" si="13"/>
        <v>Nutrison Adv Peptisorb</v>
      </c>
      <c r="P23" s="450">
        <f t="shared" si="1"/>
        <v>1</v>
      </c>
      <c r="Q23" s="450">
        <f t="shared" si="2"/>
        <v>0.04</v>
      </c>
      <c r="R23" s="450">
        <f t="shared" si="3"/>
        <v>0.17600000000000002</v>
      </c>
      <c r="S23" s="450">
        <f t="shared" si="4"/>
        <v>1.7000000000000001E-2</v>
      </c>
      <c r="T23" s="450">
        <f t="shared" si="5"/>
        <v>4.3478000000000003E-2</v>
      </c>
      <c r="U23" s="450">
        <f t="shared" si="6"/>
        <v>3.8461500000000003E-2</v>
      </c>
      <c r="V23" s="450">
        <f t="shared" si="7"/>
        <v>1.992E-2</v>
      </c>
      <c r="W23" s="450">
        <f t="shared" si="8"/>
        <v>2.3248080000000001E-2</v>
      </c>
      <c r="X23" s="450">
        <f t="shared" si="9"/>
        <v>9.4624299999999991E-3</v>
      </c>
      <c r="Y23" s="450">
        <f t="shared" si="10"/>
        <v>2.8639999999999997E-4</v>
      </c>
      <c r="Z23" s="450">
        <f t="shared" si="11"/>
        <v>0.28000000000000003</v>
      </c>
      <c r="AA23" s="450">
        <f t="shared" si="12"/>
        <v>3.5257499999999997E-2</v>
      </c>
    </row>
    <row r="24" spans="1:27" x14ac:dyDescent="0.2">
      <c r="A24" s="321" t="s">
        <v>749</v>
      </c>
      <c r="B24" s="321">
        <v>67</v>
      </c>
      <c r="C24" s="321">
        <v>1.8</v>
      </c>
      <c r="D24" s="453">
        <v>7.2</v>
      </c>
      <c r="E24" s="453">
        <v>3.4</v>
      </c>
      <c r="F24" s="321">
        <v>26.1</v>
      </c>
      <c r="G24" s="321">
        <v>72.5</v>
      </c>
      <c r="H24" s="321">
        <v>65.599999999999994</v>
      </c>
      <c r="I24" s="321">
        <v>47.1</v>
      </c>
      <c r="J24" s="321">
        <v>7</v>
      </c>
      <c r="K24" s="455">
        <v>1</v>
      </c>
      <c r="L24" s="454">
        <v>1.2</v>
      </c>
      <c r="M24" s="321">
        <v>53.3</v>
      </c>
      <c r="N24" s="451"/>
      <c r="O24" s="451" t="str">
        <f t="shared" si="13"/>
        <v>Nutrilon Neocate</v>
      </c>
      <c r="P24" s="450">
        <f t="shared" si="1"/>
        <v>0.67</v>
      </c>
      <c r="Q24" s="450">
        <f t="shared" si="2"/>
        <v>1.8000000000000002E-2</v>
      </c>
      <c r="R24" s="450">
        <f t="shared" si="3"/>
        <v>7.2000000000000008E-2</v>
      </c>
      <c r="S24" s="450">
        <f t="shared" si="4"/>
        <v>3.4000000000000002E-2</v>
      </c>
      <c r="T24" s="450">
        <f t="shared" si="5"/>
        <v>1.1347758000000001E-2</v>
      </c>
      <c r="U24" s="450">
        <f t="shared" si="6"/>
        <v>1.8589725000000001E-2</v>
      </c>
      <c r="V24" s="450">
        <f t="shared" si="7"/>
        <v>1.6334399999999999E-2</v>
      </c>
      <c r="W24" s="450">
        <f t="shared" si="8"/>
        <v>1.5208118999999999E-2</v>
      </c>
      <c r="X24" s="450">
        <f t="shared" si="9"/>
        <v>2.8798700000000001E-3</v>
      </c>
      <c r="Y24" s="450">
        <f t="shared" si="10"/>
        <v>1.7899999999999999E-4</v>
      </c>
      <c r="Z24" s="450">
        <f t="shared" si="11"/>
        <v>0.48</v>
      </c>
      <c r="AA24" s="450">
        <f t="shared" si="12"/>
        <v>1.5033797999999998E-2</v>
      </c>
    </row>
    <row r="25" spans="1:27" x14ac:dyDescent="0.2">
      <c r="A25" s="321" t="s">
        <v>750</v>
      </c>
      <c r="B25" s="321">
        <v>66</v>
      </c>
      <c r="C25" s="321">
        <v>1.8</v>
      </c>
      <c r="D25" s="453">
        <v>6.8</v>
      </c>
      <c r="E25" s="453">
        <v>3.5</v>
      </c>
      <c r="F25" s="321">
        <v>18</v>
      </c>
      <c r="G25" s="321">
        <v>65</v>
      </c>
      <c r="H25" s="321">
        <v>50</v>
      </c>
      <c r="I25" s="321">
        <v>28</v>
      </c>
      <c r="J25" s="321">
        <v>5.0999999999999996</v>
      </c>
      <c r="K25" s="455">
        <v>0.77</v>
      </c>
      <c r="L25" s="454">
        <v>1.3</v>
      </c>
      <c r="M25" s="321">
        <v>40</v>
      </c>
      <c r="N25" s="451"/>
      <c r="O25" s="451" t="str">
        <f t="shared" si="13"/>
        <v>Nutrilon Pepti Junior</v>
      </c>
      <c r="P25" s="450">
        <f t="shared" si="1"/>
        <v>0.66</v>
      </c>
      <c r="Q25" s="450">
        <f t="shared" si="2"/>
        <v>1.8000000000000002E-2</v>
      </c>
      <c r="R25" s="450">
        <f t="shared" si="3"/>
        <v>6.8000000000000005E-2</v>
      </c>
      <c r="S25" s="450">
        <f t="shared" si="4"/>
        <v>3.5000000000000003E-2</v>
      </c>
      <c r="T25" s="450">
        <f t="shared" si="5"/>
        <v>7.8260400000000011E-3</v>
      </c>
      <c r="U25" s="450">
        <f t="shared" si="6"/>
        <v>1.6666650000000002E-2</v>
      </c>
      <c r="V25" s="450">
        <f t="shared" si="7"/>
        <v>1.2449999999999999E-2</v>
      </c>
      <c r="W25" s="450">
        <f t="shared" si="8"/>
        <v>9.0409199999999992E-3</v>
      </c>
      <c r="X25" s="450">
        <f t="shared" si="9"/>
        <v>2.0981909999999997E-3</v>
      </c>
      <c r="Y25" s="450">
        <f t="shared" si="10"/>
        <v>1.3783E-4</v>
      </c>
      <c r="Z25" s="450">
        <f t="shared" si="11"/>
        <v>0.52</v>
      </c>
      <c r="AA25" s="450">
        <f t="shared" si="12"/>
        <v>1.12824E-2</v>
      </c>
    </row>
    <row r="26" spans="1:27" x14ac:dyDescent="0.2">
      <c r="A26" s="458" t="s">
        <v>812</v>
      </c>
      <c r="B26" s="321">
        <v>68</v>
      </c>
      <c r="C26" s="321">
        <v>1</v>
      </c>
      <c r="D26" s="453">
        <v>7.0000000000000009</v>
      </c>
      <c r="E26" s="453">
        <v>4</v>
      </c>
      <c r="F26" s="321">
        <v>20</v>
      </c>
      <c r="G26" s="321">
        <v>50.000000000000007</v>
      </c>
      <c r="H26" s="321">
        <v>30</v>
      </c>
      <c r="I26" s="321">
        <v>15</v>
      </c>
      <c r="J26" s="321">
        <v>3.0000000000000004</v>
      </c>
      <c r="K26" s="453">
        <v>0.1</v>
      </c>
      <c r="L26" s="321">
        <v>0</v>
      </c>
      <c r="M26" s="321">
        <v>43</v>
      </c>
      <c r="N26" s="451"/>
      <c r="O26" s="451" t="str">
        <f t="shared" si="13"/>
        <v>MM of Nenatal 1</v>
      </c>
      <c r="P26" s="450">
        <f t="shared" si="1"/>
        <v>0.68</v>
      </c>
      <c r="Q26" s="450">
        <f t="shared" si="2"/>
        <v>0.01</v>
      </c>
      <c r="R26" s="450">
        <f t="shared" si="3"/>
        <v>7.0000000000000007E-2</v>
      </c>
      <c r="S26" s="450">
        <f t="shared" si="4"/>
        <v>0.04</v>
      </c>
      <c r="T26" s="450">
        <f t="shared" si="5"/>
        <v>8.6956000000000012E-3</v>
      </c>
      <c r="U26" s="450">
        <f t="shared" si="6"/>
        <v>1.2820500000000002E-2</v>
      </c>
      <c r="V26" s="450">
        <f t="shared" si="7"/>
        <v>7.4700000000000001E-3</v>
      </c>
      <c r="W26" s="450">
        <f t="shared" si="8"/>
        <v>4.8433499999999997E-3</v>
      </c>
      <c r="X26" s="450">
        <f t="shared" si="9"/>
        <v>1.23423E-3</v>
      </c>
      <c r="Y26" s="450">
        <f t="shared" si="10"/>
        <v>1.7899999999999998E-5</v>
      </c>
      <c r="Z26" s="450">
        <f t="shared" si="11"/>
        <v>0</v>
      </c>
      <c r="AA26" s="450">
        <f t="shared" si="12"/>
        <v>1.212858E-2</v>
      </c>
    </row>
    <row r="27" spans="1:27" x14ac:dyDescent="0.2">
      <c r="A27" s="458" t="s">
        <v>813</v>
      </c>
      <c r="B27" s="321">
        <v>68</v>
      </c>
      <c r="C27" s="321">
        <v>1</v>
      </c>
      <c r="D27" s="453">
        <v>7.0000000000000009</v>
      </c>
      <c r="E27" s="453">
        <v>4</v>
      </c>
      <c r="F27" s="321">
        <v>20</v>
      </c>
      <c r="G27" s="321">
        <v>50.000000000000007</v>
      </c>
      <c r="H27" s="321">
        <v>30</v>
      </c>
      <c r="I27" s="321">
        <v>15</v>
      </c>
      <c r="J27" s="321">
        <v>3.0000000000000004</v>
      </c>
      <c r="K27" s="453">
        <v>0.1</v>
      </c>
      <c r="L27" s="321">
        <v>0</v>
      </c>
      <c r="M27" s="321">
        <v>43</v>
      </c>
      <c r="N27" s="451"/>
      <c r="O27" s="451" t="str">
        <f t="shared" si="13"/>
        <v>MM of Nenatal Start</v>
      </c>
      <c r="P27" s="450">
        <f t="shared" si="1"/>
        <v>0.68</v>
      </c>
      <c r="Q27" s="450">
        <f t="shared" si="2"/>
        <v>0.01</v>
      </c>
      <c r="R27" s="450">
        <f t="shared" si="3"/>
        <v>7.0000000000000007E-2</v>
      </c>
      <c r="S27" s="450">
        <f t="shared" si="4"/>
        <v>0.04</v>
      </c>
      <c r="T27" s="450">
        <f t="shared" si="5"/>
        <v>8.6956000000000012E-3</v>
      </c>
      <c r="U27" s="450">
        <f t="shared" si="6"/>
        <v>1.2820500000000002E-2</v>
      </c>
      <c r="V27" s="450">
        <f t="shared" si="7"/>
        <v>7.4700000000000001E-3</v>
      </c>
      <c r="W27" s="450">
        <f t="shared" si="8"/>
        <v>4.8433499999999997E-3</v>
      </c>
      <c r="X27" s="450">
        <f t="shared" si="9"/>
        <v>1.23423E-3</v>
      </c>
      <c r="Y27" s="450">
        <f t="shared" si="10"/>
        <v>1.7899999999999998E-5</v>
      </c>
      <c r="Z27" s="450">
        <f t="shared" si="11"/>
        <v>0</v>
      </c>
      <c r="AA27" s="450">
        <f t="shared" si="12"/>
        <v>1.212858E-2</v>
      </c>
    </row>
    <row r="28" spans="1:27" x14ac:dyDescent="0.2">
      <c r="A28" s="458" t="s">
        <v>814</v>
      </c>
      <c r="B28" s="321">
        <v>68</v>
      </c>
      <c r="C28" s="321">
        <v>1</v>
      </c>
      <c r="D28" s="453">
        <v>7.0000000000000009</v>
      </c>
      <c r="E28" s="453">
        <v>4</v>
      </c>
      <c r="F28" s="321">
        <v>20</v>
      </c>
      <c r="G28" s="321">
        <v>50.000000000000007</v>
      </c>
      <c r="H28" s="321">
        <v>30</v>
      </c>
      <c r="I28" s="321">
        <v>15</v>
      </c>
      <c r="J28" s="321">
        <v>3.0000000000000004</v>
      </c>
      <c r="K28" s="453">
        <v>0.1</v>
      </c>
      <c r="L28" s="321">
        <v>0</v>
      </c>
      <c r="M28" s="321">
        <v>43</v>
      </c>
      <c r="N28" s="451"/>
      <c r="O28" s="451" t="str">
        <f t="shared" si="13"/>
        <v>MM of Nutrilon Standaard 1</v>
      </c>
      <c r="P28" s="450">
        <f t="shared" si="1"/>
        <v>0.68</v>
      </c>
      <c r="Q28" s="450">
        <f t="shared" si="2"/>
        <v>0.01</v>
      </c>
      <c r="R28" s="450">
        <f t="shared" si="3"/>
        <v>7.0000000000000007E-2</v>
      </c>
      <c r="S28" s="450">
        <f t="shared" si="4"/>
        <v>0.04</v>
      </c>
      <c r="T28" s="450">
        <f t="shared" si="5"/>
        <v>8.6956000000000012E-3</v>
      </c>
      <c r="U28" s="450">
        <f t="shared" si="6"/>
        <v>1.2820500000000002E-2</v>
      </c>
      <c r="V28" s="450">
        <f t="shared" si="7"/>
        <v>7.4700000000000001E-3</v>
      </c>
      <c r="W28" s="450">
        <f t="shared" si="8"/>
        <v>4.8433499999999997E-3</v>
      </c>
      <c r="X28" s="450">
        <f t="shared" si="9"/>
        <v>1.23423E-3</v>
      </c>
      <c r="Y28" s="450">
        <f t="shared" si="10"/>
        <v>1.7899999999999998E-5</v>
      </c>
      <c r="Z28" s="450">
        <f t="shared" si="11"/>
        <v>0</v>
      </c>
      <c r="AA28" s="450">
        <f t="shared" si="12"/>
        <v>1.212858E-2</v>
      </c>
    </row>
    <row r="29" spans="1:27" x14ac:dyDescent="0.2">
      <c r="A29" s="458" t="s">
        <v>815</v>
      </c>
      <c r="B29" s="321">
        <v>68</v>
      </c>
      <c r="C29" s="321">
        <v>1</v>
      </c>
      <c r="D29" s="453">
        <v>7.0000000000000009</v>
      </c>
      <c r="E29" s="453">
        <v>4</v>
      </c>
      <c r="F29" s="321">
        <v>20</v>
      </c>
      <c r="G29" s="321">
        <v>50.000000000000007</v>
      </c>
      <c r="H29" s="321">
        <v>30</v>
      </c>
      <c r="I29" s="321">
        <v>15</v>
      </c>
      <c r="J29" s="321">
        <v>3.0000000000000004</v>
      </c>
      <c r="K29" s="453">
        <v>0.1</v>
      </c>
      <c r="L29" s="321">
        <v>0</v>
      </c>
      <c r="M29" s="321">
        <v>43</v>
      </c>
      <c r="N29" s="451"/>
      <c r="O29" s="451" t="str">
        <f t="shared" si="13"/>
        <v>MM of Nutrilon Standaard 2</v>
      </c>
      <c r="P29" s="450">
        <f t="shared" si="1"/>
        <v>0.68</v>
      </c>
      <c r="Q29" s="450">
        <f t="shared" si="2"/>
        <v>0.01</v>
      </c>
      <c r="R29" s="450">
        <f t="shared" si="3"/>
        <v>7.0000000000000007E-2</v>
      </c>
      <c r="S29" s="450">
        <f t="shared" si="4"/>
        <v>0.04</v>
      </c>
      <c r="T29" s="450">
        <f t="shared" si="5"/>
        <v>8.6956000000000012E-3</v>
      </c>
      <c r="U29" s="450">
        <f t="shared" si="6"/>
        <v>1.2820500000000002E-2</v>
      </c>
      <c r="V29" s="450">
        <f t="shared" si="7"/>
        <v>7.4700000000000001E-3</v>
      </c>
      <c r="W29" s="450">
        <f t="shared" si="8"/>
        <v>4.8433499999999997E-3</v>
      </c>
      <c r="X29" s="450">
        <f t="shared" si="9"/>
        <v>1.23423E-3</v>
      </c>
      <c r="Y29" s="450">
        <f t="shared" si="10"/>
        <v>1.7899999999999998E-5</v>
      </c>
      <c r="Z29" s="450">
        <f t="shared" si="11"/>
        <v>0</v>
      </c>
      <c r="AA29" s="450">
        <f t="shared" si="12"/>
        <v>1.212858E-2</v>
      </c>
    </row>
    <row r="30" spans="1:27" x14ac:dyDescent="0.2">
      <c r="A30" s="458" t="s">
        <v>816</v>
      </c>
      <c r="B30" s="321">
        <v>68</v>
      </c>
      <c r="C30" s="321">
        <v>1</v>
      </c>
      <c r="D30" s="453">
        <v>7.0000000000000009</v>
      </c>
      <c r="E30" s="453">
        <v>4</v>
      </c>
      <c r="F30" s="321">
        <v>20</v>
      </c>
      <c r="G30" s="321">
        <v>50.000000000000007</v>
      </c>
      <c r="H30" s="321">
        <v>30</v>
      </c>
      <c r="I30" s="321">
        <v>15</v>
      </c>
      <c r="J30" s="321">
        <v>3.0000000000000004</v>
      </c>
      <c r="K30" s="453">
        <v>0.1</v>
      </c>
      <c r="L30" s="321">
        <v>0</v>
      </c>
      <c r="M30" s="321">
        <v>43</v>
      </c>
      <c r="N30" s="451"/>
      <c r="O30" s="451" t="str">
        <f t="shared" si="13"/>
        <v>MM of Hypoallergeen</v>
      </c>
      <c r="P30" s="450">
        <f t="shared" si="1"/>
        <v>0.68</v>
      </c>
      <c r="Q30" s="450">
        <f t="shared" si="2"/>
        <v>0.01</v>
      </c>
      <c r="R30" s="450">
        <f t="shared" si="3"/>
        <v>7.0000000000000007E-2</v>
      </c>
      <c r="S30" s="450">
        <f t="shared" si="4"/>
        <v>0.04</v>
      </c>
      <c r="T30" s="450">
        <f t="shared" si="5"/>
        <v>8.6956000000000012E-3</v>
      </c>
      <c r="U30" s="450">
        <f t="shared" si="6"/>
        <v>1.2820500000000002E-2</v>
      </c>
      <c r="V30" s="450">
        <f t="shared" si="7"/>
        <v>7.4700000000000001E-3</v>
      </c>
      <c r="W30" s="450">
        <f t="shared" si="8"/>
        <v>4.8433499999999997E-3</v>
      </c>
      <c r="X30" s="450">
        <f t="shared" si="9"/>
        <v>1.23423E-3</v>
      </c>
      <c r="Y30" s="450">
        <f t="shared" si="10"/>
        <v>1.7899999999999998E-5</v>
      </c>
      <c r="Z30" s="450">
        <f t="shared" si="11"/>
        <v>0</v>
      </c>
      <c r="AA30" s="450">
        <f t="shared" si="12"/>
        <v>1.212858E-2</v>
      </c>
    </row>
    <row r="31" spans="1:27" x14ac:dyDescent="0.2">
      <c r="A31" s="458" t="s">
        <v>817</v>
      </c>
      <c r="B31" s="321">
        <v>68</v>
      </c>
      <c r="C31" s="321">
        <v>1</v>
      </c>
      <c r="D31" s="453">
        <v>7.0000000000000009</v>
      </c>
      <c r="E31" s="453">
        <v>4</v>
      </c>
      <c r="F31" s="321">
        <v>20</v>
      </c>
      <c r="G31" s="321">
        <v>50.000000000000007</v>
      </c>
      <c r="H31" s="321">
        <v>30</v>
      </c>
      <c r="I31" s="321">
        <v>15</v>
      </c>
      <c r="J31" s="321">
        <v>3.0000000000000004</v>
      </c>
      <c r="K31" s="453">
        <v>0.1</v>
      </c>
      <c r="L31" s="321">
        <v>0</v>
      </c>
      <c r="M31" s="321">
        <v>43</v>
      </c>
      <c r="N31" s="451"/>
      <c r="O31" s="451" t="str">
        <f t="shared" si="13"/>
        <v>MM of Neocate</v>
      </c>
      <c r="P31" s="450">
        <f t="shared" si="1"/>
        <v>0.68</v>
      </c>
      <c r="Q31" s="450">
        <f t="shared" si="2"/>
        <v>0.01</v>
      </c>
      <c r="R31" s="450">
        <f t="shared" si="3"/>
        <v>7.0000000000000007E-2</v>
      </c>
      <c r="S31" s="450">
        <f t="shared" si="4"/>
        <v>0.04</v>
      </c>
      <c r="T31" s="450">
        <f t="shared" si="5"/>
        <v>8.6956000000000012E-3</v>
      </c>
      <c r="U31" s="450">
        <f t="shared" si="6"/>
        <v>1.2820500000000002E-2</v>
      </c>
      <c r="V31" s="450">
        <f t="shared" si="7"/>
        <v>7.4700000000000001E-3</v>
      </c>
      <c r="W31" s="450">
        <f t="shared" si="8"/>
        <v>4.8433499999999997E-3</v>
      </c>
      <c r="X31" s="450">
        <f t="shared" si="9"/>
        <v>1.23423E-3</v>
      </c>
      <c r="Y31" s="450">
        <f t="shared" si="10"/>
        <v>1.7899999999999998E-5</v>
      </c>
      <c r="Z31" s="450">
        <f t="shared" si="11"/>
        <v>0</v>
      </c>
      <c r="AA31" s="450">
        <f t="shared" si="12"/>
        <v>1.212858E-2</v>
      </c>
    </row>
    <row r="32" spans="1:27" x14ac:dyDescent="0.2">
      <c r="A32" s="458" t="s">
        <v>820</v>
      </c>
      <c r="B32" s="458">
        <v>66.3</v>
      </c>
      <c r="C32" s="458">
        <v>1.5</v>
      </c>
      <c r="D32" s="458">
        <v>7</v>
      </c>
      <c r="E32" s="458">
        <v>3.6</v>
      </c>
      <c r="F32" s="458">
        <v>20.3</v>
      </c>
      <c r="G32" s="458">
        <v>67</v>
      </c>
      <c r="H32" s="458">
        <v>53.3</v>
      </c>
      <c r="I32" s="458">
        <v>29.2</v>
      </c>
      <c r="J32" s="458">
        <v>0.08</v>
      </c>
      <c r="K32" s="458">
        <v>0.51</v>
      </c>
      <c r="L32" s="458">
        <v>1.9</v>
      </c>
      <c r="M32" s="321">
        <v>40</v>
      </c>
      <c r="N32" s="451"/>
      <c r="O32" s="451" t="str">
        <f t="shared" si="13"/>
        <v>Nutrilon Caprilon</v>
      </c>
      <c r="P32" s="450">
        <f t="shared" si="1"/>
        <v>0.66299999999999992</v>
      </c>
      <c r="Q32" s="450">
        <f t="shared" si="2"/>
        <v>1.4999999999999999E-2</v>
      </c>
      <c r="R32" s="450">
        <f t="shared" si="3"/>
        <v>7.0000000000000007E-2</v>
      </c>
      <c r="S32" s="450">
        <f t="shared" si="4"/>
        <v>3.6000000000000004E-2</v>
      </c>
      <c r="T32" s="450">
        <f t="shared" si="5"/>
        <v>8.826034E-3</v>
      </c>
      <c r="U32" s="450">
        <f t="shared" si="6"/>
        <v>1.7179470000000002E-2</v>
      </c>
      <c r="V32" s="450">
        <f t="shared" si="7"/>
        <v>1.3271699999999999E-2</v>
      </c>
      <c r="W32" s="450">
        <f t="shared" si="8"/>
        <v>9.4283879999999994E-3</v>
      </c>
      <c r="X32" s="450">
        <f t="shared" si="9"/>
        <v>3.2912799999999994E-5</v>
      </c>
      <c r="Y32" s="450">
        <f t="shared" si="10"/>
        <v>9.1290000000000002E-5</v>
      </c>
      <c r="Z32" s="450">
        <f t="shared" si="11"/>
        <v>0.76</v>
      </c>
      <c r="AA32" s="450">
        <f t="shared" si="12"/>
        <v>1.12824E-2</v>
      </c>
    </row>
    <row r="33" spans="1:27" x14ac:dyDescent="0.2">
      <c r="A33" s="321" t="s">
        <v>751</v>
      </c>
      <c r="B33" s="458">
        <v>66</v>
      </c>
      <c r="C33" s="458">
        <v>1.4</v>
      </c>
      <c r="D33" s="458">
        <v>7.2</v>
      </c>
      <c r="E33" s="458">
        <v>3.5</v>
      </c>
      <c r="F33" s="458">
        <v>20</v>
      </c>
      <c r="G33" s="458">
        <v>65</v>
      </c>
      <c r="H33" s="458">
        <v>50</v>
      </c>
      <c r="I33" s="458">
        <v>30</v>
      </c>
      <c r="J33" s="458">
        <v>6</v>
      </c>
      <c r="K33" s="458">
        <v>0.78</v>
      </c>
      <c r="L33" s="458">
        <v>1.2</v>
      </c>
      <c r="M33" s="458">
        <v>42</v>
      </c>
      <c r="O33" s="451" t="str">
        <f t="shared" si="13"/>
        <v>Hero Baby 1 NS Standaard</v>
      </c>
      <c r="P33" s="450">
        <f t="shared" si="1"/>
        <v>0.66</v>
      </c>
      <c r="Q33" s="450">
        <f t="shared" si="2"/>
        <v>1.3999999999999999E-2</v>
      </c>
      <c r="R33" s="450">
        <f t="shared" si="3"/>
        <v>7.2000000000000008E-2</v>
      </c>
      <c r="S33" s="450">
        <f t="shared" si="4"/>
        <v>3.5000000000000003E-2</v>
      </c>
      <c r="T33" s="450">
        <f t="shared" si="5"/>
        <v>8.6956000000000012E-3</v>
      </c>
      <c r="U33" s="450">
        <f t="shared" si="6"/>
        <v>1.6666650000000002E-2</v>
      </c>
      <c r="V33" s="450">
        <f t="shared" si="7"/>
        <v>1.2449999999999999E-2</v>
      </c>
      <c r="W33" s="450">
        <f t="shared" si="8"/>
        <v>9.6866999999999995E-3</v>
      </c>
      <c r="X33" s="450">
        <f t="shared" si="9"/>
        <v>2.46846E-3</v>
      </c>
      <c r="Y33" s="450">
        <f t="shared" si="10"/>
        <v>1.3961999999999999E-4</v>
      </c>
      <c r="Z33" s="450">
        <f t="shared" si="11"/>
        <v>0.48</v>
      </c>
      <c r="AA33" s="450">
        <f t="shared" si="12"/>
        <v>1.1846520000000001E-2</v>
      </c>
    </row>
    <row r="34" spans="1:27" x14ac:dyDescent="0.2">
      <c r="A34" s="321" t="s">
        <v>752</v>
      </c>
      <c r="B34" s="458">
        <v>70</v>
      </c>
      <c r="C34" s="458">
        <v>1.6</v>
      </c>
      <c r="D34" s="458">
        <v>9.1999999999999993</v>
      </c>
      <c r="E34" s="458">
        <v>2.9</v>
      </c>
      <c r="F34" s="458">
        <v>24</v>
      </c>
      <c r="G34" s="458">
        <v>83</v>
      </c>
      <c r="H34" s="458">
        <v>72</v>
      </c>
      <c r="I34" s="458">
        <v>53</v>
      </c>
      <c r="J34" s="458">
        <v>7.8</v>
      </c>
      <c r="K34" s="458">
        <v>1.1000000000000001</v>
      </c>
      <c r="L34" s="458">
        <v>1.3</v>
      </c>
      <c r="M34" s="458">
        <v>45</v>
      </c>
      <c r="O34" s="451" t="str">
        <f t="shared" si="13"/>
        <v>Hero Baby 2 NS Standaard</v>
      </c>
      <c r="P34" s="450">
        <f t="shared" si="1"/>
        <v>0.7</v>
      </c>
      <c r="Q34" s="450">
        <f t="shared" si="2"/>
        <v>1.6E-2</v>
      </c>
      <c r="R34" s="450">
        <f t="shared" si="3"/>
        <v>9.1999999999999998E-2</v>
      </c>
      <c r="S34" s="450">
        <f t="shared" si="4"/>
        <v>2.8999999999999998E-2</v>
      </c>
      <c r="T34" s="450">
        <f t="shared" si="5"/>
        <v>1.043472E-2</v>
      </c>
      <c r="U34" s="450">
        <f t="shared" si="6"/>
        <v>2.128203E-2</v>
      </c>
      <c r="V34" s="450">
        <f t="shared" si="7"/>
        <v>1.7927999999999999E-2</v>
      </c>
      <c r="W34" s="450">
        <f t="shared" si="8"/>
        <v>1.711317E-2</v>
      </c>
      <c r="X34" s="450">
        <f t="shared" si="9"/>
        <v>3.2089979999999994E-3</v>
      </c>
      <c r="Y34" s="450">
        <f t="shared" si="10"/>
        <v>1.9689999999999999E-4</v>
      </c>
      <c r="Z34" s="450">
        <f t="shared" si="11"/>
        <v>0.52</v>
      </c>
      <c r="AA34" s="450">
        <f t="shared" si="12"/>
        <v>1.2692699999999999E-2</v>
      </c>
    </row>
    <row r="35" spans="1:27" x14ac:dyDescent="0.2">
      <c r="A35" s="321" t="s">
        <v>753</v>
      </c>
      <c r="B35" s="458">
        <v>65</v>
      </c>
      <c r="C35" s="458">
        <v>1.4</v>
      </c>
      <c r="D35" s="458">
        <v>6.8</v>
      </c>
      <c r="E35" s="458">
        <v>3.5</v>
      </c>
      <c r="F35" s="458">
        <v>16</v>
      </c>
      <c r="G35" s="458">
        <v>60.1</v>
      </c>
      <c r="H35" s="458">
        <v>43.9</v>
      </c>
      <c r="I35" s="458">
        <v>26</v>
      </c>
      <c r="J35" s="458">
        <v>4</v>
      </c>
      <c r="K35" s="458">
        <v>0.4</v>
      </c>
      <c r="L35" s="458">
        <v>1.2</v>
      </c>
      <c r="M35" s="458">
        <v>40</v>
      </c>
      <c r="O35" s="451" t="str">
        <f t="shared" si="13"/>
        <v>Hero Baby 1 NS Comfort</v>
      </c>
      <c r="P35" s="450">
        <f t="shared" si="1"/>
        <v>0.65</v>
      </c>
      <c r="Q35" s="450">
        <f t="shared" si="2"/>
        <v>1.3999999999999999E-2</v>
      </c>
      <c r="R35" s="450">
        <f t="shared" si="3"/>
        <v>6.8000000000000005E-2</v>
      </c>
      <c r="S35" s="450">
        <f t="shared" si="4"/>
        <v>3.5000000000000003E-2</v>
      </c>
      <c r="T35" s="450">
        <f t="shared" si="5"/>
        <v>6.9564800000000001E-3</v>
      </c>
      <c r="U35" s="450">
        <f t="shared" si="6"/>
        <v>1.5410241E-2</v>
      </c>
      <c r="V35" s="450">
        <f t="shared" si="7"/>
        <v>1.0931099999999997E-2</v>
      </c>
      <c r="W35" s="450">
        <f t="shared" si="8"/>
        <v>8.3951400000000006E-3</v>
      </c>
      <c r="X35" s="450">
        <f t="shared" si="9"/>
        <v>1.6456399999999999E-3</v>
      </c>
      <c r="Y35" s="450">
        <f t="shared" si="10"/>
        <v>7.1599999999999992E-5</v>
      </c>
      <c r="Z35" s="450">
        <f t="shared" si="11"/>
        <v>0.48</v>
      </c>
      <c r="AA35" s="450">
        <f t="shared" si="12"/>
        <v>1.12824E-2</v>
      </c>
    </row>
    <row r="36" spans="1:27" x14ac:dyDescent="0.2">
      <c r="A36" s="321" t="s">
        <v>754</v>
      </c>
      <c r="B36" s="458">
        <v>62</v>
      </c>
      <c r="C36" s="458">
        <v>1.3</v>
      </c>
      <c r="D36" s="458">
        <v>6.4</v>
      </c>
      <c r="E36" s="458">
        <v>3.3</v>
      </c>
      <c r="F36" s="458">
        <v>15</v>
      </c>
      <c r="G36" s="458">
        <v>56.8</v>
      </c>
      <c r="H36" s="458">
        <v>41.6</v>
      </c>
      <c r="I36" s="458">
        <v>25</v>
      </c>
      <c r="J36" s="458">
        <v>3.79</v>
      </c>
      <c r="K36" s="458">
        <v>1</v>
      </c>
      <c r="L36" s="458">
        <v>1.1000000000000001</v>
      </c>
      <c r="M36" s="458">
        <v>37.9</v>
      </c>
      <c r="O36" s="451" t="str">
        <f t="shared" si="13"/>
        <v>Hero Baby 2 NS Comfort</v>
      </c>
      <c r="P36" s="450">
        <f t="shared" si="1"/>
        <v>0.62</v>
      </c>
      <c r="Q36" s="450">
        <f t="shared" si="2"/>
        <v>1.3000000000000001E-2</v>
      </c>
      <c r="R36" s="450">
        <f t="shared" si="3"/>
        <v>6.4000000000000001E-2</v>
      </c>
      <c r="S36" s="450">
        <f t="shared" si="4"/>
        <v>3.3000000000000002E-2</v>
      </c>
      <c r="T36" s="450">
        <f t="shared" si="5"/>
        <v>6.5217000000000001E-3</v>
      </c>
      <c r="U36" s="450">
        <f t="shared" si="6"/>
        <v>1.4564087999999999E-2</v>
      </c>
      <c r="V36" s="450">
        <f t="shared" si="7"/>
        <v>1.0358399999999999E-2</v>
      </c>
      <c r="W36" s="450">
        <f t="shared" si="8"/>
        <v>8.0722499999999996E-3</v>
      </c>
      <c r="X36" s="450">
        <f t="shared" si="9"/>
        <v>1.5592439E-3</v>
      </c>
      <c r="Y36" s="450">
        <f t="shared" si="10"/>
        <v>1.7899999999999999E-4</v>
      </c>
      <c r="Z36" s="450">
        <f t="shared" si="11"/>
        <v>0.44</v>
      </c>
      <c r="AA36" s="450">
        <f t="shared" si="12"/>
        <v>1.0690073999999999E-2</v>
      </c>
    </row>
    <row r="37" spans="1:27" x14ac:dyDescent="0.2">
      <c r="A37" s="321" t="s">
        <v>821</v>
      </c>
      <c r="B37" s="458">
        <v>66</v>
      </c>
      <c r="C37" s="458">
        <v>2</v>
      </c>
      <c r="D37" s="458">
        <v>6.6</v>
      </c>
      <c r="E37" s="458">
        <v>3.5</v>
      </c>
      <c r="F37" s="458">
        <v>22</v>
      </c>
      <c r="G37" s="458">
        <v>69.3</v>
      </c>
      <c r="H37" s="458">
        <v>66.3</v>
      </c>
      <c r="I37" s="458">
        <v>39</v>
      </c>
      <c r="J37" s="458">
        <v>6.58</v>
      </c>
      <c r="K37" s="458">
        <v>0.87</v>
      </c>
      <c r="L37" s="458">
        <v>1.3</v>
      </c>
      <c r="M37" s="458">
        <v>45.2</v>
      </c>
      <c r="O37" s="451" t="str">
        <f t="shared" si="13"/>
        <v>Hero Baby 1 NS Prematuur</v>
      </c>
      <c r="P37" s="450">
        <f t="shared" si="1"/>
        <v>0.66</v>
      </c>
      <c r="Q37" s="450">
        <f t="shared" si="2"/>
        <v>0.02</v>
      </c>
      <c r="R37" s="450">
        <f t="shared" si="3"/>
        <v>6.6000000000000003E-2</v>
      </c>
      <c r="S37" s="450">
        <f t="shared" si="4"/>
        <v>3.5000000000000003E-2</v>
      </c>
      <c r="T37" s="450">
        <f t="shared" si="5"/>
        <v>9.5651599999999996E-3</v>
      </c>
      <c r="U37" s="450">
        <f t="shared" si="6"/>
        <v>1.7769212999999999E-2</v>
      </c>
      <c r="V37" s="450">
        <f t="shared" si="7"/>
        <v>1.6508699999999998E-2</v>
      </c>
      <c r="W37" s="450">
        <f t="shared" si="8"/>
        <v>1.259271E-2</v>
      </c>
      <c r="X37" s="450">
        <f t="shared" si="9"/>
        <v>2.7070778000000003E-3</v>
      </c>
      <c r="Y37" s="450">
        <f t="shared" si="10"/>
        <v>1.5573E-4</v>
      </c>
      <c r="Z37" s="450">
        <f t="shared" si="11"/>
        <v>0.52</v>
      </c>
      <c r="AA37" s="450">
        <f t="shared" si="12"/>
        <v>1.2749112E-2</v>
      </c>
    </row>
    <row r="38" spans="1:27" x14ac:dyDescent="0.2">
      <c r="A38" s="321" t="s">
        <v>822</v>
      </c>
      <c r="B38" s="458">
        <v>79</v>
      </c>
      <c r="C38" s="458">
        <v>2.6</v>
      </c>
      <c r="D38" s="458">
        <v>8.3000000000000007</v>
      </c>
      <c r="E38" s="458">
        <v>4</v>
      </c>
      <c r="F38" s="458">
        <v>51</v>
      </c>
      <c r="G38" s="458">
        <v>88</v>
      </c>
      <c r="H38" s="458">
        <v>96</v>
      </c>
      <c r="I38" s="458">
        <v>54.4</v>
      </c>
      <c r="J38" s="458">
        <v>8.9</v>
      </c>
      <c r="K38" s="458">
        <v>1.8</v>
      </c>
      <c r="L38" s="458">
        <v>1.9</v>
      </c>
      <c r="M38" s="458">
        <v>76.8</v>
      </c>
      <c r="O38" s="451" t="str">
        <f t="shared" si="13"/>
        <v>Hero Baby Prematuur Start</v>
      </c>
      <c r="P38" s="450">
        <f t="shared" si="1"/>
        <v>0.79</v>
      </c>
      <c r="Q38" s="450">
        <f t="shared" si="2"/>
        <v>2.6000000000000002E-2</v>
      </c>
      <c r="R38" s="450">
        <f t="shared" si="3"/>
        <v>8.3000000000000004E-2</v>
      </c>
      <c r="S38" s="450">
        <f t="shared" si="4"/>
        <v>0.04</v>
      </c>
      <c r="T38" s="450">
        <f t="shared" si="5"/>
        <v>2.2173780000000001E-2</v>
      </c>
      <c r="U38" s="450">
        <f t="shared" si="6"/>
        <v>2.256408E-2</v>
      </c>
      <c r="V38" s="450">
        <f t="shared" si="7"/>
        <v>2.3903999999999995E-2</v>
      </c>
      <c r="W38" s="450">
        <f t="shared" si="8"/>
        <v>1.7565215999999998E-2</v>
      </c>
      <c r="X38" s="450">
        <f t="shared" si="9"/>
        <v>3.6615490000000001E-3</v>
      </c>
      <c r="Y38" s="450">
        <f t="shared" si="10"/>
        <v>3.2219999999999997E-4</v>
      </c>
      <c r="Z38" s="450">
        <f t="shared" si="11"/>
        <v>0.76</v>
      </c>
      <c r="AA38" s="450">
        <f t="shared" si="12"/>
        <v>2.1662207999999995E-2</v>
      </c>
    </row>
    <row r="39" spans="1:27" x14ac:dyDescent="0.2">
      <c r="A39" s="451" t="s">
        <v>4100</v>
      </c>
      <c r="B39" s="450">
        <v>0</v>
      </c>
      <c r="C39" s="450">
        <v>0</v>
      </c>
      <c r="D39" s="450">
        <v>0</v>
      </c>
      <c r="E39" s="450">
        <v>0</v>
      </c>
      <c r="F39" s="450">
        <v>0</v>
      </c>
      <c r="G39" s="450">
        <v>0</v>
      </c>
      <c r="H39" s="450">
        <v>0</v>
      </c>
      <c r="I39" s="450">
        <v>0</v>
      </c>
      <c r="J39" s="450">
        <v>0</v>
      </c>
      <c r="K39" s="450">
        <v>0</v>
      </c>
      <c r="L39" s="450">
        <v>0</v>
      </c>
      <c r="M39" s="450">
        <v>0</v>
      </c>
      <c r="O39" s="451" t="str">
        <f t="shared" si="13"/>
        <v>Speciale Voeding</v>
      </c>
      <c r="P39" s="450">
        <f t="shared" ref="P39" si="14">VLOOKUP(P$3,Tbl_Glob_Conversie,2,FALSE)*B39/100</f>
        <v>0</v>
      </c>
      <c r="Q39" s="450">
        <f t="shared" ref="Q39" si="15">VLOOKUP(Q$3,Tbl_Glob_Conversie,2,FALSE)*C39/100</f>
        <v>0</v>
      </c>
      <c r="R39" s="450">
        <f t="shared" ref="R39" si="16">VLOOKUP(R$3,Tbl_Glob_Conversie,2,FALSE)*D39/100</f>
        <v>0</v>
      </c>
      <c r="S39" s="450">
        <f t="shared" ref="S39" si="17">VLOOKUP(S$3,Tbl_Glob_Conversie,2,FALSE)*E39/100</f>
        <v>0</v>
      </c>
      <c r="T39" s="450">
        <f t="shared" ref="T39" si="18">VLOOKUP(T$3,Tbl_Glob_Conversie,2,FALSE)*F39/100</f>
        <v>0</v>
      </c>
      <c r="U39" s="450">
        <f t="shared" ref="U39" si="19">VLOOKUP(U$3,Tbl_Glob_Conversie,2,FALSE)*G39/100</f>
        <v>0</v>
      </c>
      <c r="V39" s="450">
        <f t="shared" ref="V39" si="20">VLOOKUP(V$3,Tbl_Glob_Conversie,2,FALSE)*H39/100</f>
        <v>0</v>
      </c>
      <c r="W39" s="450">
        <f t="shared" ref="W39" si="21">VLOOKUP(W$3,Tbl_Glob_Conversie,2,FALSE)*I39/100</f>
        <v>0</v>
      </c>
      <c r="X39" s="450">
        <f t="shared" ref="X39" si="22">VLOOKUP(X$3,Tbl_Glob_Conversie,2,FALSE)*J39/100</f>
        <v>0</v>
      </c>
      <c r="Y39" s="450">
        <f t="shared" ref="Y39" si="23">VLOOKUP(Y$3,Tbl_Glob_Conversie,2,FALSE)*K39/100</f>
        <v>0</v>
      </c>
      <c r="Z39" s="450">
        <f t="shared" ref="Z39" si="24">VLOOKUP(Z$3,Tbl_Glob_Conversie,2,FALSE)*L39/100</f>
        <v>0</v>
      </c>
      <c r="AA39" s="450">
        <f t="shared" ref="AA39" si="25">VLOOKUP(AA$3,Tbl_Glob_Conversie,2,FALSE)*M39/100</f>
        <v>0</v>
      </c>
    </row>
    <row r="40" spans="1:27" x14ac:dyDescent="0.2">
      <c r="A40" s="451"/>
      <c r="R40" s="451"/>
    </row>
    <row r="41" spans="1:27" x14ac:dyDescent="0.2">
      <c r="A41" s="451"/>
    </row>
    <row r="42" spans="1:27" x14ac:dyDescent="0.2">
      <c r="A42" s="451"/>
    </row>
    <row r="43" spans="1:27" x14ac:dyDescent="0.2">
      <c r="A43" s="449" t="s">
        <v>4775</v>
      </c>
      <c r="B43" s="555" t="s">
        <v>4102</v>
      </c>
      <c r="O43" s="449" t="s">
        <v>4087</v>
      </c>
      <c r="P43" s="555" t="s">
        <v>4777</v>
      </c>
    </row>
    <row r="44" spans="1:27" x14ac:dyDescent="0.2">
      <c r="C44" s="451" t="s">
        <v>29</v>
      </c>
      <c r="D44" s="451" t="s">
        <v>29</v>
      </c>
      <c r="E44" s="451" t="s">
        <v>29</v>
      </c>
      <c r="F44" s="451" t="s">
        <v>121</v>
      </c>
      <c r="G44" s="451" t="s">
        <v>121</v>
      </c>
      <c r="H44" s="451" t="s">
        <v>121</v>
      </c>
      <c r="I44" s="451" t="s">
        <v>121</v>
      </c>
      <c r="J44" s="451" t="s">
        <v>121</v>
      </c>
      <c r="K44" s="451" t="s">
        <v>121</v>
      </c>
      <c r="L44" s="451" t="s">
        <v>743</v>
      </c>
      <c r="M44" s="451" t="s">
        <v>121</v>
      </c>
      <c r="N44" s="451"/>
      <c r="O44" s="452"/>
      <c r="P44" s="451">
        <v>2</v>
      </c>
      <c r="Q44" s="451">
        <v>3</v>
      </c>
      <c r="R44" s="451">
        <v>4</v>
      </c>
      <c r="S44" s="451">
        <v>5</v>
      </c>
      <c r="T44" s="451">
        <v>6</v>
      </c>
      <c r="U44" s="451">
        <v>7</v>
      </c>
      <c r="V44" s="451">
        <v>8</v>
      </c>
      <c r="W44" s="451">
        <v>9</v>
      </c>
      <c r="X44" s="451">
        <v>10</v>
      </c>
      <c r="Y44" s="451">
        <v>11</v>
      </c>
      <c r="Z44" s="451">
        <v>12</v>
      </c>
      <c r="AA44" s="451">
        <v>13</v>
      </c>
    </row>
    <row r="45" spans="1:27" x14ac:dyDescent="0.2">
      <c r="A45" s="451"/>
      <c r="B45" s="451" t="s">
        <v>178</v>
      </c>
      <c r="C45" s="451" t="s">
        <v>172</v>
      </c>
      <c r="D45" s="451" t="s">
        <v>422</v>
      </c>
      <c r="E45" s="451" t="s">
        <v>423</v>
      </c>
      <c r="F45" s="451" t="s">
        <v>173</v>
      </c>
      <c r="G45" s="451" t="s">
        <v>174</v>
      </c>
      <c r="H45" s="451" t="s">
        <v>175</v>
      </c>
      <c r="I45" s="451" t="s">
        <v>421</v>
      </c>
      <c r="J45" s="451" t="s">
        <v>176</v>
      </c>
      <c r="K45" s="451" t="s">
        <v>741</v>
      </c>
      <c r="L45" s="451" t="s">
        <v>742</v>
      </c>
      <c r="M45" s="451" t="s">
        <v>466</v>
      </c>
      <c r="N45" s="451"/>
      <c r="O45" s="451"/>
      <c r="P45" s="451" t="s">
        <v>178</v>
      </c>
      <c r="Q45" s="451" t="s">
        <v>147</v>
      </c>
      <c r="R45" s="451" t="s">
        <v>179</v>
      </c>
      <c r="S45" s="451" t="s">
        <v>148</v>
      </c>
      <c r="T45" s="451" t="s">
        <v>173</v>
      </c>
      <c r="U45" s="451" t="s">
        <v>174</v>
      </c>
      <c r="V45" s="451" t="s">
        <v>175</v>
      </c>
      <c r="W45" s="451" t="s">
        <v>180</v>
      </c>
      <c r="X45" s="451" t="s">
        <v>176</v>
      </c>
      <c r="Y45" s="451" t="s">
        <v>741</v>
      </c>
      <c r="Z45" s="451" t="s">
        <v>742</v>
      </c>
      <c r="AA45" s="451" t="s">
        <v>466</v>
      </c>
    </row>
    <row r="46" spans="1:27" x14ac:dyDescent="0.2">
      <c r="A46" s="451"/>
      <c r="B46" s="451" t="s">
        <v>178</v>
      </c>
      <c r="C46" s="451" t="s">
        <v>147</v>
      </c>
      <c r="D46" s="451" t="s">
        <v>179</v>
      </c>
      <c r="E46" s="451" t="s">
        <v>148</v>
      </c>
      <c r="F46" s="451" t="s">
        <v>173</v>
      </c>
      <c r="G46" s="451" t="s">
        <v>174</v>
      </c>
      <c r="H46" s="451" t="s">
        <v>175</v>
      </c>
      <c r="I46" s="451" t="s">
        <v>180</v>
      </c>
      <c r="J46" s="451" t="s">
        <v>176</v>
      </c>
      <c r="K46" s="451" t="s">
        <v>741</v>
      </c>
      <c r="L46" s="451" t="s">
        <v>742</v>
      </c>
      <c r="M46" s="451" t="s">
        <v>466</v>
      </c>
      <c r="N46" s="451"/>
      <c r="O46" s="451"/>
      <c r="P46" s="450" t="str">
        <f t="shared" ref="P46:AA46" si="26">VLOOKUP(P45,Tbl_Glob_Conversie,3,FALSE)</f>
        <v>kcal</v>
      </c>
      <c r="Q46" s="450" t="str">
        <f t="shared" si="26"/>
        <v>gram</v>
      </c>
      <c r="R46" s="450" t="str">
        <f t="shared" si="26"/>
        <v>gram</v>
      </c>
      <c r="S46" s="450" t="str">
        <f t="shared" si="26"/>
        <v>gram</v>
      </c>
      <c r="T46" s="450" t="str">
        <f t="shared" si="26"/>
        <v>mmol</v>
      </c>
      <c r="U46" s="450" t="str">
        <f t="shared" si="26"/>
        <v>mmol</v>
      </c>
      <c r="V46" s="450" t="str">
        <f t="shared" si="26"/>
        <v>mmol</v>
      </c>
      <c r="W46" s="450" t="str">
        <f t="shared" si="26"/>
        <v>mmol</v>
      </c>
      <c r="X46" s="450" t="str">
        <f t="shared" si="26"/>
        <v>mmol</v>
      </c>
      <c r="Y46" s="450" t="str">
        <f t="shared" si="26"/>
        <v>mmol</v>
      </c>
      <c r="Z46" s="450" t="str">
        <f t="shared" si="26"/>
        <v>IE</v>
      </c>
      <c r="AA46" s="450" t="str">
        <f t="shared" si="26"/>
        <v>mmol</v>
      </c>
    </row>
    <row r="47" spans="1:27" x14ac:dyDescent="0.2">
      <c r="A47" s="451"/>
    </row>
    <row r="48" spans="1:27" x14ac:dyDescent="0.2">
      <c r="A48" s="321" t="s">
        <v>472</v>
      </c>
      <c r="B48" s="321">
        <v>347</v>
      </c>
      <c r="C48" s="321">
        <v>25.2</v>
      </c>
      <c r="D48" s="453">
        <v>62.2</v>
      </c>
      <c r="E48" s="453">
        <v>0</v>
      </c>
      <c r="F48" s="321">
        <v>803</v>
      </c>
      <c r="G48" s="321">
        <v>528</v>
      </c>
      <c r="H48" s="321">
        <v>1491</v>
      </c>
      <c r="I48" s="321">
        <v>872</v>
      </c>
      <c r="J48" s="321">
        <v>115</v>
      </c>
      <c r="K48" s="453">
        <v>0</v>
      </c>
      <c r="L48" s="321">
        <v>115</v>
      </c>
      <c r="M48" s="321">
        <v>573</v>
      </c>
      <c r="N48" s="451"/>
      <c r="O48" s="451" t="str">
        <f>A48</f>
        <v>Nutrilon Nenatal BMF</v>
      </c>
      <c r="P48" s="450">
        <f t="shared" ref="P48:P70" si="27">VLOOKUP(P$45,Tbl_Glob_Conversie,2,FALSE)*B48/100</f>
        <v>3.47</v>
      </c>
      <c r="Q48" s="450">
        <f t="shared" ref="Q48:Q70" si="28">VLOOKUP(Q$45,Tbl_Glob_Conversie,2,FALSE)*C48/100</f>
        <v>0.252</v>
      </c>
      <c r="R48" s="450">
        <f t="shared" ref="R48:R70" si="29">VLOOKUP(R$45,Tbl_Glob_Conversie,2,FALSE)*D48/100</f>
        <v>0.622</v>
      </c>
      <c r="S48" s="450">
        <f t="shared" ref="S48:S70" si="30">VLOOKUP(S$45,Tbl_Glob_Conversie,2,FALSE)*E48/100</f>
        <v>0</v>
      </c>
      <c r="T48" s="450">
        <f t="shared" ref="T48:T70" si="31">VLOOKUP(T$45,Tbl_Glob_Conversie,2,FALSE)*F48/100</f>
        <v>0.34912834000000004</v>
      </c>
      <c r="U48" s="450">
        <f t="shared" ref="U48:U70" si="32">VLOOKUP(U$45,Tbl_Glob_Conversie,2,FALSE)*G48/100</f>
        <v>0.13538448</v>
      </c>
      <c r="V48" s="450">
        <f t="shared" ref="V48:V70" si="33">VLOOKUP(V$45,Tbl_Glob_Conversie,2,FALSE)*H48/100</f>
        <v>0.37125899999999995</v>
      </c>
      <c r="W48" s="450">
        <f t="shared" ref="W48:W70" si="34">VLOOKUP(W$45,Tbl_Glob_Conversie,2,FALSE)*I48/100</f>
        <v>0.28156007999999999</v>
      </c>
      <c r="X48" s="450">
        <f t="shared" ref="X48:X70" si="35">VLOOKUP(X$45,Tbl_Glob_Conversie,2,FALSE)*J48/100</f>
        <v>4.7312149999999997E-2</v>
      </c>
      <c r="Y48" s="450">
        <f t="shared" ref="Y48:Y70" si="36">VLOOKUP(Y$45,Tbl_Glob_Conversie,2,FALSE)*K48/100</f>
        <v>0</v>
      </c>
      <c r="Z48" s="450">
        <f t="shared" ref="Z48:Z70" si="37">VLOOKUP(Z$45,Tbl_Glob_Conversie,2,FALSE)*L48/100</f>
        <v>46</v>
      </c>
      <c r="AA48" s="450">
        <f t="shared" ref="AA48:AA70" si="38">VLOOKUP(AA$45,Tbl_Glob_Conversie,2,FALSE)*M48/100</f>
        <v>0.16162037999999998</v>
      </c>
    </row>
    <row r="49" spans="1:27" x14ac:dyDescent="0.2">
      <c r="A49" s="321" t="s">
        <v>751</v>
      </c>
      <c r="B49" s="321">
        <v>509</v>
      </c>
      <c r="C49" s="321">
        <v>10</v>
      </c>
      <c r="D49" s="453">
        <v>56</v>
      </c>
      <c r="E49" s="453">
        <v>27</v>
      </c>
      <c r="F49" s="321">
        <v>120</v>
      </c>
      <c r="G49" s="321">
        <v>462</v>
      </c>
      <c r="H49" s="321">
        <v>338</v>
      </c>
      <c r="I49" s="321">
        <v>200</v>
      </c>
      <c r="J49" s="321">
        <v>30.8</v>
      </c>
      <c r="K49" s="455">
        <v>3.1</v>
      </c>
      <c r="L49" s="454">
        <v>9.1999999999999993</v>
      </c>
      <c r="M49" s="454">
        <v>308</v>
      </c>
      <c r="N49" s="459"/>
      <c r="O49" s="451" t="str">
        <f t="shared" ref="O49:O70" si="39">A49</f>
        <v>Hero Baby 1 NS Standaard</v>
      </c>
      <c r="P49" s="450">
        <f t="shared" si="27"/>
        <v>5.09</v>
      </c>
      <c r="Q49" s="450">
        <f t="shared" si="28"/>
        <v>0.1</v>
      </c>
      <c r="R49" s="450">
        <f t="shared" si="29"/>
        <v>0.56000000000000005</v>
      </c>
      <c r="S49" s="450">
        <f t="shared" si="30"/>
        <v>0.27</v>
      </c>
      <c r="T49" s="450">
        <f t="shared" si="31"/>
        <v>5.2173600000000001E-2</v>
      </c>
      <c r="U49" s="450">
        <f t="shared" si="32"/>
        <v>0.11846142</v>
      </c>
      <c r="V49" s="450">
        <f t="shared" si="33"/>
        <v>8.4162000000000001E-2</v>
      </c>
      <c r="W49" s="450">
        <f t="shared" si="34"/>
        <v>6.4577999999999997E-2</v>
      </c>
      <c r="X49" s="450">
        <f t="shared" si="35"/>
        <v>1.2671428E-2</v>
      </c>
      <c r="Y49" s="450">
        <f t="shared" si="36"/>
        <v>5.5489999999999999E-4</v>
      </c>
      <c r="Z49" s="450">
        <f t="shared" si="37"/>
        <v>3.68</v>
      </c>
      <c r="AA49" s="450">
        <f t="shared" si="38"/>
        <v>8.6874480000000004E-2</v>
      </c>
    </row>
    <row r="50" spans="1:27" x14ac:dyDescent="0.2">
      <c r="A50" s="321" t="s">
        <v>752</v>
      </c>
      <c r="B50" s="321">
        <v>470</v>
      </c>
      <c r="C50" s="321">
        <v>9.5</v>
      </c>
      <c r="D50" s="453">
        <v>64</v>
      </c>
      <c r="E50" s="453">
        <v>19</v>
      </c>
      <c r="F50" s="321">
        <v>160</v>
      </c>
      <c r="G50" s="321">
        <v>554</v>
      </c>
      <c r="H50" s="321">
        <v>405</v>
      </c>
      <c r="I50" s="321">
        <v>243</v>
      </c>
      <c r="J50" s="321">
        <v>52</v>
      </c>
      <c r="K50" s="455">
        <v>8.1999999999999993</v>
      </c>
      <c r="L50" s="454">
        <v>8.6</v>
      </c>
      <c r="M50" s="454">
        <v>297</v>
      </c>
      <c r="N50" s="459"/>
      <c r="O50" s="451" t="str">
        <f t="shared" si="39"/>
        <v>Hero Baby 2 NS Standaard</v>
      </c>
      <c r="P50" s="450">
        <f t="shared" si="27"/>
        <v>4.7</v>
      </c>
      <c r="Q50" s="450">
        <f t="shared" si="28"/>
        <v>9.5000000000000001E-2</v>
      </c>
      <c r="R50" s="450">
        <f t="shared" si="29"/>
        <v>0.64</v>
      </c>
      <c r="S50" s="450">
        <f t="shared" si="30"/>
        <v>0.19</v>
      </c>
      <c r="T50" s="450">
        <f t="shared" si="31"/>
        <v>6.956480000000001E-2</v>
      </c>
      <c r="U50" s="450">
        <f t="shared" si="32"/>
        <v>0.14205113999999999</v>
      </c>
      <c r="V50" s="450">
        <f t="shared" si="33"/>
        <v>0.100845</v>
      </c>
      <c r="W50" s="450">
        <f t="shared" si="34"/>
        <v>7.8462270000000001E-2</v>
      </c>
      <c r="X50" s="450">
        <f t="shared" si="35"/>
        <v>2.139332E-2</v>
      </c>
      <c r="Y50" s="450">
        <f t="shared" si="36"/>
        <v>1.4678E-3</v>
      </c>
      <c r="Z50" s="450">
        <f t="shared" si="37"/>
        <v>3.44</v>
      </c>
      <c r="AA50" s="450">
        <f t="shared" si="38"/>
        <v>8.3771819999999997E-2</v>
      </c>
    </row>
    <row r="51" spans="1:27" x14ac:dyDescent="0.2">
      <c r="A51" s="321" t="s">
        <v>753</v>
      </c>
      <c r="B51" s="321">
        <v>503</v>
      </c>
      <c r="C51" s="321">
        <v>11</v>
      </c>
      <c r="D51" s="453">
        <v>52</v>
      </c>
      <c r="E51" s="453">
        <v>27</v>
      </c>
      <c r="F51" s="321">
        <v>120</v>
      </c>
      <c r="G51" s="321">
        <v>462</v>
      </c>
      <c r="H51" s="321">
        <v>338</v>
      </c>
      <c r="I51" s="321">
        <v>200</v>
      </c>
      <c r="J51" s="460">
        <v>30.8</v>
      </c>
      <c r="K51" s="461">
        <v>3.1</v>
      </c>
      <c r="L51" s="462">
        <v>9.1999999999999993</v>
      </c>
      <c r="M51" s="462">
        <v>308</v>
      </c>
      <c r="N51" s="463"/>
      <c r="O51" s="451" t="str">
        <f t="shared" si="39"/>
        <v>Hero Baby 1 NS Comfort</v>
      </c>
      <c r="P51" s="450">
        <f t="shared" si="27"/>
        <v>5.03</v>
      </c>
      <c r="Q51" s="450">
        <f t="shared" si="28"/>
        <v>0.11</v>
      </c>
      <c r="R51" s="450">
        <f t="shared" si="29"/>
        <v>0.52</v>
      </c>
      <c r="S51" s="450">
        <f t="shared" si="30"/>
        <v>0.27</v>
      </c>
      <c r="T51" s="450">
        <f t="shared" si="31"/>
        <v>5.2173600000000001E-2</v>
      </c>
      <c r="U51" s="450">
        <f t="shared" si="32"/>
        <v>0.11846142</v>
      </c>
      <c r="V51" s="450">
        <f t="shared" si="33"/>
        <v>8.4162000000000001E-2</v>
      </c>
      <c r="W51" s="450">
        <f t="shared" si="34"/>
        <v>6.4577999999999997E-2</v>
      </c>
      <c r="X51" s="450">
        <f t="shared" si="35"/>
        <v>1.2671428E-2</v>
      </c>
      <c r="Y51" s="450">
        <f t="shared" si="36"/>
        <v>5.5489999999999999E-4</v>
      </c>
      <c r="Z51" s="450">
        <f t="shared" si="37"/>
        <v>3.68</v>
      </c>
      <c r="AA51" s="450">
        <f t="shared" si="38"/>
        <v>8.6874480000000004E-2</v>
      </c>
    </row>
    <row r="52" spans="1:27" x14ac:dyDescent="0.2">
      <c r="A52" s="321" t="s">
        <v>754</v>
      </c>
      <c r="B52" s="321">
        <v>503</v>
      </c>
      <c r="C52" s="321">
        <v>11</v>
      </c>
      <c r="D52" s="453">
        <v>52</v>
      </c>
      <c r="E52" s="453">
        <v>27</v>
      </c>
      <c r="F52" s="321">
        <v>120</v>
      </c>
      <c r="G52" s="321">
        <v>462</v>
      </c>
      <c r="H52" s="321">
        <v>338</v>
      </c>
      <c r="I52" s="321">
        <v>200</v>
      </c>
      <c r="J52" s="460">
        <v>30.8</v>
      </c>
      <c r="K52" s="461">
        <v>8.5</v>
      </c>
      <c r="L52" s="462">
        <v>9.1999999999999993</v>
      </c>
      <c r="M52" s="462">
        <v>308</v>
      </c>
      <c r="N52" s="463"/>
      <c r="O52" s="451" t="str">
        <f t="shared" si="39"/>
        <v>Hero Baby 2 NS Comfort</v>
      </c>
      <c r="P52" s="450">
        <f t="shared" si="27"/>
        <v>5.03</v>
      </c>
      <c r="Q52" s="450">
        <f t="shared" si="28"/>
        <v>0.11</v>
      </c>
      <c r="R52" s="450">
        <f t="shared" si="29"/>
        <v>0.52</v>
      </c>
      <c r="S52" s="450">
        <f t="shared" si="30"/>
        <v>0.27</v>
      </c>
      <c r="T52" s="450">
        <f t="shared" si="31"/>
        <v>5.2173600000000001E-2</v>
      </c>
      <c r="U52" s="450">
        <f t="shared" si="32"/>
        <v>0.11846142</v>
      </c>
      <c r="V52" s="450">
        <f t="shared" si="33"/>
        <v>8.4162000000000001E-2</v>
      </c>
      <c r="W52" s="450">
        <f t="shared" si="34"/>
        <v>6.4577999999999997E-2</v>
      </c>
      <c r="X52" s="450">
        <f t="shared" si="35"/>
        <v>1.2671428E-2</v>
      </c>
      <c r="Y52" s="450">
        <f t="shared" si="36"/>
        <v>1.5215000000000001E-3</v>
      </c>
      <c r="Z52" s="450">
        <f t="shared" si="37"/>
        <v>3.68</v>
      </c>
      <c r="AA52" s="450">
        <f t="shared" si="38"/>
        <v>8.6874480000000004E-2</v>
      </c>
    </row>
    <row r="53" spans="1:27" x14ac:dyDescent="0.2">
      <c r="A53" s="321" t="s">
        <v>755</v>
      </c>
      <c r="B53" s="321">
        <v>493</v>
      </c>
      <c r="C53" s="321">
        <v>13</v>
      </c>
      <c r="D53" s="453">
        <v>53</v>
      </c>
      <c r="E53" s="453">
        <v>26</v>
      </c>
      <c r="F53" s="321">
        <v>204</v>
      </c>
      <c r="G53" s="321">
        <v>550</v>
      </c>
      <c r="H53" s="321">
        <v>400</v>
      </c>
      <c r="I53" s="321">
        <v>230</v>
      </c>
      <c r="J53" s="321">
        <v>50</v>
      </c>
      <c r="K53" s="461">
        <v>3.5</v>
      </c>
      <c r="L53" s="462">
        <v>7.8</v>
      </c>
      <c r="M53" s="462">
        <v>315</v>
      </c>
      <c r="N53" s="463"/>
      <c r="O53" s="451" t="str">
        <f t="shared" si="39"/>
        <v>Hero Baby 1 NS Pep</v>
      </c>
      <c r="P53" s="450">
        <f t="shared" si="27"/>
        <v>4.93</v>
      </c>
      <c r="Q53" s="450">
        <f t="shared" si="28"/>
        <v>0.13</v>
      </c>
      <c r="R53" s="450">
        <f t="shared" si="29"/>
        <v>0.53</v>
      </c>
      <c r="S53" s="450">
        <f t="shared" si="30"/>
        <v>0.26</v>
      </c>
      <c r="T53" s="450">
        <f t="shared" si="31"/>
        <v>8.8695120000000002E-2</v>
      </c>
      <c r="U53" s="450">
        <f t="shared" si="32"/>
        <v>0.1410255</v>
      </c>
      <c r="V53" s="450">
        <f t="shared" si="33"/>
        <v>9.9599999999999994E-2</v>
      </c>
      <c r="W53" s="450">
        <f t="shared" si="34"/>
        <v>7.4264699999999989E-2</v>
      </c>
      <c r="X53" s="450">
        <f t="shared" si="35"/>
        <v>2.0570499999999999E-2</v>
      </c>
      <c r="Y53" s="450">
        <f t="shared" si="36"/>
        <v>6.265E-4</v>
      </c>
      <c r="Z53" s="450">
        <f t="shared" si="37"/>
        <v>3.12</v>
      </c>
      <c r="AA53" s="450">
        <f t="shared" si="38"/>
        <v>8.8848899999999981E-2</v>
      </c>
    </row>
    <row r="54" spans="1:27" x14ac:dyDescent="0.2">
      <c r="A54" s="321" t="s">
        <v>756</v>
      </c>
      <c r="B54" s="321">
        <v>493</v>
      </c>
      <c r="C54" s="321">
        <v>13</v>
      </c>
      <c r="D54" s="453">
        <v>53</v>
      </c>
      <c r="E54" s="453">
        <v>26</v>
      </c>
      <c r="F54" s="321">
        <v>204</v>
      </c>
      <c r="G54" s="321">
        <v>550</v>
      </c>
      <c r="H54" s="321">
        <v>400</v>
      </c>
      <c r="I54" s="321">
        <v>230</v>
      </c>
      <c r="J54" s="321">
        <v>50</v>
      </c>
      <c r="K54" s="461">
        <v>7.1</v>
      </c>
      <c r="L54" s="462">
        <v>7.8</v>
      </c>
      <c r="M54" s="462">
        <v>315</v>
      </c>
      <c r="N54" s="463"/>
      <c r="O54" s="451" t="str">
        <f t="shared" si="39"/>
        <v>Hero Baby 2 NS Pep</v>
      </c>
      <c r="P54" s="450">
        <f t="shared" si="27"/>
        <v>4.93</v>
      </c>
      <c r="Q54" s="450">
        <f t="shared" si="28"/>
        <v>0.13</v>
      </c>
      <c r="R54" s="450">
        <f t="shared" si="29"/>
        <v>0.53</v>
      </c>
      <c r="S54" s="450">
        <f t="shared" si="30"/>
        <v>0.26</v>
      </c>
      <c r="T54" s="450">
        <f t="shared" si="31"/>
        <v>8.8695120000000002E-2</v>
      </c>
      <c r="U54" s="450">
        <f t="shared" si="32"/>
        <v>0.1410255</v>
      </c>
      <c r="V54" s="450">
        <f t="shared" si="33"/>
        <v>9.9599999999999994E-2</v>
      </c>
      <c r="W54" s="450">
        <f t="shared" si="34"/>
        <v>7.4264699999999989E-2</v>
      </c>
      <c r="X54" s="450">
        <f t="shared" si="35"/>
        <v>2.0570499999999999E-2</v>
      </c>
      <c r="Y54" s="450">
        <f t="shared" si="36"/>
        <v>1.2708999999999997E-3</v>
      </c>
      <c r="Z54" s="450">
        <f t="shared" si="37"/>
        <v>3.12</v>
      </c>
      <c r="AA54" s="450">
        <f t="shared" si="38"/>
        <v>8.8848899999999981E-2</v>
      </c>
    </row>
    <row r="55" spans="1:27" x14ac:dyDescent="0.2">
      <c r="A55" s="321" t="s">
        <v>757</v>
      </c>
      <c r="B55" s="321">
        <v>500</v>
      </c>
      <c r="C55" s="321">
        <v>14</v>
      </c>
      <c r="D55" s="453">
        <v>55</v>
      </c>
      <c r="E55" s="453">
        <v>25</v>
      </c>
      <c r="F55" s="321">
        <v>240</v>
      </c>
      <c r="G55" s="321">
        <v>610</v>
      </c>
      <c r="H55" s="321">
        <v>565</v>
      </c>
      <c r="I55" s="321">
        <v>390</v>
      </c>
      <c r="J55" s="321">
        <v>50</v>
      </c>
      <c r="K55" s="455">
        <v>9</v>
      </c>
      <c r="L55" s="454">
        <v>7.5</v>
      </c>
      <c r="M55" s="454">
        <v>480</v>
      </c>
      <c r="N55" s="459"/>
      <c r="O55" s="451" t="str">
        <f t="shared" si="39"/>
        <v>Nutramigen 1 LGG pdr</v>
      </c>
      <c r="P55" s="450">
        <f t="shared" si="27"/>
        <v>5</v>
      </c>
      <c r="Q55" s="450">
        <f t="shared" si="28"/>
        <v>0.14000000000000001</v>
      </c>
      <c r="R55" s="450">
        <f t="shared" si="29"/>
        <v>0.55000000000000004</v>
      </c>
      <c r="S55" s="450">
        <f t="shared" si="30"/>
        <v>0.25</v>
      </c>
      <c r="T55" s="450">
        <f t="shared" si="31"/>
        <v>0.1043472</v>
      </c>
      <c r="U55" s="450">
        <f t="shared" si="32"/>
        <v>0.1564101</v>
      </c>
      <c r="V55" s="450">
        <f t="shared" si="33"/>
        <v>0.14068499999999998</v>
      </c>
      <c r="W55" s="450">
        <f t="shared" si="34"/>
        <v>0.12592709999999999</v>
      </c>
      <c r="X55" s="450">
        <f t="shared" si="35"/>
        <v>2.0570499999999999E-2</v>
      </c>
      <c r="Y55" s="450">
        <f t="shared" si="36"/>
        <v>1.611E-3</v>
      </c>
      <c r="Z55" s="450">
        <f t="shared" si="37"/>
        <v>3</v>
      </c>
      <c r="AA55" s="450">
        <f t="shared" si="38"/>
        <v>0.13538879999999998</v>
      </c>
    </row>
    <row r="56" spans="1:27" x14ac:dyDescent="0.2">
      <c r="A56" s="321" t="s">
        <v>33</v>
      </c>
      <c r="B56" s="321">
        <v>466</v>
      </c>
      <c r="C56" s="321">
        <v>11.6</v>
      </c>
      <c r="D56" s="453">
        <v>59</v>
      </c>
      <c r="E56" s="453">
        <v>20</v>
      </c>
      <c r="F56" s="321">
        <v>172</v>
      </c>
      <c r="G56" s="321">
        <v>568</v>
      </c>
      <c r="H56" s="321">
        <v>638</v>
      </c>
      <c r="I56" s="321">
        <v>336</v>
      </c>
      <c r="J56" s="321">
        <v>47</v>
      </c>
      <c r="K56" s="455">
        <v>8.1999999999999993</v>
      </c>
      <c r="L56" s="454">
        <v>7.3</v>
      </c>
      <c r="M56" s="454">
        <v>373</v>
      </c>
      <c r="N56" s="459"/>
      <c r="O56" s="451" t="str">
        <f t="shared" si="39"/>
        <v>Nutramigen 2 LGG pdr</v>
      </c>
      <c r="P56" s="450">
        <f t="shared" si="27"/>
        <v>4.66</v>
      </c>
      <c r="Q56" s="450">
        <f t="shared" si="28"/>
        <v>0.11599999999999999</v>
      </c>
      <c r="R56" s="450">
        <f t="shared" si="29"/>
        <v>0.59</v>
      </c>
      <c r="S56" s="450">
        <f t="shared" si="30"/>
        <v>0.2</v>
      </c>
      <c r="T56" s="450">
        <f t="shared" si="31"/>
        <v>7.478216E-2</v>
      </c>
      <c r="U56" s="450">
        <f t="shared" si="32"/>
        <v>0.14564088</v>
      </c>
      <c r="V56" s="450">
        <f t="shared" si="33"/>
        <v>0.15886199999999998</v>
      </c>
      <c r="W56" s="450">
        <f t="shared" si="34"/>
        <v>0.10849103999999998</v>
      </c>
      <c r="X56" s="450">
        <f t="shared" si="35"/>
        <v>1.9336269999999999E-2</v>
      </c>
      <c r="Y56" s="450">
        <f t="shared" si="36"/>
        <v>1.4678E-3</v>
      </c>
      <c r="Z56" s="450">
        <f t="shared" si="37"/>
        <v>2.92</v>
      </c>
      <c r="AA56" s="450">
        <f t="shared" si="38"/>
        <v>0.10520837999999999</v>
      </c>
    </row>
    <row r="57" spans="1:27" x14ac:dyDescent="0.2">
      <c r="A57" s="321" t="s">
        <v>758</v>
      </c>
      <c r="B57" s="321">
        <v>402</v>
      </c>
      <c r="C57" s="321">
        <v>14.7</v>
      </c>
      <c r="D57" s="453">
        <v>71</v>
      </c>
      <c r="E57" s="453">
        <v>6.7</v>
      </c>
      <c r="F57" s="321">
        <v>402</v>
      </c>
      <c r="G57" s="321">
        <v>603</v>
      </c>
      <c r="H57" s="321">
        <v>322</v>
      </c>
      <c r="I57" s="321">
        <v>267</v>
      </c>
      <c r="J57" s="321">
        <v>84</v>
      </c>
      <c r="K57" s="455">
        <v>6.4</v>
      </c>
      <c r="L57" s="454">
        <v>2.8</v>
      </c>
      <c r="M57" s="454">
        <v>503</v>
      </c>
      <c r="N57" s="459"/>
      <c r="O57" s="451" t="str">
        <f t="shared" si="39"/>
        <v>Nutrison Advanced Peptisorb Powder</v>
      </c>
      <c r="P57" s="450">
        <f t="shared" si="27"/>
        <v>4.0199999999999996</v>
      </c>
      <c r="Q57" s="450">
        <f t="shared" si="28"/>
        <v>0.14699999999999999</v>
      </c>
      <c r="R57" s="450">
        <f t="shared" si="29"/>
        <v>0.71</v>
      </c>
      <c r="S57" s="450">
        <f t="shared" si="30"/>
        <v>6.7000000000000004E-2</v>
      </c>
      <c r="T57" s="450">
        <f t="shared" si="31"/>
        <v>0.17478156000000003</v>
      </c>
      <c r="U57" s="450">
        <f t="shared" si="32"/>
        <v>0.15461522999999999</v>
      </c>
      <c r="V57" s="450">
        <f t="shared" si="33"/>
        <v>8.0177999999999999E-2</v>
      </c>
      <c r="W57" s="450">
        <f t="shared" si="34"/>
        <v>8.6211629999999997E-2</v>
      </c>
      <c r="X57" s="450">
        <f t="shared" si="35"/>
        <v>3.4558439999999996E-2</v>
      </c>
      <c r="Y57" s="450">
        <f t="shared" si="36"/>
        <v>1.1455999999999999E-3</v>
      </c>
      <c r="Z57" s="450">
        <f t="shared" si="37"/>
        <v>1.1200000000000001</v>
      </c>
      <c r="AA57" s="450">
        <f t="shared" si="38"/>
        <v>0.14187617999999999</v>
      </c>
    </row>
    <row r="58" spans="1:27" x14ac:dyDescent="0.2">
      <c r="A58" s="321" t="s">
        <v>759</v>
      </c>
      <c r="B58" s="321">
        <v>515</v>
      </c>
      <c r="C58" s="321">
        <v>14</v>
      </c>
      <c r="D58" s="453">
        <v>53.4</v>
      </c>
      <c r="E58" s="453">
        <v>27.3</v>
      </c>
      <c r="F58" s="321">
        <v>140</v>
      </c>
      <c r="G58" s="321">
        <v>507</v>
      </c>
      <c r="H58" s="321">
        <v>390</v>
      </c>
      <c r="I58" s="321">
        <v>218</v>
      </c>
      <c r="J58" s="321">
        <v>40</v>
      </c>
      <c r="K58" s="455">
        <v>6</v>
      </c>
      <c r="L58" s="454">
        <v>9.8000000000000007</v>
      </c>
      <c r="M58" s="454">
        <v>310</v>
      </c>
      <c r="N58" s="459"/>
      <c r="O58" s="451" t="str">
        <f t="shared" si="39"/>
        <v>Nutrilon Pepti Junior pdr</v>
      </c>
      <c r="P58" s="450">
        <f t="shared" si="27"/>
        <v>5.15</v>
      </c>
      <c r="Q58" s="450">
        <f t="shared" si="28"/>
        <v>0.14000000000000001</v>
      </c>
      <c r="R58" s="450">
        <f t="shared" si="29"/>
        <v>0.53400000000000003</v>
      </c>
      <c r="S58" s="450">
        <f t="shared" si="30"/>
        <v>0.27300000000000002</v>
      </c>
      <c r="T58" s="450">
        <f t="shared" si="31"/>
        <v>6.0869199999999998E-2</v>
      </c>
      <c r="U58" s="450">
        <f t="shared" si="32"/>
        <v>0.12999987000000002</v>
      </c>
      <c r="V58" s="450">
        <f t="shared" si="33"/>
        <v>9.7110000000000002E-2</v>
      </c>
      <c r="W58" s="450">
        <f t="shared" si="34"/>
        <v>7.0390019999999998E-2</v>
      </c>
      <c r="X58" s="450">
        <f t="shared" si="35"/>
        <v>1.6456399999999996E-2</v>
      </c>
      <c r="Y58" s="450">
        <f t="shared" si="36"/>
        <v>1.0739999999999999E-3</v>
      </c>
      <c r="Z58" s="450">
        <f t="shared" si="37"/>
        <v>3.92</v>
      </c>
      <c r="AA58" s="450">
        <f t="shared" si="38"/>
        <v>8.7438599999999991E-2</v>
      </c>
    </row>
    <row r="59" spans="1:27" x14ac:dyDescent="0.2">
      <c r="A59" s="321" t="s">
        <v>760</v>
      </c>
      <c r="B59" s="321">
        <v>474</v>
      </c>
      <c r="C59" s="321">
        <v>15.6</v>
      </c>
      <c r="D59" s="453">
        <v>22.9</v>
      </c>
      <c r="E59" s="453">
        <v>49.8</v>
      </c>
      <c r="F59" s="321">
        <v>415</v>
      </c>
      <c r="G59" s="321">
        <v>474</v>
      </c>
      <c r="H59" s="321">
        <v>593</v>
      </c>
      <c r="I59" s="321">
        <v>332</v>
      </c>
      <c r="J59" s="454">
        <v>47</v>
      </c>
      <c r="K59" s="453">
        <v>9.5</v>
      </c>
      <c r="L59" s="321">
        <v>18</v>
      </c>
      <c r="M59" s="321">
        <v>504</v>
      </c>
      <c r="N59" s="451"/>
      <c r="O59" s="451" t="str">
        <f t="shared" si="39"/>
        <v>Nutrilon Nenatal Start pdr</v>
      </c>
      <c r="P59" s="450">
        <f t="shared" si="27"/>
        <v>4.74</v>
      </c>
      <c r="Q59" s="450">
        <f t="shared" si="28"/>
        <v>0.156</v>
      </c>
      <c r="R59" s="450">
        <f t="shared" si="29"/>
        <v>0.22899999999999998</v>
      </c>
      <c r="S59" s="450">
        <f t="shared" si="30"/>
        <v>0.498</v>
      </c>
      <c r="T59" s="450">
        <f t="shared" si="31"/>
        <v>0.1804337</v>
      </c>
      <c r="U59" s="450">
        <f t="shared" si="32"/>
        <v>0.12153833999999999</v>
      </c>
      <c r="V59" s="450">
        <f t="shared" si="33"/>
        <v>0.14765699999999998</v>
      </c>
      <c r="W59" s="450">
        <f t="shared" si="34"/>
        <v>0.10719947999999999</v>
      </c>
      <c r="X59" s="450">
        <f t="shared" si="35"/>
        <v>1.9336269999999999E-2</v>
      </c>
      <c r="Y59" s="450">
        <f t="shared" si="36"/>
        <v>1.7004999999999998E-3</v>
      </c>
      <c r="Z59" s="450">
        <f t="shared" si="37"/>
        <v>7.2</v>
      </c>
      <c r="AA59" s="450">
        <f t="shared" si="38"/>
        <v>0.14215823999999999</v>
      </c>
    </row>
    <row r="60" spans="1:27" x14ac:dyDescent="0.2">
      <c r="A60" s="321" t="s">
        <v>747</v>
      </c>
      <c r="B60" s="321">
        <v>491</v>
      </c>
      <c r="C60" s="321">
        <v>13.4</v>
      </c>
      <c r="D60" s="453">
        <v>49.1</v>
      </c>
      <c r="E60" s="453">
        <v>26</v>
      </c>
      <c r="F60" s="321">
        <v>183</v>
      </c>
      <c r="G60" s="321">
        <v>504</v>
      </c>
      <c r="H60" s="321">
        <v>569</v>
      </c>
      <c r="I60" s="321">
        <v>308</v>
      </c>
      <c r="J60" s="454">
        <v>46</v>
      </c>
      <c r="K60" s="453">
        <v>7.9</v>
      </c>
      <c r="L60" s="321">
        <v>11</v>
      </c>
      <c r="M60" s="321">
        <v>360</v>
      </c>
      <c r="N60" s="451"/>
      <c r="O60" s="451" t="str">
        <f t="shared" si="39"/>
        <v>Nutrilon Nenatal 1</v>
      </c>
      <c r="P60" s="450">
        <f t="shared" si="27"/>
        <v>4.91</v>
      </c>
      <c r="Q60" s="450">
        <f t="shared" si="28"/>
        <v>0.13400000000000001</v>
      </c>
      <c r="R60" s="450">
        <f t="shared" si="29"/>
        <v>0.49099999999999999</v>
      </c>
      <c r="S60" s="450">
        <f t="shared" si="30"/>
        <v>0.26</v>
      </c>
      <c r="T60" s="450">
        <f t="shared" si="31"/>
        <v>7.9564740000000009E-2</v>
      </c>
      <c r="U60" s="450">
        <f t="shared" si="32"/>
        <v>0.12923064000000001</v>
      </c>
      <c r="V60" s="450">
        <f t="shared" si="33"/>
        <v>0.141681</v>
      </c>
      <c r="W60" s="450">
        <f t="shared" si="34"/>
        <v>9.9450120000000003E-2</v>
      </c>
      <c r="X60" s="450">
        <f t="shared" si="35"/>
        <v>1.8924859999999998E-2</v>
      </c>
      <c r="Y60" s="450">
        <f t="shared" si="36"/>
        <v>1.4141000000000002E-3</v>
      </c>
      <c r="Z60" s="450">
        <f t="shared" si="37"/>
        <v>4.4000000000000004</v>
      </c>
      <c r="AA60" s="450">
        <f t="shared" si="38"/>
        <v>0.1015416</v>
      </c>
    </row>
    <row r="61" spans="1:27" x14ac:dyDescent="0.2">
      <c r="A61" s="454" t="s">
        <v>761</v>
      </c>
      <c r="B61" s="321">
        <v>338</v>
      </c>
      <c r="C61" s="321">
        <v>82.1</v>
      </c>
      <c r="D61" s="453">
        <v>2.2000000000000002</v>
      </c>
      <c r="E61" s="453">
        <v>0.1</v>
      </c>
      <c r="F61" s="321">
        <v>776</v>
      </c>
      <c r="G61" s="321">
        <v>1226</v>
      </c>
      <c r="H61" s="321">
        <v>524</v>
      </c>
      <c r="I61" s="321">
        <v>516</v>
      </c>
      <c r="J61" s="321">
        <v>46</v>
      </c>
      <c r="K61" s="453">
        <v>0</v>
      </c>
      <c r="L61" s="321">
        <v>0</v>
      </c>
      <c r="M61" s="321">
        <v>66</v>
      </c>
      <c r="N61" s="451"/>
      <c r="O61" s="451" t="str">
        <f t="shared" si="39"/>
        <v>Nutrilon Nenatal Protein Fortifier</v>
      </c>
      <c r="P61" s="450">
        <f t="shared" si="27"/>
        <v>3.38</v>
      </c>
      <c r="Q61" s="450">
        <f t="shared" si="28"/>
        <v>0.82099999999999995</v>
      </c>
      <c r="R61" s="450">
        <f t="shared" si="29"/>
        <v>2.2000000000000002E-2</v>
      </c>
      <c r="S61" s="450">
        <f t="shared" si="30"/>
        <v>1E-3</v>
      </c>
      <c r="T61" s="450">
        <f t="shared" si="31"/>
        <v>0.33738928000000001</v>
      </c>
      <c r="U61" s="450">
        <f t="shared" si="32"/>
        <v>0.31435866000000001</v>
      </c>
      <c r="V61" s="450">
        <f t="shared" si="33"/>
        <v>0.13047599999999998</v>
      </c>
      <c r="W61" s="450">
        <f t="shared" si="34"/>
        <v>0.16661123999999997</v>
      </c>
      <c r="X61" s="450">
        <f t="shared" si="35"/>
        <v>1.8924859999999998E-2</v>
      </c>
      <c r="Y61" s="450">
        <f t="shared" si="36"/>
        <v>0</v>
      </c>
      <c r="Z61" s="450">
        <f t="shared" si="37"/>
        <v>0</v>
      </c>
      <c r="AA61" s="450">
        <f t="shared" si="38"/>
        <v>1.8615959999999997E-2</v>
      </c>
    </row>
    <row r="62" spans="1:27" x14ac:dyDescent="0.2">
      <c r="A62" s="454" t="s">
        <v>762</v>
      </c>
      <c r="B62" s="454">
        <v>450</v>
      </c>
      <c r="C62" s="454">
        <v>0</v>
      </c>
      <c r="D62" s="455">
        <v>0</v>
      </c>
      <c r="E62" s="455">
        <v>50</v>
      </c>
      <c r="F62" s="454">
        <v>7</v>
      </c>
      <c r="G62" s="454">
        <v>0</v>
      </c>
      <c r="H62" s="454">
        <v>0</v>
      </c>
      <c r="I62" s="454">
        <v>0</v>
      </c>
      <c r="J62" s="454">
        <v>0</v>
      </c>
      <c r="K62" s="455">
        <v>0</v>
      </c>
      <c r="L62" s="454">
        <v>0</v>
      </c>
      <c r="M62" s="454">
        <v>0.1</v>
      </c>
      <c r="N62" s="459"/>
      <c r="O62" s="451" t="str">
        <f t="shared" si="39"/>
        <v>Calogen neutraal</v>
      </c>
      <c r="P62" s="450">
        <f t="shared" si="27"/>
        <v>4.5</v>
      </c>
      <c r="Q62" s="450">
        <f t="shared" si="28"/>
        <v>0</v>
      </c>
      <c r="R62" s="450">
        <f t="shared" si="29"/>
        <v>0</v>
      </c>
      <c r="S62" s="450">
        <f t="shared" si="30"/>
        <v>0.5</v>
      </c>
      <c r="T62" s="450">
        <f t="shared" si="31"/>
        <v>3.04346E-3</v>
      </c>
      <c r="U62" s="450">
        <f t="shared" si="32"/>
        <v>0</v>
      </c>
      <c r="V62" s="450">
        <f t="shared" si="33"/>
        <v>0</v>
      </c>
      <c r="W62" s="450">
        <f t="shared" si="34"/>
        <v>0</v>
      </c>
      <c r="X62" s="450">
        <f t="shared" si="35"/>
        <v>0</v>
      </c>
      <c r="Y62" s="450">
        <f t="shared" si="36"/>
        <v>0</v>
      </c>
      <c r="Z62" s="450">
        <f t="shared" si="37"/>
        <v>0</v>
      </c>
      <c r="AA62" s="450">
        <f t="shared" si="38"/>
        <v>2.8206000000000001E-5</v>
      </c>
    </row>
    <row r="63" spans="1:27" x14ac:dyDescent="0.2">
      <c r="A63" s="454" t="s">
        <v>763</v>
      </c>
      <c r="B63" s="454">
        <v>450</v>
      </c>
      <c r="C63" s="454">
        <v>0</v>
      </c>
      <c r="D63" s="455">
        <v>0</v>
      </c>
      <c r="E63" s="455">
        <v>50</v>
      </c>
      <c r="F63" s="454">
        <v>5</v>
      </c>
      <c r="G63" s="454">
        <v>0.1</v>
      </c>
      <c r="H63" s="454">
        <v>0.3</v>
      </c>
      <c r="I63" s="454">
        <v>0</v>
      </c>
      <c r="J63" s="454">
        <v>0</v>
      </c>
      <c r="K63" s="455">
        <v>0</v>
      </c>
      <c r="L63" s="454">
        <v>0</v>
      </c>
      <c r="M63" s="454">
        <v>0.01</v>
      </c>
      <c r="N63" s="459"/>
      <c r="O63" s="451" t="str">
        <f t="shared" si="39"/>
        <v>Liquigen</v>
      </c>
      <c r="P63" s="450">
        <f t="shared" si="27"/>
        <v>4.5</v>
      </c>
      <c r="Q63" s="450">
        <f t="shared" si="28"/>
        <v>0</v>
      </c>
      <c r="R63" s="450">
        <f t="shared" si="29"/>
        <v>0</v>
      </c>
      <c r="S63" s="450">
        <f t="shared" si="30"/>
        <v>0.5</v>
      </c>
      <c r="T63" s="450">
        <f t="shared" si="31"/>
        <v>2.1739000000000003E-3</v>
      </c>
      <c r="U63" s="450">
        <f t="shared" si="32"/>
        <v>2.5641000000000001E-5</v>
      </c>
      <c r="V63" s="450">
        <f t="shared" si="33"/>
        <v>7.4699999999999986E-5</v>
      </c>
      <c r="W63" s="450">
        <f t="shared" si="34"/>
        <v>0</v>
      </c>
      <c r="X63" s="450">
        <f t="shared" si="35"/>
        <v>0</v>
      </c>
      <c r="Y63" s="450">
        <f t="shared" si="36"/>
        <v>0</v>
      </c>
      <c r="Z63" s="450">
        <f t="shared" si="37"/>
        <v>0</v>
      </c>
      <c r="AA63" s="450">
        <f t="shared" si="38"/>
        <v>2.8205999999999997E-6</v>
      </c>
    </row>
    <row r="64" spans="1:27" x14ac:dyDescent="0.2">
      <c r="A64" s="454" t="s">
        <v>425</v>
      </c>
      <c r="B64" s="454">
        <v>384</v>
      </c>
      <c r="C64" s="454">
        <v>0</v>
      </c>
      <c r="D64" s="455">
        <v>96</v>
      </c>
      <c r="E64" s="455">
        <v>0</v>
      </c>
      <c r="F64" s="454">
        <v>2</v>
      </c>
      <c r="G64" s="454">
        <v>0</v>
      </c>
      <c r="H64" s="454">
        <v>0</v>
      </c>
      <c r="I64" s="454">
        <v>0</v>
      </c>
      <c r="J64" s="454">
        <v>0</v>
      </c>
      <c r="K64" s="455">
        <v>0</v>
      </c>
      <c r="L64" s="454">
        <v>0</v>
      </c>
      <c r="M64" s="454">
        <v>0</v>
      </c>
      <c r="N64" s="459"/>
      <c r="O64" s="451" t="str">
        <f t="shared" si="39"/>
        <v>Fantomalt</v>
      </c>
      <c r="P64" s="450">
        <f t="shared" si="27"/>
        <v>3.84</v>
      </c>
      <c r="Q64" s="450">
        <f t="shared" si="28"/>
        <v>0</v>
      </c>
      <c r="R64" s="450">
        <f t="shared" si="29"/>
        <v>0.96</v>
      </c>
      <c r="S64" s="450">
        <f t="shared" si="30"/>
        <v>0</v>
      </c>
      <c r="T64" s="450">
        <f t="shared" si="31"/>
        <v>8.6956000000000002E-4</v>
      </c>
      <c r="U64" s="450">
        <f t="shared" si="32"/>
        <v>0</v>
      </c>
      <c r="V64" s="450">
        <f t="shared" si="33"/>
        <v>0</v>
      </c>
      <c r="W64" s="450">
        <f t="shared" si="34"/>
        <v>0</v>
      </c>
      <c r="X64" s="450">
        <f t="shared" si="35"/>
        <v>0</v>
      </c>
      <c r="Y64" s="450">
        <f t="shared" si="36"/>
        <v>0</v>
      </c>
      <c r="Z64" s="450">
        <f t="shared" si="37"/>
        <v>0</v>
      </c>
      <c r="AA64" s="450">
        <f t="shared" si="38"/>
        <v>0</v>
      </c>
    </row>
    <row r="65" spans="1:27" x14ac:dyDescent="0.2">
      <c r="A65" s="454" t="s">
        <v>764</v>
      </c>
      <c r="B65" s="454">
        <v>493</v>
      </c>
      <c r="C65" s="454">
        <v>11.6</v>
      </c>
      <c r="D65" s="455">
        <v>51.8</v>
      </c>
      <c r="E65" s="461">
        <v>25.7</v>
      </c>
      <c r="F65" s="454">
        <v>150</v>
      </c>
      <c r="G65" s="454">
        <v>598</v>
      </c>
      <c r="H65" s="454">
        <v>346</v>
      </c>
      <c r="I65" s="454">
        <v>191</v>
      </c>
      <c r="J65" s="454">
        <v>39</v>
      </c>
      <c r="K65" s="455">
        <v>3.9</v>
      </c>
      <c r="L65" s="462">
        <v>9.4</v>
      </c>
      <c r="M65" s="462">
        <v>290</v>
      </c>
      <c r="N65" s="463"/>
      <c r="O65" s="451" t="str">
        <f t="shared" si="39"/>
        <v>Nutrilon Pepti 1 pdr</v>
      </c>
      <c r="P65" s="450">
        <f t="shared" si="27"/>
        <v>4.93</v>
      </c>
      <c r="Q65" s="450">
        <f t="shared" si="28"/>
        <v>0.11599999999999999</v>
      </c>
      <c r="R65" s="450">
        <f t="shared" si="29"/>
        <v>0.51800000000000002</v>
      </c>
      <c r="S65" s="450">
        <f t="shared" si="30"/>
        <v>0.25700000000000001</v>
      </c>
      <c r="T65" s="450">
        <f t="shared" si="31"/>
        <v>6.5216999999999997E-2</v>
      </c>
      <c r="U65" s="450">
        <f t="shared" si="32"/>
        <v>0.15333318000000001</v>
      </c>
      <c r="V65" s="450">
        <f t="shared" si="33"/>
        <v>8.6153999999999994E-2</v>
      </c>
      <c r="W65" s="450">
        <f t="shared" si="34"/>
        <v>6.1671990000000003E-2</v>
      </c>
      <c r="X65" s="450">
        <f t="shared" si="35"/>
        <v>1.6044989999999999E-2</v>
      </c>
      <c r="Y65" s="450">
        <f t="shared" si="36"/>
        <v>6.981E-4</v>
      </c>
      <c r="Z65" s="450">
        <f t="shared" si="37"/>
        <v>3.76</v>
      </c>
      <c r="AA65" s="450">
        <f t="shared" si="38"/>
        <v>8.1797399999999992E-2</v>
      </c>
    </row>
    <row r="66" spans="1:27" x14ac:dyDescent="0.2">
      <c r="A66" s="454" t="s">
        <v>765</v>
      </c>
      <c r="B66" s="454">
        <v>483</v>
      </c>
      <c r="C66" s="454">
        <v>11</v>
      </c>
      <c r="D66" s="455">
        <v>52.5</v>
      </c>
      <c r="E66" s="455">
        <v>24.6</v>
      </c>
      <c r="F66" s="454">
        <v>181</v>
      </c>
      <c r="G66" s="454">
        <v>530</v>
      </c>
      <c r="H66" s="454">
        <v>339</v>
      </c>
      <c r="I66" s="454">
        <v>190</v>
      </c>
      <c r="J66" s="454">
        <v>37</v>
      </c>
      <c r="K66" s="455">
        <v>3.9</v>
      </c>
      <c r="L66" s="462">
        <v>8.8000000000000007</v>
      </c>
      <c r="M66" s="462">
        <v>302</v>
      </c>
      <c r="N66" s="463"/>
      <c r="O66" s="451" t="str">
        <f t="shared" si="39"/>
        <v>Nutrilon Hypoallergeen 1 pdr</v>
      </c>
      <c r="P66" s="450">
        <f t="shared" si="27"/>
        <v>4.83</v>
      </c>
      <c r="Q66" s="450">
        <f t="shared" si="28"/>
        <v>0.11</v>
      </c>
      <c r="R66" s="450">
        <f t="shared" si="29"/>
        <v>0.52500000000000002</v>
      </c>
      <c r="S66" s="450">
        <f t="shared" si="30"/>
        <v>0.24600000000000002</v>
      </c>
      <c r="T66" s="450">
        <f t="shared" si="31"/>
        <v>7.8695180000000003E-2</v>
      </c>
      <c r="U66" s="450">
        <f t="shared" si="32"/>
        <v>0.1358973</v>
      </c>
      <c r="V66" s="450">
        <f t="shared" si="33"/>
        <v>8.4410999999999986E-2</v>
      </c>
      <c r="W66" s="450">
        <f t="shared" si="34"/>
        <v>6.1349099999999997E-2</v>
      </c>
      <c r="X66" s="450">
        <f t="shared" si="35"/>
        <v>1.522217E-2</v>
      </c>
      <c r="Y66" s="450">
        <f t="shared" si="36"/>
        <v>6.981E-4</v>
      </c>
      <c r="Z66" s="450">
        <f t="shared" si="37"/>
        <v>3.52</v>
      </c>
      <c r="AA66" s="450">
        <f t="shared" si="38"/>
        <v>8.518212E-2</v>
      </c>
    </row>
    <row r="67" spans="1:27" x14ac:dyDescent="0.2">
      <c r="A67" s="454" t="s">
        <v>766</v>
      </c>
      <c r="B67" s="454">
        <v>483</v>
      </c>
      <c r="C67" s="454">
        <v>13</v>
      </c>
      <c r="D67" s="455">
        <v>52.5</v>
      </c>
      <c r="E67" s="455">
        <v>24.5</v>
      </c>
      <c r="F67" s="454">
        <v>189</v>
      </c>
      <c r="G67" s="454">
        <v>525</v>
      </c>
      <c r="H67" s="454">
        <v>475</v>
      </c>
      <c r="I67" s="454">
        <v>341</v>
      </c>
      <c r="J67" s="454">
        <v>51</v>
      </c>
      <c r="K67" s="455">
        <v>7.25</v>
      </c>
      <c r="L67" s="462">
        <v>8.8000000000000007</v>
      </c>
      <c r="M67" s="462">
        <v>386</v>
      </c>
      <c r="N67" s="463"/>
      <c r="O67" s="451" t="str">
        <f t="shared" si="39"/>
        <v>Neocate LCP</v>
      </c>
      <c r="P67" s="450">
        <f t="shared" si="27"/>
        <v>4.83</v>
      </c>
      <c r="Q67" s="450">
        <f t="shared" si="28"/>
        <v>0.13</v>
      </c>
      <c r="R67" s="450">
        <f t="shared" si="29"/>
        <v>0.52500000000000002</v>
      </c>
      <c r="S67" s="450">
        <f t="shared" si="30"/>
        <v>0.245</v>
      </c>
      <c r="T67" s="450">
        <f t="shared" si="31"/>
        <v>8.2173419999999997E-2</v>
      </c>
      <c r="U67" s="450">
        <f t="shared" si="32"/>
        <v>0.13461524999999999</v>
      </c>
      <c r="V67" s="450">
        <f t="shared" si="33"/>
        <v>0.11827499999999999</v>
      </c>
      <c r="W67" s="450">
        <f t="shared" si="34"/>
        <v>0.11010548999999999</v>
      </c>
      <c r="X67" s="450">
        <f t="shared" si="35"/>
        <v>2.0981909999999999E-2</v>
      </c>
      <c r="Y67" s="450">
        <f t="shared" si="36"/>
        <v>1.2977500000000001E-3</v>
      </c>
      <c r="Z67" s="450">
        <f t="shared" si="37"/>
        <v>3.52</v>
      </c>
      <c r="AA67" s="450">
        <f t="shared" si="38"/>
        <v>0.10887516</v>
      </c>
    </row>
    <row r="68" spans="1:27" x14ac:dyDescent="0.2">
      <c r="A68" s="454" t="s">
        <v>767</v>
      </c>
      <c r="B68" s="454">
        <v>475</v>
      </c>
      <c r="C68" s="454">
        <v>13.3</v>
      </c>
      <c r="D68" s="455">
        <v>56</v>
      </c>
      <c r="E68" s="455">
        <v>22</v>
      </c>
      <c r="F68" s="454">
        <v>285</v>
      </c>
      <c r="G68" s="454">
        <v>546</v>
      </c>
      <c r="H68" s="454">
        <v>428</v>
      </c>
      <c r="I68" s="454">
        <v>309</v>
      </c>
      <c r="J68" s="454">
        <v>66.5</v>
      </c>
      <c r="K68" s="455">
        <v>5.7</v>
      </c>
      <c r="L68" s="454">
        <v>6.2</v>
      </c>
      <c r="M68" s="454">
        <v>437</v>
      </c>
      <c r="N68" s="459"/>
      <c r="O68" s="451" t="str">
        <f t="shared" si="39"/>
        <v>Neocate Junior</v>
      </c>
      <c r="P68" s="450">
        <f t="shared" si="27"/>
        <v>4.75</v>
      </c>
      <c r="Q68" s="450">
        <f t="shared" si="28"/>
        <v>0.13300000000000001</v>
      </c>
      <c r="R68" s="450">
        <f t="shared" si="29"/>
        <v>0.56000000000000005</v>
      </c>
      <c r="S68" s="450">
        <f t="shared" si="30"/>
        <v>0.22</v>
      </c>
      <c r="T68" s="450">
        <f t="shared" si="31"/>
        <v>0.1239123</v>
      </c>
      <c r="U68" s="450">
        <f t="shared" si="32"/>
        <v>0.13999986</v>
      </c>
      <c r="V68" s="450">
        <f t="shared" si="33"/>
        <v>0.106572</v>
      </c>
      <c r="W68" s="450">
        <f t="shared" si="34"/>
        <v>9.9773009999999995E-2</v>
      </c>
      <c r="X68" s="450">
        <f t="shared" si="35"/>
        <v>2.7358764999999997E-2</v>
      </c>
      <c r="Y68" s="450">
        <f t="shared" si="36"/>
        <v>1.0203E-3</v>
      </c>
      <c r="Z68" s="450">
        <f t="shared" si="37"/>
        <v>2.48</v>
      </c>
      <c r="AA68" s="450">
        <f t="shared" si="38"/>
        <v>0.12326022</v>
      </c>
    </row>
    <row r="69" spans="1:27" x14ac:dyDescent="0.2">
      <c r="A69" s="454" t="s">
        <v>836</v>
      </c>
      <c r="B69" s="458">
        <v>484</v>
      </c>
      <c r="C69" s="458">
        <v>9.6999999999999993</v>
      </c>
      <c r="D69" s="458">
        <v>53.8</v>
      </c>
      <c r="E69" s="458">
        <v>24.7</v>
      </c>
      <c r="F69" s="458">
        <v>125</v>
      </c>
      <c r="G69" s="458">
        <v>501</v>
      </c>
      <c r="H69" s="458">
        <v>418</v>
      </c>
      <c r="I69" s="458">
        <v>237</v>
      </c>
      <c r="J69" s="458">
        <v>37</v>
      </c>
      <c r="K69" s="458">
        <v>3.9</v>
      </c>
      <c r="L69" s="458">
        <v>8.6999999999999993</v>
      </c>
      <c r="M69" s="458">
        <v>304</v>
      </c>
      <c r="O69" s="451" t="str">
        <f t="shared" si="39"/>
        <v>Nutrilon 1</v>
      </c>
      <c r="P69" s="450">
        <f t="shared" si="27"/>
        <v>4.84</v>
      </c>
      <c r="Q69" s="450">
        <f t="shared" si="28"/>
        <v>9.6999999999999989E-2</v>
      </c>
      <c r="R69" s="450">
        <f t="shared" si="29"/>
        <v>0.53799999999999992</v>
      </c>
      <c r="S69" s="450">
        <f t="shared" si="30"/>
        <v>0.247</v>
      </c>
      <c r="T69" s="450">
        <f t="shared" si="31"/>
        <v>5.43475E-2</v>
      </c>
      <c r="U69" s="450">
        <f t="shared" si="32"/>
        <v>0.12846141</v>
      </c>
      <c r="V69" s="450">
        <f t="shared" si="33"/>
        <v>0.10408199999999999</v>
      </c>
      <c r="W69" s="450">
        <f t="shared" si="34"/>
        <v>7.6524929999999991E-2</v>
      </c>
      <c r="X69" s="450">
        <f t="shared" si="35"/>
        <v>1.522217E-2</v>
      </c>
      <c r="Y69" s="450">
        <f t="shared" si="36"/>
        <v>6.981E-4</v>
      </c>
      <c r="Z69" s="450">
        <f t="shared" si="37"/>
        <v>3.48</v>
      </c>
      <c r="AA69" s="450">
        <f t="shared" si="38"/>
        <v>8.5746240000000001E-2</v>
      </c>
    </row>
    <row r="70" spans="1:27" x14ac:dyDescent="0.2">
      <c r="A70" s="454" t="s">
        <v>819</v>
      </c>
      <c r="B70" s="458">
        <v>318</v>
      </c>
      <c r="C70" s="458">
        <v>0</v>
      </c>
      <c r="D70" s="458">
        <v>66.2</v>
      </c>
      <c r="E70" s="458">
        <v>0.3</v>
      </c>
      <c r="F70" s="458">
        <v>6</v>
      </c>
      <c r="G70" s="458">
        <v>91</v>
      </c>
      <c r="H70" s="458">
        <v>335</v>
      </c>
      <c r="I70" s="458">
        <v>12</v>
      </c>
      <c r="J70" s="458">
        <v>9.1</v>
      </c>
      <c r="K70" s="458">
        <v>8.8000000000000007</v>
      </c>
      <c r="L70" s="458">
        <v>0</v>
      </c>
      <c r="M70" s="458">
        <v>109</v>
      </c>
      <c r="O70" s="451" t="str">
        <f t="shared" si="39"/>
        <v>Nutriton</v>
      </c>
      <c r="P70" s="450">
        <f t="shared" si="27"/>
        <v>3.18</v>
      </c>
      <c r="Q70" s="450">
        <f t="shared" si="28"/>
        <v>0</v>
      </c>
      <c r="R70" s="450">
        <f t="shared" si="29"/>
        <v>0.66200000000000003</v>
      </c>
      <c r="S70" s="450">
        <f t="shared" si="30"/>
        <v>3.0000000000000001E-3</v>
      </c>
      <c r="T70" s="450">
        <f t="shared" si="31"/>
        <v>2.6086799999999999E-3</v>
      </c>
      <c r="U70" s="450">
        <f t="shared" si="32"/>
        <v>2.3333310000000003E-2</v>
      </c>
      <c r="V70" s="450">
        <f t="shared" si="33"/>
        <v>8.3415000000000003E-2</v>
      </c>
      <c r="W70" s="450">
        <f t="shared" si="34"/>
        <v>3.8746799999999997E-3</v>
      </c>
      <c r="X70" s="450">
        <f t="shared" si="35"/>
        <v>3.7438309999999995E-3</v>
      </c>
      <c r="Y70" s="450">
        <f t="shared" si="36"/>
        <v>1.5751999999999999E-3</v>
      </c>
      <c r="Z70" s="450">
        <f t="shared" si="37"/>
        <v>0</v>
      </c>
      <c r="AA70" s="450">
        <f t="shared" si="38"/>
        <v>3.0744539999999997E-2</v>
      </c>
    </row>
    <row r="71" spans="1:27" x14ac:dyDescent="0.2">
      <c r="A71" s="459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41538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74"/>
  <sheetViews>
    <sheetView topLeftCell="A43" workbookViewId="0">
      <selection activeCell="B70" sqref="B70:B74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5333</v>
      </c>
      <c r="B1" s="798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5434</v>
      </c>
      <c r="B2" s="798" t="str">
        <f t="shared" ref="B2:B65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5334</v>
      </c>
      <c r="B3" s="798" t="str">
        <f t="shared" si="0"/>
        <v>strSql = strSql &amp; "DECLARE @patNum AS nvarchar(40)" &amp; vbNewLine</v>
      </c>
    </row>
    <row r="4" spans="1:2" ht="15" x14ac:dyDescent="0.25">
      <c r="A4" t="s">
        <v>5335</v>
      </c>
      <c r="B4" s="798" t="str">
        <f t="shared" si="0"/>
        <v>strSql = strSql &amp; "DECLARE @bd AS int" &amp; vbNewLine</v>
      </c>
    </row>
    <row r="5" spans="1:2" ht="15" x14ac:dyDescent="0.25">
      <c r="A5" t="s">
        <v>5336</v>
      </c>
      <c r="B5" s="798" t="str">
        <f t="shared" si="0"/>
        <v>strSql = strSql &amp; "DECLARE @weightKg AS int" &amp; vbNewLine</v>
      </c>
    </row>
    <row r="6" spans="1:2" ht="15" x14ac:dyDescent="0.25">
      <c r="A6" t="s">
        <v>5337</v>
      </c>
      <c r="B6" s="798" t="str">
        <f t="shared" si="0"/>
        <v>strSql = strSql &amp; "DECLARE @weightGr AS int" &amp; vbNewLine</v>
      </c>
    </row>
    <row r="7" spans="1:2" ht="15" x14ac:dyDescent="0.25">
      <c r="A7" t="s">
        <v>5338</v>
      </c>
      <c r="B7" s="798" t="str">
        <f t="shared" si="0"/>
        <v>strSql = strSql &amp; "DECLARE @bwGr AS int" &amp; vbNewLine</v>
      </c>
    </row>
    <row r="8" spans="1:2" ht="15" x14ac:dyDescent="0.25">
      <c r="A8" t="s">
        <v>5339</v>
      </c>
      <c r="B8" s="798" t="str">
        <f t="shared" si="0"/>
        <v>strSql = strSql &amp; "DECLARE @length AS int" &amp; vbNewLine</v>
      </c>
    </row>
    <row r="9" spans="1:2" ht="15" x14ac:dyDescent="0.25">
      <c r="A9" t="s">
        <v>5359</v>
      </c>
      <c r="B9" s="798" t="str">
        <f t="shared" si="0"/>
        <v>strSql = strSql &amp; "DECLARE @gesl AS int" &amp; vbNewLine</v>
      </c>
    </row>
    <row r="10" spans="1:2" ht="15" x14ac:dyDescent="0.25">
      <c r="A10" t="s">
        <v>5340</v>
      </c>
      <c r="B10" s="798" t="str">
        <f t="shared" si="0"/>
        <v>strSql = strSql &amp; "DECLARE @adD AS int" &amp; vbNewLine</v>
      </c>
    </row>
    <row r="11" spans="1:2" ht="15" x14ac:dyDescent="0.25">
      <c r="A11" t="s">
        <v>5341</v>
      </c>
      <c r="B11" s="798" t="str">
        <f t="shared" si="0"/>
        <v>strSql = strSql &amp; "DECLARE @adW AS int" &amp; vbNewLine</v>
      </c>
    </row>
    <row r="12" spans="1:2" ht="15" x14ac:dyDescent="0.25">
      <c r="B12" s="798" t="str">
        <f t="shared" si="0"/>
        <v>strSql = strSql &amp; "" &amp; vbNewLine</v>
      </c>
    </row>
    <row r="13" spans="1:2" ht="15" x14ac:dyDescent="0.25">
      <c r="A13" t="s">
        <v>5342</v>
      </c>
      <c r="B13" s="798" t="str">
        <f t="shared" si="0"/>
        <v>strSql = strSql &amp; "SET @bd = 5372" &amp; vbNewLine</v>
      </c>
    </row>
    <row r="14" spans="1:2" ht="15" x14ac:dyDescent="0.25">
      <c r="A14" t="s">
        <v>5343</v>
      </c>
      <c r="B14" s="798" t="str">
        <f t="shared" si="0"/>
        <v>strSql = strSql &amp; "SET @weightKg = 8365" &amp; vbNewLine</v>
      </c>
    </row>
    <row r="15" spans="1:2" ht="15" x14ac:dyDescent="0.25">
      <c r="A15" t="s">
        <v>5344</v>
      </c>
      <c r="B15" s="798" t="str">
        <f t="shared" si="0"/>
        <v>strSql = strSql &amp; "SET @weightGr = 8456" &amp; vbNewLine</v>
      </c>
    </row>
    <row r="16" spans="1:2" ht="15" x14ac:dyDescent="0.25">
      <c r="A16" t="s">
        <v>5345</v>
      </c>
      <c r="B16" s="798" t="str">
        <f t="shared" si="0"/>
        <v>strSql = strSql &amp; "SET @bwGr = 7734" &amp; vbNewLine</v>
      </c>
    </row>
    <row r="17" spans="1:2" ht="15" x14ac:dyDescent="0.25">
      <c r="A17" t="s">
        <v>5346</v>
      </c>
      <c r="B17" s="798" t="str">
        <f t="shared" si="0"/>
        <v>strSql = strSql &amp; "SET @adD = 10213" &amp; vbNewLine</v>
      </c>
    </row>
    <row r="18" spans="1:2" ht="15" x14ac:dyDescent="0.25">
      <c r="A18" t="s">
        <v>5347</v>
      </c>
      <c r="B18" s="798" t="str">
        <f t="shared" si="0"/>
        <v>strSql = strSql &amp; "SET @adW = 10214" &amp; vbNewLine</v>
      </c>
    </row>
    <row r="19" spans="1:2" ht="15" x14ac:dyDescent="0.25">
      <c r="A19" t="s">
        <v>5348</v>
      </c>
      <c r="B19" s="798" t="str">
        <f t="shared" si="0"/>
        <v>strSql = strSql &amp; "SET @length = 9505" &amp; vbNewLine</v>
      </c>
    </row>
    <row r="20" spans="1:2" ht="15" x14ac:dyDescent="0.25">
      <c r="A20" t="s">
        <v>5360</v>
      </c>
      <c r="B20" s="798" t="str">
        <f t="shared" si="0"/>
        <v>strSql = strSql &amp; "SET @gesl = 5373" &amp; vbNewLine</v>
      </c>
    </row>
    <row r="21" spans="1:2" ht="15" x14ac:dyDescent="0.25">
      <c r="A21" t="s">
        <v>5436</v>
      </c>
      <c r="B21" s="798" t="str">
        <f t="shared" si="0"/>
        <v>strSql = strSql &amp; "SET @Bed = 'H2.01.03'" &amp; vbNewLine</v>
      </c>
    </row>
    <row r="22" spans="1:2" ht="15" x14ac:dyDescent="0.25">
      <c r="A22" t="s">
        <v>5349</v>
      </c>
      <c r="B22" s="798" t="str">
        <f t="shared" si="0"/>
        <v>strSql = strSql &amp; "SELECT DISTINCT" &amp; vbNewLine</v>
      </c>
    </row>
    <row r="23" spans="1:2" ht="15" x14ac:dyDescent="0.25">
      <c r="A23" t="s">
        <v>5361</v>
      </c>
      <c r="B23" s="798" t="str">
        <f t="shared" si="0"/>
        <v>strSql = strSql &amp; "pl.PatientID" &amp; vbNewLine</v>
      </c>
    </row>
    <row r="24" spans="1:2" ht="15" x14ac:dyDescent="0.25">
      <c r="A24" t="s">
        <v>5362</v>
      </c>
      <c r="B24" s="798" t="str">
        <f t="shared" si="0"/>
        <v>strSql = strSql &amp; ", pl.HospitalNumber" &amp; vbNewLine</v>
      </c>
    </row>
    <row r="25" spans="1:2" ht="15" x14ac:dyDescent="0.25">
      <c r="A25" t="s">
        <v>5363</v>
      </c>
      <c r="B25" s="798" t="str">
        <f t="shared" si="0"/>
        <v>strSql = strSql &amp; ", pl.LastName" &amp; vbNewLine</v>
      </c>
    </row>
    <row r="26" spans="1:2" ht="15" x14ac:dyDescent="0.25">
      <c r="A26" t="s">
        <v>5364</v>
      </c>
      <c r="B26" s="798" t="str">
        <f t="shared" si="0"/>
        <v>strSql = strSql &amp; ", pl.FirstName" &amp; vbNewLine</v>
      </c>
    </row>
    <row r="27" spans="1:2" ht="15" x14ac:dyDescent="0.25">
      <c r="A27" t="s">
        <v>5365</v>
      </c>
      <c r="B27" s="798" t="str">
        <f t="shared" si="0"/>
        <v>strSql = strSql &amp; ", dts.value BirthDate" &amp; vbNewLine</v>
      </c>
    </row>
    <row r="28" spans="1:2" ht="15" x14ac:dyDescent="0.25">
      <c r="A28" t="s">
        <v>5366</v>
      </c>
      <c r="B28" s="798" t="str">
        <f t="shared" si="0"/>
        <v>strSql = strSql &amp; ", (SELECT TOP 1 s.value / 1000 " &amp; vbNewLine</v>
      </c>
    </row>
    <row r="29" spans="1:2" ht="15" x14ac:dyDescent="0.25">
      <c r="A29" t="s">
        <v>5367</v>
      </c>
      <c r="B29" s="798" t="str">
        <f t="shared" si="0"/>
        <v>strSql = strSql &amp; "   FROM Signals s " &amp; vbNewLine</v>
      </c>
    </row>
    <row r="30" spans="1:2" ht="15" x14ac:dyDescent="0.25">
      <c r="A30" t="s">
        <v>5368</v>
      </c>
      <c r="B30" s="798" t="str">
        <f t="shared" si="0"/>
        <v>strSql = strSql &amp; "   WHERE s.PatientID = pl.PatientID AND s.ParameterID = @weightKg " &amp; vbNewLine</v>
      </c>
    </row>
    <row r="31" spans="1:2" ht="15" x14ac:dyDescent="0.25">
      <c r="A31" t="s">
        <v>5369</v>
      </c>
      <c r="B31" s="798" t="str">
        <f t="shared" si="0"/>
        <v>strSql = strSql &amp; "   ORDER BY s.Time DESC) WeightKg" &amp; vbNewLine</v>
      </c>
    </row>
    <row r="32" spans="1:2" ht="15" x14ac:dyDescent="0.25">
      <c r="A32" t="s">
        <v>5370</v>
      </c>
      <c r="B32" s="798" t="str">
        <f t="shared" si="0"/>
        <v>strSql = strSql &amp; ", (SELECT TOP 1 s.Value " &amp; vbNewLine</v>
      </c>
    </row>
    <row r="33" spans="1:2" ht="15" x14ac:dyDescent="0.25">
      <c r="A33" t="s">
        <v>5367</v>
      </c>
      <c r="B33" s="798" t="str">
        <f t="shared" si="0"/>
        <v>strSql = strSql &amp; "   FROM Signals s " &amp; vbNewLine</v>
      </c>
    </row>
    <row r="34" spans="1:2" ht="15" x14ac:dyDescent="0.25">
      <c r="A34" t="s">
        <v>5371</v>
      </c>
      <c r="B34" s="798" t="str">
        <f t="shared" si="0"/>
        <v>strSql = strSql &amp; "   WHERE s.PatientID = pl.PatientID AND s.ParameterID = @weightGr " &amp; vbNewLine</v>
      </c>
    </row>
    <row r="35" spans="1:2" ht="15" x14ac:dyDescent="0.25">
      <c r="A35" t="s">
        <v>5372</v>
      </c>
      <c r="B35" s="798" t="str">
        <f t="shared" si="0"/>
        <v>strSql = strSql &amp; "   ORDER BY s.Time DESC) WeightGr" &amp; vbNewLine</v>
      </c>
    </row>
    <row r="36" spans="1:2" ht="15" x14ac:dyDescent="0.25">
      <c r="A36" t="s">
        <v>5373</v>
      </c>
      <c r="B36" s="798" t="str">
        <f t="shared" si="0"/>
        <v>strSql = strSql &amp; ", (SELECT TOP 1 s.value * 100 " &amp; vbNewLine</v>
      </c>
    </row>
    <row r="37" spans="1:2" ht="15" x14ac:dyDescent="0.25">
      <c r="A37" t="s">
        <v>5367</v>
      </c>
      <c r="B37" s="798" t="str">
        <f t="shared" si="0"/>
        <v>strSql = strSql &amp; "   FROM Signals s " &amp; vbNewLine</v>
      </c>
    </row>
    <row r="38" spans="1:2" ht="15" x14ac:dyDescent="0.25">
      <c r="A38" t="s">
        <v>5374</v>
      </c>
      <c r="B38" s="798" t="str">
        <f t="shared" si="0"/>
        <v>strSql = strSql &amp; "   WHERE s.PatientID = pl.PatientID AND s.ParameterID = @length " &amp; vbNewLine</v>
      </c>
    </row>
    <row r="39" spans="1:2" ht="15" x14ac:dyDescent="0.25">
      <c r="A39" t="s">
        <v>5375</v>
      </c>
      <c r="B39" s="798" t="str">
        <f t="shared" si="0"/>
        <v>strSql = strSql &amp; "   ORDER BY s.Time DESC) LengthCm" &amp; vbNewLine</v>
      </c>
    </row>
    <row r="40" spans="1:2" ht="15" x14ac:dyDescent="0.25">
      <c r="A40" t="s">
        <v>5370</v>
      </c>
      <c r="B40" s="798" t="str">
        <f t="shared" si="0"/>
        <v>strSql = strSql &amp; ", (SELECT TOP 1 s.Value " &amp; vbNewLine</v>
      </c>
    </row>
    <row r="41" spans="1:2" ht="15" x14ac:dyDescent="0.25">
      <c r="A41" t="s">
        <v>5367</v>
      </c>
      <c r="B41" s="798" t="str">
        <f t="shared" si="0"/>
        <v>strSql = strSql &amp; "   FROM Signals s " &amp; vbNewLine</v>
      </c>
    </row>
    <row r="42" spans="1:2" ht="15" x14ac:dyDescent="0.25">
      <c r="A42" t="s">
        <v>5376</v>
      </c>
      <c r="B42" s="798" t="str">
        <f t="shared" si="0"/>
        <v>strSql = strSql &amp; "   WHERE s.PatientID = pl.PatientID AND s.ParameterID = @bwGr " &amp; vbNewLine</v>
      </c>
    </row>
    <row r="43" spans="1:2" ht="15" x14ac:dyDescent="0.25">
      <c r="A43" t="s">
        <v>5377</v>
      </c>
      <c r="B43" s="798" t="str">
        <f t="shared" si="0"/>
        <v>strSql = strSql &amp; "   ORDER BY s.Time DESC) BirthWeightGr" &amp; vbNewLine</v>
      </c>
    </row>
    <row r="44" spans="1:2" ht="15" x14ac:dyDescent="0.25">
      <c r="A44" t="s">
        <v>5378</v>
      </c>
      <c r="B44" s="798" t="str">
        <f t="shared" si="0"/>
        <v>strSql = strSql &amp; ", (SELECT TOP 1 s.value / (60 * 24) " &amp; vbNewLine</v>
      </c>
    </row>
    <row r="45" spans="1:2" ht="15" x14ac:dyDescent="0.25">
      <c r="A45" t="s">
        <v>5367</v>
      </c>
      <c r="B45" s="798" t="str">
        <f t="shared" si="0"/>
        <v>strSql = strSql &amp; "   FROM Signals s " &amp; vbNewLine</v>
      </c>
    </row>
    <row r="46" spans="1:2" ht="15" x14ac:dyDescent="0.25">
      <c r="A46" t="s">
        <v>5379</v>
      </c>
      <c r="B46" s="798" t="str">
        <f t="shared" si="0"/>
        <v>strSql = strSql &amp; "   WHERE s.PatientID = pl.PatientID AND s.ParameterID = @adD ORDER BY s.Time DESC) PregnDays" &amp; vbNewLine</v>
      </c>
    </row>
    <row r="47" spans="1:2" ht="15" x14ac:dyDescent="0.25">
      <c r="A47" t="s">
        <v>5380</v>
      </c>
      <c r="B47" s="798" t="str">
        <f t="shared" si="0"/>
        <v>strSql = strSql &amp; ", (SELECT TOP 1 s.value / (7 * 60 * 24) FROM Signals s WHERE s.PatientID = pl.PatientID AND s.ParameterID = @adW " &amp; vbNewLine</v>
      </c>
    </row>
    <row r="48" spans="1:2" ht="15" x14ac:dyDescent="0.25">
      <c r="A48" t="s">
        <v>5381</v>
      </c>
      <c r="B48" s="798" t="str">
        <f t="shared" si="0"/>
        <v>strSql = strSql &amp; "   ORDER BY s.Time DESC) PregnWeeks" &amp; vbNewLine</v>
      </c>
    </row>
    <row r="49" spans="1:2" ht="15" x14ac:dyDescent="0.25">
      <c r="A49" t="s">
        <v>5382</v>
      </c>
      <c r="B49" s="798" t="str">
        <f t="shared" si="0"/>
        <v>strSql = strSql &amp; ", (SELECT TOP 1 pt.Text " &amp; vbNewLine</v>
      </c>
    </row>
    <row r="50" spans="1:2" ht="15" x14ac:dyDescent="0.25">
      <c r="A50" t="s">
        <v>5383</v>
      </c>
      <c r="B50" s="798" t="str">
        <f t="shared" si="0"/>
        <v>strSql = strSql &amp; "   FROM ParametersText pt " &amp; vbNewLine</v>
      </c>
    </row>
    <row r="51" spans="1:2" ht="15" x14ac:dyDescent="0.25">
      <c r="A51" t="s">
        <v>5384</v>
      </c>
      <c r="B51" s="798" t="str">
        <f t="shared" si="0"/>
        <v>strSql = strSql &amp; "   INNER JOIN TextSignals ts ON pt.ParameterID = ts.ParameterID AND pt.TextID = ts.TextID " &amp; vbNewLine</v>
      </c>
    </row>
    <row r="52" spans="1:2" ht="15" x14ac:dyDescent="0.25">
      <c r="A52" t="s">
        <v>5385</v>
      </c>
      <c r="B52" s="798" t="str">
        <f t="shared" si="0"/>
        <v>strSql = strSql &amp; "   INNER JOIN Parameters p ON p.ParameterID = ts.ParameterID" &amp; vbNewLine</v>
      </c>
    </row>
    <row r="53" spans="1:2" ht="15" x14ac:dyDescent="0.25">
      <c r="A53" t="s">
        <v>5386</v>
      </c>
      <c r="B53" s="798" t="str">
        <f t="shared" si="0"/>
        <v>strSql = strSql &amp; "   WHERE ts.PatientID = pl.PatientID AND p.ParameterID = @Gesl" &amp; vbNewLine</v>
      </c>
    </row>
    <row r="54" spans="1:2" ht="15" x14ac:dyDescent="0.25">
      <c r="A54" t="s">
        <v>5387</v>
      </c>
      <c r="B54" s="798" t="str">
        <f t="shared" si="0"/>
        <v>strSql = strSql &amp; "   ORDER BY ts.Time DESC) Geslacht" &amp; vbNewLine</v>
      </c>
    </row>
    <row r="55" spans="1:2" ht="15" x14ac:dyDescent="0.25">
      <c r="A55" t="s">
        <v>5388</v>
      </c>
      <c r="B55" s="798" t="str">
        <f t="shared" si="0"/>
        <v>strSql = strSql &amp; ", lu.Name Department" &amp; vbNewLine</v>
      </c>
    </row>
    <row r="56" spans="1:2" ht="15" x14ac:dyDescent="0.25">
      <c r="A56" t="s">
        <v>5389</v>
      </c>
      <c r="B56" s="798" t="str">
        <f t="shared" si="0"/>
        <v>strSql = strSql &amp; ", b.BedName" &amp; vbNewLine</v>
      </c>
    </row>
    <row r="57" spans="1:2" ht="15" x14ac:dyDescent="0.25">
      <c r="A57" t="s">
        <v>5390</v>
      </c>
      <c r="B57" s="798" t="str">
        <f t="shared" si="0"/>
        <v>strSql = strSql &amp; ", pl.LocationFromTime" &amp; vbNewLine</v>
      </c>
    </row>
    <row r="58" spans="1:2" ht="15" x14ac:dyDescent="0.25">
      <c r="A58" t="s">
        <v>5350</v>
      </c>
      <c r="B58" s="798" t="str">
        <f t="shared" si="0"/>
        <v>strSql = strSql &amp; "FROM PatientLogs pl" &amp; vbNewLine</v>
      </c>
    </row>
    <row r="59" spans="1:2" ht="15" x14ac:dyDescent="0.25">
      <c r="A59" t="s">
        <v>5351</v>
      </c>
      <c r="B59" s="798" t="str">
        <f t="shared" si="0"/>
        <v>strSql = strSql &amp; "LEFT JOIN LogicalUnits lu ON lu.LogicalUnitID = pl.LogicalUnitID" &amp; vbNewLine</v>
      </c>
    </row>
    <row r="60" spans="1:2" ht="15" x14ac:dyDescent="0.25">
      <c r="A60" t="s">
        <v>5352</v>
      </c>
      <c r="B60" s="798" t="str">
        <f t="shared" si="0"/>
        <v>strSql = strSql &amp; "INNER JOIN Beds b ON b.BedID = pl.BedID" &amp; vbNewLine</v>
      </c>
    </row>
    <row r="61" spans="1:2" ht="15" x14ac:dyDescent="0.25">
      <c r="A61" t="s">
        <v>5353</v>
      </c>
      <c r="B61" s="798" t="str">
        <f t="shared" si="0"/>
        <v>strSql = strSql &amp; "LEFT JOIN DateTimeSignals dts ON dts.PatientID = pl.PatientID" &amp; vbNewLine</v>
      </c>
    </row>
    <row r="62" spans="1:2" ht="15" x14ac:dyDescent="0.25">
      <c r="A62" t="s">
        <v>5354</v>
      </c>
      <c r="B62" s="798" t="str">
        <f t="shared" si="0"/>
        <v>strSql = strSql &amp; "WHERE " &amp; vbNewLine</v>
      </c>
    </row>
    <row r="63" spans="1:2" ht="15" x14ac:dyDescent="0.25">
      <c r="A63" t="s">
        <v>5355</v>
      </c>
      <c r="B63" s="798" t="str">
        <f t="shared" si="0"/>
        <v>strSql = strSql &amp; "dts.ParameterID = @bd" &amp; vbNewLine</v>
      </c>
    </row>
    <row r="64" spans="1:2" ht="15" x14ac:dyDescent="0.25">
      <c r="A64" t="s">
        <v>5356</v>
      </c>
      <c r="B64" s="798" t="str">
        <f t="shared" si="0"/>
        <v>strSql = strSql &amp; "AND (@patId IS NULL OR pl.PatientID = @patId)" &amp; vbNewLine</v>
      </c>
    </row>
    <row r="65" spans="1:2" ht="15" x14ac:dyDescent="0.25">
      <c r="A65" t="s">
        <v>5357</v>
      </c>
      <c r="B65" s="798" t="str">
        <f t="shared" si="0"/>
        <v>strSql = strSql &amp; "AND (@patNum IS NULL OR pl.HospitalNumber = @patNum)" &amp; vbNewLine</v>
      </c>
    </row>
    <row r="66" spans="1:2" ht="15" x14ac:dyDescent="0.25">
      <c r="A66" t="s">
        <v>5435</v>
      </c>
      <c r="B66" s="798" t="str">
        <f t="shared" ref="B66:B74" si="1">"strSql = strSql &amp; "&amp;CHAR(34)&amp;A66&amp;CHAR(34)&amp;" &amp; vbNewLine"</f>
        <v>strSql = strSql &amp; "AND (@bed IS NULL OR b.BedName = @bed)" &amp; vbNewLine</v>
      </c>
    </row>
    <row r="67" spans="1:2" ht="15" x14ac:dyDescent="0.25">
      <c r="A67" t="s">
        <v>5358</v>
      </c>
      <c r="B67" s="798" t="str">
        <f t="shared" si="1"/>
        <v>strSql = strSql &amp; "ORDER BY pl.LocationFromTime DESC" &amp; vbNewLine</v>
      </c>
    </row>
    <row r="68" spans="1:2" ht="15" x14ac:dyDescent="0.25">
      <c r="B68" s="798"/>
    </row>
    <row r="69" spans="1:2" ht="15" x14ac:dyDescent="0.25">
      <c r="B69" s="798"/>
    </row>
    <row r="70" spans="1:2" ht="15" x14ac:dyDescent="0.25">
      <c r="A70" t="s">
        <v>6131</v>
      </c>
      <c r="B70" s="798" t="str">
        <f t="shared" si="1"/>
        <v>strSql = strSql &amp; "SELECT p.ParameterName" &amp; vbNewLine</v>
      </c>
    </row>
    <row r="71" spans="1:2" ht="15" x14ac:dyDescent="0.25">
      <c r="A71" t="s">
        <v>6132</v>
      </c>
      <c r="B71" s="798" t="str">
        <f t="shared" si="1"/>
        <v>strSql = strSql &amp; "FROM Parameters p " &amp; vbNewLine</v>
      </c>
    </row>
    <row r="72" spans="1:2" ht="15" x14ac:dyDescent="0.25">
      <c r="A72" t="s">
        <v>6133</v>
      </c>
      <c r="B72" s="798" t="str">
        <f t="shared" si="1"/>
        <v>strSql = strSql &amp; "INNER JOIN ParametersCategories pc ON pc.CategoryID = p.CategoryID" &amp; vbNewLine</v>
      </c>
    </row>
    <row r="73" spans="1:2" ht="15" x14ac:dyDescent="0.25">
      <c r="A73" t="s">
        <v>6134</v>
      </c>
      <c r="B73" s="798" t="str">
        <f t="shared" si="1"/>
        <v>strSql = strSql &amp; "WHERE pc.CategoryName = 'Opdr Medicatie Taken'" &amp; vbNewLine</v>
      </c>
    </row>
    <row r="74" spans="1:2" ht="15" x14ac:dyDescent="0.25">
      <c r="A74" t="s">
        <v>6135</v>
      </c>
      <c r="B74" s="798" t="str">
        <f t="shared" si="1"/>
        <v>strSql = strSql &amp; "ORDER BY p.ParameterName"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D4" sqref="D4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795"/>
      <c r="C1" s="209" t="s">
        <v>5309</v>
      </c>
      <c r="D1" s="209" t="s">
        <v>5300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787" t="str">
        <f>IF(__0_PatNum&gt;0,__0_PatNum,"")</f>
        <v/>
      </c>
      <c r="C2" s="209" t="s">
        <v>229</v>
      </c>
      <c r="D2" s="209" t="s">
        <v>5310</v>
      </c>
    </row>
    <row r="3" spans="1:10 4302:4302" x14ac:dyDescent="0.2">
      <c r="A3" s="209" t="str">
        <f t="shared" si="0"/>
        <v>Patient.AchterNaam</v>
      </c>
      <c r="B3" s="787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787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787" t="str">
        <f>IF(__4_GebDatum&gt;0,DateToString(__4_GebDatum),"")</f>
        <v>01-jan-1904</v>
      </c>
      <c r="C5" s="209" t="s">
        <v>229</v>
      </c>
      <c r="D5" s="209" t="s">
        <v>5311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789" t="str">
        <f ca="1">ROUND(NOW()-__4_GebDatum,0)&amp;" dagen"</f>
        <v>41537 dagen</v>
      </c>
      <c r="C6" s="209" t="s">
        <v>229</v>
      </c>
      <c r="D6" s="209" t="s">
        <v>2840</v>
      </c>
      <c r="I6" s="212"/>
      <c r="J6" s="209"/>
    </row>
    <row r="7" spans="1:10 4302:4302" x14ac:dyDescent="0.2">
      <c r="A7" s="209" t="str">
        <f t="shared" si="0"/>
        <v>Patient.Geslacht</v>
      </c>
      <c r="B7" s="787" t="str">
        <f>IF(_Pat_Geslacht&gt;0,_Pat_Geslacht,"")</f>
        <v/>
      </c>
      <c r="C7" s="209" t="s">
        <v>229</v>
      </c>
      <c r="D7" s="209" t="s">
        <v>5280</v>
      </c>
    </row>
    <row r="8" spans="1:10 4302:4302" x14ac:dyDescent="0.2">
      <c r="A8" s="209" t="str">
        <f t="shared" si="0"/>
        <v>Patient.Gewicht</v>
      </c>
      <c r="B8" s="787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787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787" t="str">
        <f>PatDetails!B13</f>
        <v/>
      </c>
      <c r="C10" s="209" t="s">
        <v>229</v>
      </c>
      <c r="D10" s="209" t="s">
        <v>5233</v>
      </c>
    </row>
    <row r="11" spans="1:10 4302:4302" x14ac:dyDescent="0.2">
      <c r="A11" s="209" t="str">
        <f t="shared" si="0"/>
        <v>Patient.Gravid</v>
      </c>
      <c r="B11" s="787" t="str">
        <f>CONCATENATE(E11,"^^",_Pat_GestWeken,"||",F11,"^^",_Pat_GestDagen)</f>
        <v>weken^^0||dagen^^0</v>
      </c>
      <c r="C11" s="209" t="s">
        <v>229</v>
      </c>
      <c r="D11" s="209" t="s">
        <v>5312</v>
      </c>
      <c r="E11" s="209" t="s">
        <v>5301</v>
      </c>
      <c r="F11" s="209" t="s">
        <v>5302</v>
      </c>
    </row>
    <row r="12" spans="1:10 4302:4302" x14ac:dyDescent="0.2">
      <c r="A12" s="209" t="str">
        <f t="shared" si="0"/>
        <v>Lab.Kreat</v>
      </c>
      <c r="B12" s="787" t="str">
        <f>IF(_Glob_Lab_Creatinine&gt;0,_Glob_Lab_Creatinine,"")</f>
        <v/>
      </c>
      <c r="C12" s="209" t="s">
        <v>89</v>
      </c>
      <c r="D12" s="209" t="s">
        <v>5238</v>
      </c>
    </row>
    <row r="13" spans="1:10 4302:4302" x14ac:dyDescent="0.2">
      <c r="A13" s="209" t="str">
        <f t="shared" si="0"/>
        <v>Lab.Na</v>
      </c>
      <c r="B13" s="787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787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787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787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787" t="str">
        <f>IF(_Glob_Lab_Triglyceriden&gt;0,_Glob_Lab_Triglyceriden,"")</f>
        <v/>
      </c>
      <c r="C17" s="209" t="s">
        <v>89</v>
      </c>
      <c r="D17" s="209" t="s">
        <v>5303</v>
      </c>
    </row>
    <row r="18" spans="1:36" x14ac:dyDescent="0.2">
      <c r="A18" s="209" t="str">
        <f t="shared" si="0"/>
        <v>MedDisc.01</v>
      </c>
      <c r="B18" s="787" t="str">
        <f t="shared" ref="B18:B47" si="1">ConcatenateKeyValue(E18:AJ18,"||","^^")</f>
        <v/>
      </c>
      <c r="C18" s="209" t="s">
        <v>5234</v>
      </c>
      <c r="D18" s="214" t="s">
        <v>343</v>
      </c>
      <c r="E18" s="209" t="s">
        <v>5262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3460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4122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5263</v>
      </c>
      <c r="V18" s="209" t="str">
        <f>GlobBerMedDisc!AA2</f>
        <v/>
      </c>
      <c r="W18" s="209" t="s">
        <v>5264</v>
      </c>
      <c r="X18" s="209">
        <f>GlobBerMedDisc!AB2</f>
        <v>0</v>
      </c>
      <c r="Y18" s="209" t="s">
        <v>5265</v>
      </c>
      <c r="Z18" s="209" t="str">
        <f>GlobBerMedDisc!AC2</f>
        <v/>
      </c>
      <c r="AA18" s="209" t="s">
        <v>3324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787" t="str">
        <f t="shared" si="1"/>
        <v/>
      </c>
      <c r="C19" s="209" t="s">
        <v>5234</v>
      </c>
      <c r="D19" s="214" t="s">
        <v>344</v>
      </c>
      <c r="E19" s="209" t="s">
        <v>5262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3460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4122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5263</v>
      </c>
      <c r="V19" s="209" t="str">
        <f>GlobBerMedDisc!AA3</f>
        <v/>
      </c>
      <c r="W19" s="209" t="s">
        <v>5264</v>
      </c>
      <c r="X19" s="209">
        <f>GlobBerMedDisc!AB3</f>
        <v>0</v>
      </c>
      <c r="Y19" s="209" t="s">
        <v>5265</v>
      </c>
      <c r="Z19" s="209" t="str">
        <f>GlobBerMedDisc!AC3</f>
        <v/>
      </c>
      <c r="AA19" s="209" t="s">
        <v>3324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787" t="str">
        <f t="shared" si="1"/>
        <v/>
      </c>
      <c r="C20" s="209" t="s">
        <v>5234</v>
      </c>
      <c r="D20" s="214" t="s">
        <v>345</v>
      </c>
      <c r="E20" s="209" t="s">
        <v>5262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3460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4122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5263</v>
      </c>
      <c r="V20" s="209" t="str">
        <f>GlobBerMedDisc!AA4</f>
        <v/>
      </c>
      <c r="W20" s="209" t="s">
        <v>5264</v>
      </c>
      <c r="X20" s="209">
        <f>GlobBerMedDisc!AB4</f>
        <v>0</v>
      </c>
      <c r="Y20" s="209" t="s">
        <v>5265</v>
      </c>
      <c r="Z20" s="209" t="str">
        <f>GlobBerMedDisc!AC4</f>
        <v/>
      </c>
      <c r="AA20" s="209" t="s">
        <v>3324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787" t="str">
        <f t="shared" si="1"/>
        <v/>
      </c>
      <c r="C21" s="209" t="s">
        <v>5234</v>
      </c>
      <c r="D21" s="214" t="s">
        <v>346</v>
      </c>
      <c r="E21" s="209" t="s">
        <v>5262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3460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4122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5263</v>
      </c>
      <c r="V21" s="209" t="str">
        <f>GlobBerMedDisc!AA5</f>
        <v/>
      </c>
      <c r="W21" s="209" t="s">
        <v>5264</v>
      </c>
      <c r="X21" s="209">
        <f>GlobBerMedDisc!AB5</f>
        <v>0</v>
      </c>
      <c r="Y21" s="209" t="s">
        <v>5265</v>
      </c>
      <c r="Z21" s="209" t="str">
        <f>GlobBerMedDisc!AC5</f>
        <v/>
      </c>
      <c r="AA21" s="209" t="s">
        <v>3324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787" t="str">
        <f t="shared" si="1"/>
        <v/>
      </c>
      <c r="C22" s="209" t="s">
        <v>5234</v>
      </c>
      <c r="D22" s="214" t="s">
        <v>347</v>
      </c>
      <c r="E22" s="209" t="s">
        <v>5262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3460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4122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5263</v>
      </c>
      <c r="V22" s="209" t="str">
        <f>GlobBerMedDisc!AA6</f>
        <v/>
      </c>
      <c r="W22" s="209" t="s">
        <v>5264</v>
      </c>
      <c r="X22" s="209">
        <f>GlobBerMedDisc!AB6</f>
        <v>0</v>
      </c>
      <c r="Y22" s="209" t="s">
        <v>5265</v>
      </c>
      <c r="Z22" s="209" t="str">
        <f>GlobBerMedDisc!AC6</f>
        <v/>
      </c>
      <c r="AA22" s="209" t="s">
        <v>3324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787" t="str">
        <f t="shared" si="1"/>
        <v/>
      </c>
      <c r="C23" s="209" t="s">
        <v>5234</v>
      </c>
      <c r="D23" s="214" t="s">
        <v>348</v>
      </c>
      <c r="E23" s="209" t="s">
        <v>5262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3460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4122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5263</v>
      </c>
      <c r="V23" s="209" t="str">
        <f>GlobBerMedDisc!AA7</f>
        <v/>
      </c>
      <c r="W23" s="209" t="s">
        <v>5264</v>
      </c>
      <c r="X23" s="209">
        <f>GlobBerMedDisc!AB7</f>
        <v>0</v>
      </c>
      <c r="Y23" s="209" t="s">
        <v>5265</v>
      </c>
      <c r="Z23" s="209" t="str">
        <f>GlobBerMedDisc!AC7</f>
        <v/>
      </c>
      <c r="AA23" s="209" t="s">
        <v>3324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787" t="str">
        <f t="shared" si="1"/>
        <v/>
      </c>
      <c r="C24" s="209" t="s">
        <v>5234</v>
      </c>
      <c r="D24" s="214" t="s">
        <v>349</v>
      </c>
      <c r="E24" s="209" t="s">
        <v>5262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3460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4122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5263</v>
      </c>
      <c r="V24" s="209" t="str">
        <f>GlobBerMedDisc!AA8</f>
        <v/>
      </c>
      <c r="W24" s="209" t="s">
        <v>5264</v>
      </c>
      <c r="X24" s="209">
        <f>GlobBerMedDisc!AB8</f>
        <v>0</v>
      </c>
      <c r="Y24" s="209" t="s">
        <v>5265</v>
      </c>
      <c r="Z24" s="209" t="str">
        <f>GlobBerMedDisc!AC8</f>
        <v/>
      </c>
      <c r="AA24" s="209" t="s">
        <v>3324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787" t="str">
        <f t="shared" si="1"/>
        <v/>
      </c>
      <c r="C25" s="209" t="s">
        <v>5234</v>
      </c>
      <c r="D25" s="214" t="s">
        <v>350</v>
      </c>
      <c r="E25" s="209" t="s">
        <v>5262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3460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4122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5263</v>
      </c>
      <c r="V25" s="209" t="str">
        <f>GlobBerMedDisc!AA9</f>
        <v/>
      </c>
      <c r="W25" s="209" t="s">
        <v>5264</v>
      </c>
      <c r="X25" s="209">
        <f>GlobBerMedDisc!AB9</f>
        <v>0</v>
      </c>
      <c r="Y25" s="209" t="s">
        <v>5265</v>
      </c>
      <c r="Z25" s="209" t="str">
        <f>GlobBerMedDisc!AC9</f>
        <v/>
      </c>
      <c r="AA25" s="209" t="s">
        <v>3324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787" t="str">
        <f t="shared" si="1"/>
        <v/>
      </c>
      <c r="C26" s="209" t="s">
        <v>5234</v>
      </c>
      <c r="D26" s="214" t="s">
        <v>351</v>
      </c>
      <c r="E26" s="209" t="s">
        <v>5262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3460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4122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5263</v>
      </c>
      <c r="V26" s="209" t="str">
        <f>GlobBerMedDisc!AA10</f>
        <v/>
      </c>
      <c r="W26" s="209" t="s">
        <v>5264</v>
      </c>
      <c r="X26" s="209">
        <f>GlobBerMedDisc!AB10</f>
        <v>0</v>
      </c>
      <c r="Y26" s="209" t="s">
        <v>5265</v>
      </c>
      <c r="Z26" s="209" t="str">
        <f>GlobBerMedDisc!AC10</f>
        <v/>
      </c>
      <c r="AA26" s="209" t="s">
        <v>3324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787" t="str">
        <f t="shared" si="1"/>
        <v/>
      </c>
      <c r="C27" s="209" t="s">
        <v>5234</v>
      </c>
      <c r="D27" s="214" t="s">
        <v>500</v>
      </c>
      <c r="E27" s="209" t="s">
        <v>5262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3460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4122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5263</v>
      </c>
      <c r="V27" s="209" t="str">
        <f>GlobBerMedDisc!AA11</f>
        <v/>
      </c>
      <c r="W27" s="209" t="s">
        <v>5264</v>
      </c>
      <c r="X27" s="209">
        <f>GlobBerMedDisc!AB11</f>
        <v>0</v>
      </c>
      <c r="Y27" s="209" t="s">
        <v>5265</v>
      </c>
      <c r="Z27" s="209" t="str">
        <f>GlobBerMedDisc!AC11</f>
        <v/>
      </c>
      <c r="AA27" s="209" t="s">
        <v>3324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787" t="str">
        <f t="shared" si="1"/>
        <v/>
      </c>
      <c r="C28" s="209" t="s">
        <v>5234</v>
      </c>
      <c r="D28" s="214" t="s">
        <v>501</v>
      </c>
      <c r="E28" s="209" t="s">
        <v>5262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3460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4122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5263</v>
      </c>
      <c r="V28" s="209" t="str">
        <f>GlobBerMedDisc!AA12</f>
        <v/>
      </c>
      <c r="W28" s="209" t="s">
        <v>5264</v>
      </c>
      <c r="X28" s="209">
        <f>GlobBerMedDisc!AB12</f>
        <v>0</v>
      </c>
      <c r="Y28" s="209" t="s">
        <v>5265</v>
      </c>
      <c r="Z28" s="209" t="str">
        <f>GlobBerMedDisc!AC12</f>
        <v/>
      </c>
      <c r="AA28" s="209" t="s">
        <v>3324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787" t="str">
        <f t="shared" si="1"/>
        <v/>
      </c>
      <c r="C29" s="209" t="s">
        <v>5234</v>
      </c>
      <c r="D29" s="214" t="s">
        <v>502</v>
      </c>
      <c r="E29" s="209" t="s">
        <v>5262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3460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4122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5263</v>
      </c>
      <c r="V29" s="209" t="str">
        <f>GlobBerMedDisc!AA13</f>
        <v/>
      </c>
      <c r="W29" s="209" t="s">
        <v>5264</v>
      </c>
      <c r="X29" s="209">
        <f>GlobBerMedDisc!AB13</f>
        <v>0</v>
      </c>
      <c r="Y29" s="209" t="s">
        <v>5265</v>
      </c>
      <c r="Z29" s="209" t="str">
        <f>GlobBerMedDisc!AC13</f>
        <v/>
      </c>
      <c r="AA29" s="209" t="s">
        <v>3324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787" t="str">
        <f t="shared" si="1"/>
        <v/>
      </c>
      <c r="C30" s="209" t="s">
        <v>5234</v>
      </c>
      <c r="D30" s="214" t="s">
        <v>596</v>
      </c>
      <c r="E30" s="209" t="s">
        <v>5262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3460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4122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5263</v>
      </c>
      <c r="V30" s="209" t="str">
        <f>GlobBerMedDisc!AA14</f>
        <v/>
      </c>
      <c r="W30" s="209" t="s">
        <v>5264</v>
      </c>
      <c r="X30" s="209">
        <f>GlobBerMedDisc!AB14</f>
        <v>0</v>
      </c>
      <c r="Y30" s="209" t="s">
        <v>5265</v>
      </c>
      <c r="Z30" s="209" t="str">
        <f>GlobBerMedDisc!AC14</f>
        <v/>
      </c>
      <c r="AA30" s="209" t="s">
        <v>3324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787" t="str">
        <f t="shared" si="1"/>
        <v/>
      </c>
      <c r="C31" s="209" t="s">
        <v>5234</v>
      </c>
      <c r="D31" s="214" t="s">
        <v>597</v>
      </c>
      <c r="E31" s="209" t="s">
        <v>5262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3460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4122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5263</v>
      </c>
      <c r="V31" s="209" t="str">
        <f>GlobBerMedDisc!AA15</f>
        <v/>
      </c>
      <c r="W31" s="209" t="s">
        <v>5264</v>
      </c>
      <c r="X31" s="209">
        <f>GlobBerMedDisc!AB15</f>
        <v>0</v>
      </c>
      <c r="Y31" s="209" t="s">
        <v>5265</v>
      </c>
      <c r="Z31" s="209" t="str">
        <f>GlobBerMedDisc!AC15</f>
        <v/>
      </c>
      <c r="AA31" s="209" t="s">
        <v>3324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787" t="str">
        <f t="shared" si="1"/>
        <v/>
      </c>
      <c r="C32" s="209" t="s">
        <v>5234</v>
      </c>
      <c r="D32" s="214" t="s">
        <v>837</v>
      </c>
      <c r="E32" s="209" t="s">
        <v>5262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3460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4122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5263</v>
      </c>
      <c r="V32" s="209" t="str">
        <f>GlobBerMedDisc!AA16</f>
        <v/>
      </c>
      <c r="W32" s="209" t="s">
        <v>5264</v>
      </c>
      <c r="X32" s="209">
        <f>GlobBerMedDisc!AB16</f>
        <v>0</v>
      </c>
      <c r="Y32" s="209" t="s">
        <v>5265</v>
      </c>
      <c r="Z32" s="209" t="str">
        <f>GlobBerMedDisc!AC16</f>
        <v/>
      </c>
      <c r="AA32" s="209" t="s">
        <v>3324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787" t="str">
        <f t="shared" si="1"/>
        <v/>
      </c>
      <c r="C33" s="209" t="s">
        <v>5234</v>
      </c>
      <c r="D33" s="214" t="s">
        <v>851</v>
      </c>
      <c r="E33" s="209" t="s">
        <v>5262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3460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4122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5263</v>
      </c>
      <c r="V33" s="209" t="str">
        <f>GlobBerMedDisc!AA17</f>
        <v/>
      </c>
      <c r="W33" s="209" t="s">
        <v>5264</v>
      </c>
      <c r="X33" s="209">
        <f>GlobBerMedDisc!AB17</f>
        <v>0</v>
      </c>
      <c r="Y33" s="209" t="s">
        <v>5265</v>
      </c>
      <c r="Z33" s="209" t="str">
        <f>GlobBerMedDisc!AC17</f>
        <v/>
      </c>
      <c r="AA33" s="209" t="s">
        <v>3324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787" t="str">
        <f t="shared" si="1"/>
        <v/>
      </c>
      <c r="C34" s="209" t="s">
        <v>5234</v>
      </c>
      <c r="D34" s="214" t="s">
        <v>852</v>
      </c>
      <c r="E34" s="209" t="s">
        <v>5262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3460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4122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5263</v>
      </c>
      <c r="V34" s="209" t="str">
        <f>GlobBerMedDisc!AA18</f>
        <v/>
      </c>
      <c r="W34" s="209" t="s">
        <v>5264</v>
      </c>
      <c r="X34" s="209">
        <f>GlobBerMedDisc!AB18</f>
        <v>0</v>
      </c>
      <c r="Y34" s="209" t="s">
        <v>5265</v>
      </c>
      <c r="Z34" s="209" t="str">
        <f>GlobBerMedDisc!AC18</f>
        <v/>
      </c>
      <c r="AA34" s="209" t="s">
        <v>3324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787" t="str">
        <f t="shared" si="1"/>
        <v/>
      </c>
      <c r="C35" s="209" t="s">
        <v>5234</v>
      </c>
      <c r="D35" s="214" t="s">
        <v>853</v>
      </c>
      <c r="E35" s="209" t="s">
        <v>5262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3460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4122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5263</v>
      </c>
      <c r="V35" s="209" t="str">
        <f>GlobBerMedDisc!AA19</f>
        <v/>
      </c>
      <c r="W35" s="209" t="s">
        <v>5264</v>
      </c>
      <c r="X35" s="209">
        <f>GlobBerMedDisc!AB19</f>
        <v>0</v>
      </c>
      <c r="Y35" s="209" t="s">
        <v>5265</v>
      </c>
      <c r="Z35" s="209" t="str">
        <f>GlobBerMedDisc!AC19</f>
        <v/>
      </c>
      <c r="AA35" s="209" t="s">
        <v>3324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787" t="str">
        <f t="shared" si="1"/>
        <v/>
      </c>
      <c r="C36" s="209" t="s">
        <v>5234</v>
      </c>
      <c r="D36" s="214" t="s">
        <v>854</v>
      </c>
      <c r="E36" s="209" t="s">
        <v>5262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3460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4122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5263</v>
      </c>
      <c r="V36" s="209" t="str">
        <f>GlobBerMedDisc!AA20</f>
        <v/>
      </c>
      <c r="W36" s="209" t="s">
        <v>5264</v>
      </c>
      <c r="X36" s="209">
        <f>GlobBerMedDisc!AB20</f>
        <v>0</v>
      </c>
      <c r="Y36" s="209" t="s">
        <v>5265</v>
      </c>
      <c r="Z36" s="209" t="str">
        <f>GlobBerMedDisc!AC20</f>
        <v/>
      </c>
      <c r="AA36" s="209" t="s">
        <v>3324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787" t="str">
        <f t="shared" si="1"/>
        <v/>
      </c>
      <c r="C37" s="209" t="s">
        <v>5234</v>
      </c>
      <c r="D37" s="214" t="s">
        <v>855</v>
      </c>
      <c r="E37" s="209" t="s">
        <v>5262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3460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4122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5263</v>
      </c>
      <c r="V37" s="209" t="str">
        <f>GlobBerMedDisc!AA21</f>
        <v/>
      </c>
      <c r="W37" s="209" t="s">
        <v>5264</v>
      </c>
      <c r="X37" s="209">
        <f>GlobBerMedDisc!AB21</f>
        <v>0</v>
      </c>
      <c r="Y37" s="209" t="s">
        <v>5265</v>
      </c>
      <c r="Z37" s="209" t="str">
        <f>GlobBerMedDisc!AC21</f>
        <v/>
      </c>
      <c r="AA37" s="209" t="s">
        <v>3324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787" t="str">
        <f t="shared" si="1"/>
        <v/>
      </c>
      <c r="C38" s="209" t="s">
        <v>5234</v>
      </c>
      <c r="D38" s="214" t="s">
        <v>856</v>
      </c>
      <c r="E38" s="209" t="s">
        <v>5262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3460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4122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5263</v>
      </c>
      <c r="V38" s="209" t="str">
        <f>GlobBerMedDisc!AA22</f>
        <v/>
      </c>
      <c r="W38" s="209" t="s">
        <v>5264</v>
      </c>
      <c r="X38" s="209">
        <f>GlobBerMedDisc!AB22</f>
        <v>0</v>
      </c>
      <c r="Y38" s="209" t="s">
        <v>5265</v>
      </c>
      <c r="Z38" s="209" t="str">
        <f>GlobBerMedDisc!AC22</f>
        <v/>
      </c>
      <c r="AA38" s="209" t="s">
        <v>3324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787" t="str">
        <f t="shared" si="1"/>
        <v/>
      </c>
      <c r="C39" s="209" t="s">
        <v>5234</v>
      </c>
      <c r="D39" s="214" t="s">
        <v>857</v>
      </c>
      <c r="E39" s="209" t="s">
        <v>5262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3460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4122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5263</v>
      </c>
      <c r="V39" s="209" t="str">
        <f>GlobBerMedDisc!AA23</f>
        <v/>
      </c>
      <c r="W39" s="209" t="s">
        <v>5264</v>
      </c>
      <c r="X39" s="209">
        <f>GlobBerMedDisc!AB23</f>
        <v>0</v>
      </c>
      <c r="Y39" s="209" t="s">
        <v>5265</v>
      </c>
      <c r="Z39" s="209" t="str">
        <f>GlobBerMedDisc!AC23</f>
        <v/>
      </c>
      <c r="AA39" s="209" t="s">
        <v>3324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787" t="str">
        <f t="shared" si="1"/>
        <v/>
      </c>
      <c r="C40" s="209" t="s">
        <v>5234</v>
      </c>
      <c r="D40" s="214" t="s">
        <v>858</v>
      </c>
      <c r="E40" s="209" t="s">
        <v>5262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3460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4122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5263</v>
      </c>
      <c r="V40" s="209" t="str">
        <f>GlobBerMedDisc!AA24</f>
        <v/>
      </c>
      <c r="W40" s="209" t="s">
        <v>5264</v>
      </c>
      <c r="X40" s="209">
        <f>GlobBerMedDisc!AB24</f>
        <v>0</v>
      </c>
      <c r="Y40" s="209" t="s">
        <v>5265</v>
      </c>
      <c r="Z40" s="209" t="str">
        <f>GlobBerMedDisc!AC24</f>
        <v/>
      </c>
      <c r="AA40" s="209" t="s">
        <v>3324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787" t="str">
        <f t="shared" si="1"/>
        <v/>
      </c>
      <c r="C41" s="209" t="s">
        <v>5234</v>
      </c>
      <c r="D41" s="214" t="s">
        <v>859</v>
      </c>
      <c r="E41" s="209" t="s">
        <v>5262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3460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4122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5263</v>
      </c>
      <c r="V41" s="209" t="str">
        <f>GlobBerMedDisc!AA25</f>
        <v/>
      </c>
      <c r="W41" s="209" t="s">
        <v>5264</v>
      </c>
      <c r="X41" s="209">
        <f>GlobBerMedDisc!AB25</f>
        <v>0</v>
      </c>
      <c r="Y41" s="209" t="s">
        <v>5265</v>
      </c>
      <c r="Z41" s="209" t="str">
        <f>GlobBerMedDisc!AC25</f>
        <v/>
      </c>
      <c r="AA41" s="209" t="s">
        <v>3324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787" t="str">
        <f t="shared" si="1"/>
        <v/>
      </c>
      <c r="C42" s="209" t="s">
        <v>5234</v>
      </c>
      <c r="D42" s="214" t="s">
        <v>860</v>
      </c>
      <c r="E42" s="209" t="s">
        <v>5262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3460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4122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5263</v>
      </c>
      <c r="V42" s="209" t="str">
        <f>GlobBerMedDisc!AA26</f>
        <v/>
      </c>
      <c r="W42" s="209" t="s">
        <v>5264</v>
      </c>
      <c r="X42" s="209">
        <f>GlobBerMedDisc!AB26</f>
        <v>0</v>
      </c>
      <c r="Y42" s="209" t="s">
        <v>5265</v>
      </c>
      <c r="Z42" s="209" t="str">
        <f>GlobBerMedDisc!AC26</f>
        <v/>
      </c>
      <c r="AA42" s="209" t="s">
        <v>3324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787" t="str">
        <f t="shared" si="1"/>
        <v/>
      </c>
      <c r="C43" s="209" t="s">
        <v>5234</v>
      </c>
      <c r="D43" s="214" t="s">
        <v>861</v>
      </c>
      <c r="E43" s="209" t="s">
        <v>5262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3460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4122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5263</v>
      </c>
      <c r="V43" s="209" t="str">
        <f>GlobBerMedDisc!AA27</f>
        <v/>
      </c>
      <c r="W43" s="209" t="s">
        <v>5264</v>
      </c>
      <c r="X43" s="209">
        <f>GlobBerMedDisc!AB27</f>
        <v>0</v>
      </c>
      <c r="Y43" s="209" t="s">
        <v>5265</v>
      </c>
      <c r="Z43" s="209" t="str">
        <f>GlobBerMedDisc!AC27</f>
        <v/>
      </c>
      <c r="AA43" s="209" t="s">
        <v>3324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787" t="str">
        <f t="shared" si="1"/>
        <v/>
      </c>
      <c r="C44" s="209" t="s">
        <v>5234</v>
      </c>
      <c r="D44" s="214" t="s">
        <v>862</v>
      </c>
      <c r="E44" s="209" t="s">
        <v>5262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3460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4122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5263</v>
      </c>
      <c r="V44" s="209" t="str">
        <f>GlobBerMedDisc!AA28</f>
        <v/>
      </c>
      <c r="W44" s="209" t="s">
        <v>5264</v>
      </c>
      <c r="X44" s="209">
        <f>GlobBerMedDisc!AB28</f>
        <v>0</v>
      </c>
      <c r="Y44" s="209" t="s">
        <v>5265</v>
      </c>
      <c r="Z44" s="209" t="str">
        <f>GlobBerMedDisc!AC28</f>
        <v/>
      </c>
      <c r="AA44" s="209" t="s">
        <v>3324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787" t="str">
        <f t="shared" si="1"/>
        <v/>
      </c>
      <c r="C45" s="209" t="s">
        <v>5234</v>
      </c>
      <c r="D45" s="214" t="s">
        <v>5235</v>
      </c>
      <c r="E45" s="209" t="s">
        <v>5262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3460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4122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5263</v>
      </c>
      <c r="V45" s="209" t="str">
        <f>GlobBerMedDisc!AA29</f>
        <v/>
      </c>
      <c r="W45" s="209" t="s">
        <v>5264</v>
      </c>
      <c r="X45" s="209">
        <f>GlobBerMedDisc!AB29</f>
        <v>0</v>
      </c>
      <c r="Y45" s="209" t="s">
        <v>5265</v>
      </c>
      <c r="Z45" s="209" t="str">
        <f>GlobBerMedDisc!AC29</f>
        <v/>
      </c>
      <c r="AA45" s="209" t="s">
        <v>3324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787" t="str">
        <f t="shared" si="1"/>
        <v/>
      </c>
      <c r="C46" s="209" t="s">
        <v>5234</v>
      </c>
      <c r="D46" s="214" t="s">
        <v>5236</v>
      </c>
      <c r="E46" s="209" t="s">
        <v>5262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3460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4122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5263</v>
      </c>
      <c r="V46" s="209" t="str">
        <f>GlobBerMedDisc!AA30</f>
        <v/>
      </c>
      <c r="W46" s="209" t="s">
        <v>5264</v>
      </c>
      <c r="X46" s="209">
        <f>GlobBerMedDisc!AB30</f>
        <v>0</v>
      </c>
      <c r="Y46" s="209" t="s">
        <v>5265</v>
      </c>
      <c r="Z46" s="209" t="str">
        <f>GlobBerMedDisc!AC30</f>
        <v/>
      </c>
      <c r="AA46" s="209" t="s">
        <v>3324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787" t="str">
        <f t="shared" si="1"/>
        <v/>
      </c>
      <c r="C47" s="209" t="s">
        <v>5234</v>
      </c>
      <c r="D47" s="214" t="s">
        <v>5237</v>
      </c>
      <c r="E47" s="209" t="s">
        <v>5262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3460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4122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5263</v>
      </c>
      <c r="V47" s="209" t="str">
        <f>GlobBerMedDisc!AA31</f>
        <v/>
      </c>
      <c r="W47" s="209" t="s">
        <v>5264</v>
      </c>
      <c r="X47" s="209">
        <f>GlobBerMedDisc!AB31</f>
        <v>0</v>
      </c>
      <c r="Y47" s="209" t="s">
        <v>5265</v>
      </c>
      <c r="Z47" s="209" t="str">
        <f>GlobBerMedDisc!AC31</f>
        <v/>
      </c>
      <c r="AA47" s="209" t="s">
        <v>3324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787" t="str">
        <f>ConcatenateKeyValue(E48:T48,"||","^^")</f>
        <v/>
      </c>
      <c r="C48" s="209" t="s">
        <v>5239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787" t="str">
        <f t="shared" ref="B49:B67" si="2">ConcatenateKeyValue(E49:T49,"||","^^")</f>
        <v/>
      </c>
      <c r="C49" s="209" t="s">
        <v>5239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787" t="str">
        <f t="shared" si="2"/>
        <v/>
      </c>
      <c r="C50" s="209" t="s">
        <v>5239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787" t="str">
        <f t="shared" si="2"/>
        <v/>
      </c>
      <c r="C51" s="209" t="s">
        <v>5239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787" t="str">
        <f t="shared" si="2"/>
        <v/>
      </c>
      <c r="C52" s="209" t="s">
        <v>5239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787" t="str">
        <f t="shared" si="2"/>
        <v/>
      </c>
      <c r="C53" s="209" t="s">
        <v>5239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787" t="str">
        <f t="shared" si="2"/>
        <v/>
      </c>
      <c r="C54" s="209" t="s">
        <v>5239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787" t="str">
        <f t="shared" si="2"/>
        <v/>
      </c>
      <c r="C55" s="209" t="s">
        <v>5239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787" t="str">
        <f t="shared" si="2"/>
        <v/>
      </c>
      <c r="C56" s="209" t="s">
        <v>5239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787" t="str">
        <f t="shared" si="2"/>
        <v/>
      </c>
      <c r="C57" s="209" t="s">
        <v>5239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787" t="str">
        <f t="shared" si="2"/>
        <v/>
      </c>
      <c r="C58" s="209" t="s">
        <v>5239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787" t="str">
        <f t="shared" si="2"/>
        <v/>
      </c>
      <c r="C59" s="209" t="s">
        <v>5239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787" t="str">
        <f t="shared" si="2"/>
        <v/>
      </c>
      <c r="C60" s="209" t="s">
        <v>5239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787" t="str">
        <f t="shared" si="2"/>
        <v/>
      </c>
      <c r="C61" s="209" t="s">
        <v>5239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787" t="str">
        <f t="shared" si="2"/>
        <v/>
      </c>
      <c r="C62" s="209" t="s">
        <v>5239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787" t="str">
        <f t="shared" si="2"/>
        <v/>
      </c>
      <c r="C63" s="209" t="s">
        <v>5239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787" t="str">
        <f t="shared" si="2"/>
        <v/>
      </c>
      <c r="C64" s="209" t="s">
        <v>5239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787" t="str">
        <f t="shared" si="2"/>
        <v/>
      </c>
      <c r="C65" s="209" t="s">
        <v>5239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787" t="str">
        <f t="shared" si="2"/>
        <v/>
      </c>
      <c r="C66" s="209" t="s">
        <v>5239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787" t="str">
        <f t="shared" si="2"/>
        <v/>
      </c>
      <c r="C67" s="209" t="s">
        <v>5239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787" t="str">
        <f>PedBerEnt!K3</f>
        <v>Enteraal voeding</v>
      </c>
      <c r="C68" s="209" t="s">
        <v>5313</v>
      </c>
      <c r="D68" s="214" t="s">
        <v>5331</v>
      </c>
      <c r="M68" s="209"/>
    </row>
    <row r="69" spans="1:20" x14ac:dyDescent="0.2">
      <c r="A69" s="209" t="str">
        <f t="shared" si="3"/>
        <v>PedEnt.Voed</v>
      </c>
      <c r="B69" s="787" t="str">
        <f>ConcatenateKeyValue(E69:L69,"||","^^")</f>
        <v/>
      </c>
      <c r="C69" s="209" t="s">
        <v>5313</v>
      </c>
      <c r="D69" s="214" t="s">
        <v>5330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4122</v>
      </c>
      <c r="J69" s="209" t="str">
        <f>PedBerEnt!I4</f>
        <v/>
      </c>
      <c r="K69" s="209" t="s">
        <v>5261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787" t="str">
        <f t="shared" ref="B70:B72" si="4">ConcatenateKeyValue(E70:L70,"||","^^")</f>
        <v/>
      </c>
      <c r="C70" s="209" t="s">
        <v>5313</v>
      </c>
      <c r="D70" s="214" t="s">
        <v>5314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4122</v>
      </c>
      <c r="J70" s="209" t="str">
        <f>PedBerEnt!I5</f>
        <v/>
      </c>
      <c r="K70" s="209" t="s">
        <v>5261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787" t="str">
        <f t="shared" si="4"/>
        <v/>
      </c>
      <c r="C71" s="209" t="s">
        <v>5313</v>
      </c>
      <c r="D71" s="214" t="s">
        <v>5315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4122</v>
      </c>
      <c r="J71" s="209" t="str">
        <f>PedBerEnt!I6</f>
        <v/>
      </c>
      <c r="K71" s="209" t="s">
        <v>5261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787" t="str">
        <f t="shared" si="4"/>
        <v/>
      </c>
      <c r="C72" s="209" t="s">
        <v>5313</v>
      </c>
      <c r="D72" s="214" t="s">
        <v>5315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4122</v>
      </c>
      <c r="J72" s="209" t="str">
        <f>PedBerEnt!I7</f>
        <v/>
      </c>
      <c r="K72" s="209" t="s">
        <v>5261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787" t="str">
        <f>IF(_Ped_Ent_Opm=0,"",_Ped_Ent_Opm)</f>
        <v/>
      </c>
      <c r="C73" s="209" t="s">
        <v>5313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787" t="str">
        <f t="shared" ref="B74:B80" si="6">ConcatenateKeyValue(E74:J74,"||","^^")</f>
        <v>Ingred^^::##::</v>
      </c>
      <c r="C74" s="209" t="s">
        <v>5253</v>
      </c>
      <c r="D74" s="214" t="s">
        <v>5254</v>
      </c>
      <c r="E74" s="209" t="s">
        <v>5260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5261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787" t="str">
        <f t="shared" si="6"/>
        <v/>
      </c>
      <c r="C75" s="209" t="s">
        <v>5253</v>
      </c>
      <c r="D75" s="214" t="s">
        <v>5255</v>
      </c>
      <c r="E75" s="209" t="s">
        <v>5260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5261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787" t="str">
        <f t="shared" si="6"/>
        <v/>
      </c>
      <c r="C76" s="209" t="s">
        <v>5253</v>
      </c>
      <c r="D76" s="214" t="s">
        <v>5256</v>
      </c>
      <c r="E76" s="209" t="s">
        <v>5260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5261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787" t="str">
        <f t="shared" si="6"/>
        <v/>
      </c>
      <c r="C77" s="209" t="s">
        <v>5253</v>
      </c>
      <c r="D77" s="214" t="s">
        <v>240</v>
      </c>
      <c r="E77" s="209" t="s">
        <v>5260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5261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787" t="str">
        <f t="shared" si="6"/>
        <v/>
      </c>
      <c r="C78" s="209" t="s">
        <v>5253</v>
      </c>
      <c r="D78" s="214" t="s">
        <v>5257</v>
      </c>
      <c r="E78" s="209" t="s">
        <v>5260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5261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787" t="str">
        <f t="shared" si="6"/>
        <v/>
      </c>
      <c r="C79" s="209" t="s">
        <v>5253</v>
      </c>
      <c r="D79" s="214" t="s">
        <v>5258</v>
      </c>
      <c r="E79" s="209" t="s">
        <v>5260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5261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787" t="str">
        <f t="shared" si="6"/>
        <v/>
      </c>
      <c r="C80" s="209" t="s">
        <v>5253</v>
      </c>
      <c r="D80" s="214" t="s">
        <v>5259</v>
      </c>
      <c r="E80" s="209" t="s">
        <v>5260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5261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787" t="str">
        <f>IF(_Ped_TPN_Opm=0,"",_Ped_TPN_Opm)</f>
        <v/>
      </c>
      <c r="C81" s="209" t="s">
        <v>5253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787" t="str">
        <f>IF(PedBerIVenPM!I2=0,"",PedBerIVenPM!I2)</f>
        <v/>
      </c>
      <c r="C82" s="209" t="s">
        <v>5240</v>
      </c>
      <c r="D82" s="214" t="s">
        <v>343</v>
      </c>
    </row>
    <row r="83" spans="1:9" x14ac:dyDescent="0.2">
      <c r="A83" s="236" t="str">
        <f t="shared" si="5"/>
        <v>PedAccess.02</v>
      </c>
      <c r="B83" s="787" t="str">
        <f>IF(PedBerIVenPM!I3=0,"",PedBerIVenPM!I3)</f>
        <v/>
      </c>
      <c r="C83" s="209" t="s">
        <v>5240</v>
      </c>
      <c r="D83" s="214" t="s">
        <v>344</v>
      </c>
    </row>
    <row r="84" spans="1:9" x14ac:dyDescent="0.2">
      <c r="A84" s="236" t="str">
        <f t="shared" si="5"/>
        <v>PedAccess.03</v>
      </c>
      <c r="B84" s="787" t="str">
        <f>IF(PedBerIVenPM!I4=0,"",PedBerIVenPM!I4)</f>
        <v/>
      </c>
      <c r="C84" s="209" t="s">
        <v>5240</v>
      </c>
      <c r="D84" s="214" t="s">
        <v>345</v>
      </c>
    </row>
    <row r="85" spans="1:9" x14ac:dyDescent="0.2">
      <c r="A85" s="236" t="str">
        <f t="shared" si="5"/>
        <v>PedAccess.04</v>
      </c>
      <c r="B85" s="787" t="str">
        <f>IF(PedBerIVenPM!I5=0,"",PedBerIVenPM!I5)</f>
        <v/>
      </c>
      <c r="C85" s="209" t="s">
        <v>5240</v>
      </c>
      <c r="D85" s="214" t="s">
        <v>346</v>
      </c>
    </row>
    <row r="86" spans="1:9" x14ac:dyDescent="0.2">
      <c r="A86" s="236" t="str">
        <f t="shared" si="5"/>
        <v>PedAccess.05</v>
      </c>
      <c r="B86" s="787" t="str">
        <f>IF(PedBerIVenPM!I6=0,"",PedBerIVenPM!I6)</f>
        <v/>
      </c>
      <c r="C86" s="209" t="s">
        <v>5240</v>
      </c>
      <c r="D86" s="214" t="s">
        <v>347</v>
      </c>
    </row>
    <row r="87" spans="1:9" x14ac:dyDescent="0.2">
      <c r="A87" s="236" t="str">
        <f t="shared" si="5"/>
        <v>PedAccess.06</v>
      </c>
      <c r="B87" s="787" t="str">
        <f>IF(PedBerIVenPM!I7=0,"",PedBerIVenPM!I7)</f>
        <v/>
      </c>
      <c r="C87" s="209" t="s">
        <v>5240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787" t="str">
        <f>IF(PedBerIVenPM!I9=0,"",PedBerIVenPM!I9)</f>
        <v/>
      </c>
      <c r="C88" s="209" t="s">
        <v>5240</v>
      </c>
      <c r="D88" s="214" t="s">
        <v>356</v>
      </c>
    </row>
    <row r="89" spans="1:9" x14ac:dyDescent="0.2">
      <c r="A89" s="236" t="str">
        <f t="shared" si="5"/>
        <v>PedPM.01</v>
      </c>
      <c r="B89" s="787" t="str">
        <f>PedBerIVenPM!I21</f>
        <v/>
      </c>
      <c r="C89" s="209" t="s">
        <v>5241</v>
      </c>
      <c r="D89" s="214" t="s">
        <v>343</v>
      </c>
    </row>
    <row r="90" spans="1:9" x14ac:dyDescent="0.2">
      <c r="A90" s="236" t="str">
        <f t="shared" si="5"/>
        <v>PedLab.Opname</v>
      </c>
      <c r="B90" s="788" t="str">
        <f>IF(PedBerLab!B39="","",PedBerLab!A39&amp;"::"&amp;PedBerLab!B39)</f>
        <v/>
      </c>
      <c r="C90" s="209" t="s">
        <v>5242</v>
      </c>
      <c r="D90" s="209" t="s">
        <v>301</v>
      </c>
    </row>
    <row r="91" spans="1:9" x14ac:dyDescent="0.2">
      <c r="A91" s="236" t="str">
        <f t="shared" si="5"/>
        <v>PedLab.14:00uur</v>
      </c>
      <c r="B91" s="788" t="str">
        <f>IF(PedBerLab!B40="","",PedBerLab!A40&amp;"::"&amp;PedBerLab!B40)</f>
        <v/>
      </c>
      <c r="C91" s="209" t="s">
        <v>5242</v>
      </c>
      <c r="D91" s="209" t="s">
        <v>5250</v>
      </c>
    </row>
    <row r="92" spans="1:9" x14ac:dyDescent="0.2">
      <c r="A92" s="236" t="str">
        <f t="shared" si="5"/>
        <v>PedLab.19:00uur</v>
      </c>
      <c r="B92" s="788" t="str">
        <f>IF(PedBerLab!B41="","",PedBerLab!A41&amp;"::"&amp;PedBerLab!B41)</f>
        <v/>
      </c>
      <c r="C92" s="209" t="s">
        <v>5242</v>
      </c>
      <c r="D92" s="209" t="s">
        <v>5249</v>
      </c>
    </row>
    <row r="93" spans="1:9" x14ac:dyDescent="0.2">
      <c r="A93" s="236" t="str">
        <f t="shared" si="5"/>
        <v>PedLab.24:00uur</v>
      </c>
      <c r="B93" s="788" t="str">
        <f>IF(PedBerLab!B42="","",PedBerLab!A42&amp;"::"&amp;PedBerLab!B42)</f>
        <v/>
      </c>
      <c r="C93" s="209" t="s">
        <v>5242</v>
      </c>
      <c r="D93" s="209" t="s">
        <v>5251</v>
      </c>
    </row>
    <row r="94" spans="1:9" x14ac:dyDescent="0.2">
      <c r="A94" s="236" t="str">
        <f t="shared" si="5"/>
        <v>PedLab.06:00uur</v>
      </c>
      <c r="B94" s="788" t="str">
        <f>IF(PedBerLab!B43="","",PedBerLab!A43&amp;"::"&amp;PedBerLab!B43)</f>
        <v/>
      </c>
      <c r="C94" s="209" t="s">
        <v>5242</v>
      </c>
      <c r="D94" s="209" t="s">
        <v>5252</v>
      </c>
    </row>
    <row r="95" spans="1:9" x14ac:dyDescent="0.2">
      <c r="A95" s="236" t="str">
        <f t="shared" si="5"/>
        <v>PedLab.Opm</v>
      </c>
      <c r="B95" s="787" t="str">
        <f>IF(_Ped_Lab_Opm=0,"",_Ped_Lab_Opm)</f>
        <v/>
      </c>
      <c r="C95" s="209" t="s">
        <v>5242</v>
      </c>
      <c r="D95" s="209" t="s">
        <v>356</v>
      </c>
    </row>
    <row r="96" spans="1:9" x14ac:dyDescent="0.2">
      <c r="A96" s="236" t="str">
        <f t="shared" si="5"/>
        <v>PedAfspr.01</v>
      </c>
      <c r="B96" s="787" t="str">
        <f>IF(PedBerAfspr!B47=0,"",PedBerAfspr!A47&amp;": "&amp;PedBerAfspr!B47)</f>
        <v xml:space="preserve">Controles: </v>
      </c>
      <c r="C96" s="209" t="s">
        <v>5243</v>
      </c>
      <c r="D96" s="211" t="s">
        <v>343</v>
      </c>
    </row>
    <row r="97" spans="1:10" x14ac:dyDescent="0.2">
      <c r="A97" s="236" t="str">
        <f t="shared" si="5"/>
        <v>PedAfspr.02</v>
      </c>
      <c r="B97" s="787" t="str">
        <f>IF(PedBerAfspr!B48=0,"",PedBerAfspr!A48&amp;": "&amp;PedBerAfspr!B48)</f>
        <v xml:space="preserve">Onderzoek: </v>
      </c>
      <c r="C97" s="209" t="s">
        <v>5243</v>
      </c>
      <c r="D97" s="211" t="s">
        <v>344</v>
      </c>
    </row>
    <row r="98" spans="1:10" x14ac:dyDescent="0.2">
      <c r="A98" s="236" t="str">
        <f t="shared" si="5"/>
        <v>PedAfspr.03</v>
      </c>
      <c r="B98" s="787" t="str">
        <f>IF(PedBerAfspr!B49=0,"",PedBerAfspr!A49&amp;": "&amp;PedBerAfspr!B49)</f>
        <v xml:space="preserve">Instellingen: </v>
      </c>
      <c r="C98" s="209" t="s">
        <v>5243</v>
      </c>
      <c r="D98" s="211" t="s">
        <v>345</v>
      </c>
    </row>
    <row r="99" spans="1:10" x14ac:dyDescent="0.2">
      <c r="A99" s="236" t="str">
        <f t="shared" si="5"/>
        <v>PedAfspr.04</v>
      </c>
      <c r="B99" s="787" t="str">
        <f>IF(PedBerAfspr!B50=0,"",PedBerAfspr!A50&amp;": "&amp;PedBerAfspr!B50)</f>
        <v xml:space="preserve">Overig:  - </v>
      </c>
      <c r="C99" s="209" t="s">
        <v>5243</v>
      </c>
      <c r="D99" s="211" t="s">
        <v>346</v>
      </c>
    </row>
    <row r="100" spans="1:10" x14ac:dyDescent="0.2">
      <c r="A100" s="236" t="str">
        <f t="shared" si="5"/>
        <v>PedIntake.Energie</v>
      </c>
      <c r="B100" s="787" t="str">
        <f>PedBerTot!M3</f>
        <v>0 kcal/kg</v>
      </c>
      <c r="C100" s="209" t="s">
        <v>5244</v>
      </c>
      <c r="D100" s="348" t="s">
        <v>424</v>
      </c>
    </row>
    <row r="101" spans="1:10" x14ac:dyDescent="0.2">
      <c r="A101" s="236" t="str">
        <f t="shared" si="5"/>
        <v>PedIntake.Vocht</v>
      </c>
      <c r="B101" s="787" t="str">
        <f>PedBerTot!M4</f>
        <v>0 ml/kg</v>
      </c>
      <c r="C101" s="209" t="s">
        <v>5244</v>
      </c>
      <c r="D101" s="348" t="s">
        <v>5245</v>
      </c>
      <c r="J101" s="209"/>
    </row>
    <row r="102" spans="1:10" x14ac:dyDescent="0.2">
      <c r="A102" s="236" t="str">
        <f t="shared" si="5"/>
        <v>PedIntake.Glucose</v>
      </c>
      <c r="B102" s="787" t="str">
        <f>PedBerTot!M5</f>
        <v>0 gram/kg</v>
      </c>
      <c r="C102" s="209" t="s">
        <v>5244</v>
      </c>
      <c r="D102" s="348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787" t="str">
        <f>PedBerTot!M6</f>
        <v>0 gram/kg</v>
      </c>
      <c r="C103" s="209" t="s">
        <v>5244</v>
      </c>
      <c r="D103" s="348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787" t="str">
        <f>PedBerTot!M7</f>
        <v>0 gram/kg</v>
      </c>
      <c r="C104" s="209" t="s">
        <v>5244</v>
      </c>
      <c r="D104" s="348" t="s">
        <v>5259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787" t="str">
        <f>PedBerTot!M8</f>
        <v>0 mmol/kg</v>
      </c>
      <c r="C105" s="209" t="s">
        <v>5244</v>
      </c>
      <c r="D105" s="348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787" t="str">
        <f>PedBerTot!M9</f>
        <v>0 mmol/kg</v>
      </c>
      <c r="C106" s="209" t="s">
        <v>5244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787" t="str">
        <f>PedBerTot!M10</f>
        <v>0 mmol/kg</v>
      </c>
      <c r="C107" s="209" t="s">
        <v>5244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787" t="str">
        <f>PedBerTot!M11</f>
        <v>0 mmol/kg</v>
      </c>
      <c r="C108" s="209" t="s">
        <v>5244</v>
      </c>
      <c r="D108" s="209" t="s">
        <v>169</v>
      </c>
    </row>
    <row r="109" spans="1:10" x14ac:dyDescent="0.2">
      <c r="A109" s="236" t="str">
        <f t="shared" si="5"/>
        <v>PedIntake.Fosfaat</v>
      </c>
      <c r="B109" s="787" t="str">
        <f>PedBerTot!M12</f>
        <v>0 mmol/kg</v>
      </c>
      <c r="C109" s="209" t="s">
        <v>5244</v>
      </c>
      <c r="D109" s="209" t="s">
        <v>170</v>
      </c>
    </row>
    <row r="110" spans="1:10" x14ac:dyDescent="0.2">
      <c r="A110" s="236" t="str">
        <f t="shared" si="5"/>
        <v>PedIntake.Magnesium</v>
      </c>
      <c r="B110" s="787" t="str">
        <f>PedBerTot!M13</f>
        <v>0 mmol/kg</v>
      </c>
      <c r="C110" s="209" t="s">
        <v>5244</v>
      </c>
      <c r="D110" s="209" t="s">
        <v>246</v>
      </c>
    </row>
    <row r="111" spans="1:10" x14ac:dyDescent="0.2">
      <c r="A111" s="236" t="str">
        <f t="shared" si="5"/>
        <v>PedIntake.Ijzer</v>
      </c>
      <c r="B111" s="787" t="str">
        <f>PedBerTot!M14</f>
        <v>0 mmol/kg</v>
      </c>
      <c r="C111" s="209" t="s">
        <v>5244</v>
      </c>
      <c r="D111" s="209" t="s">
        <v>5248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787" t="str">
        <f>PedBerTot!M15</f>
        <v>0 IE/kg</v>
      </c>
      <c r="C112" s="209" t="s">
        <v>5244</v>
      </c>
      <c r="D112" s="209" t="s">
        <v>5247</v>
      </c>
    </row>
    <row r="113" spans="1:24" s="208" customFormat="1" x14ac:dyDescent="0.2">
      <c r="A113" s="236" t="str">
        <f t="shared" si="5"/>
        <v>NeoEnt.Extra</v>
      </c>
      <c r="B113" s="787" t="str">
        <f>IF(Var_Neo_InfB_Ent_Extra=2,"Nee",IF(Var_Neo_InfB_Ent_Extra=1,"Ja",""))</f>
        <v>Nee</v>
      </c>
      <c r="C113" s="209" t="s">
        <v>5327</v>
      </c>
      <c r="D113" s="209" t="s">
        <v>5266</v>
      </c>
    </row>
    <row r="114" spans="1:24" s="208" customFormat="1" x14ac:dyDescent="0.2">
      <c r="A114" s="236" t="str">
        <f t="shared" si="5"/>
        <v>NeoEnt.Voed.01</v>
      </c>
      <c r="B114" s="787" t="str">
        <f>ConcatenateKeyValue(E114:J114,"||","^^")</f>
        <v/>
      </c>
      <c r="C114" s="209" t="s">
        <v>5327</v>
      </c>
      <c r="D114" s="214" t="s">
        <v>5316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4122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787" t="str">
        <f t="shared" ref="B115:B125" si="7">ConcatenateKeyValue(E115:J115,"||","^^")</f>
        <v>Naam^^Nutrilon Nenatal BMF</v>
      </c>
      <c r="C115" s="209" t="s">
        <v>5327</v>
      </c>
      <c r="D115" s="214" t="s">
        <v>5317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4122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787" t="str">
        <f t="shared" si="7"/>
        <v>Naam^^BMF||Hoev^^0 gram</v>
      </c>
      <c r="C116" s="209" t="s">
        <v>5327</v>
      </c>
      <c r="D116" s="214" t="s">
        <v>5318</v>
      </c>
      <c r="E116" s="209" t="s">
        <v>363</v>
      </c>
      <c r="F116" s="209" t="s">
        <v>5306</v>
      </c>
      <c r="G116" s="209" t="s">
        <v>5270</v>
      </c>
      <c r="H116" s="209" t="str">
        <f>IF(NeoBerInfB!M11&gt;0,NeoBerInfB!M11,"")</f>
        <v/>
      </c>
      <c r="I116" s="209" t="s">
        <v>4122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787" t="str">
        <f t="shared" si="7"/>
        <v/>
      </c>
      <c r="C117" s="209" t="s">
        <v>5327</v>
      </c>
      <c r="D117" s="214" t="s">
        <v>5319</v>
      </c>
      <c r="E117" s="209" t="s">
        <v>363</v>
      </c>
      <c r="F117" s="209" t="str">
        <f>NeoBerInfB!P12</f>
        <v/>
      </c>
      <c r="G117" s="209" t="s">
        <v>5270</v>
      </c>
      <c r="H117" s="209" t="str">
        <f>IF(NeoBerInfB!M12&gt;0,NeoBerInfB!M12,"")</f>
        <v/>
      </c>
      <c r="I117" s="209" t="s">
        <v>4122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787" t="str">
        <f t="shared" si="7"/>
        <v/>
      </c>
      <c r="C118" s="209" t="s">
        <v>5327</v>
      </c>
      <c r="D118" s="214" t="s">
        <v>5320</v>
      </c>
      <c r="E118" s="209" t="s">
        <v>363</v>
      </c>
      <c r="F118" s="209" t="str">
        <f>NeoBerInfB!P13</f>
        <v/>
      </c>
      <c r="G118" s="209" t="s">
        <v>5270</v>
      </c>
      <c r="H118" s="209" t="str">
        <f>IF(NeoBerInfB!M13&gt;0,NeoBerInfB!M13,"")</f>
        <v/>
      </c>
      <c r="I118" s="209" t="s">
        <v>4122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787" t="str">
        <f t="shared" si="7"/>
        <v/>
      </c>
      <c r="C119" s="209" t="s">
        <v>5327</v>
      </c>
      <c r="D119" s="214" t="s">
        <v>5321</v>
      </c>
      <c r="E119" s="209" t="s">
        <v>363</v>
      </c>
      <c r="F119" s="209" t="str">
        <f>NeoBerInfB!P14</f>
        <v/>
      </c>
      <c r="G119" s="209" t="s">
        <v>5270</v>
      </c>
      <c r="H119" s="209" t="str">
        <f>IF(NeoBerInfB!M14&gt;0,NeoBerInfB!M14,"")</f>
        <v/>
      </c>
      <c r="I119" s="209" t="s">
        <v>4122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787" t="str">
        <f t="shared" si="7"/>
        <v/>
      </c>
      <c r="C120" s="209" t="s">
        <v>5327</v>
      </c>
      <c r="D120" s="214" t="s">
        <v>5322</v>
      </c>
      <c r="E120" s="209" t="s">
        <v>363</v>
      </c>
      <c r="F120" s="209" t="str">
        <f>NeoBerInfB!P15</f>
        <v/>
      </c>
      <c r="G120" s="209" t="s">
        <v>5270</v>
      </c>
      <c r="H120" s="209" t="str">
        <f>IF(NeoBerInfB!M15&gt;0,NeoBerInfB!M15,"")</f>
        <v/>
      </c>
      <c r="I120" s="209" t="s">
        <v>4122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787" t="str">
        <f t="shared" si="7"/>
        <v/>
      </c>
      <c r="C121" s="209" t="s">
        <v>5327</v>
      </c>
      <c r="D121" s="214" t="s">
        <v>5323</v>
      </c>
      <c r="E121" s="209" t="s">
        <v>363</v>
      </c>
      <c r="F121" s="209" t="str">
        <f>NeoBerInfB!P16</f>
        <v/>
      </c>
      <c r="G121" s="209" t="s">
        <v>5270</v>
      </c>
      <c r="H121" s="209" t="str">
        <f>IF(NeoBerInfB!M16&gt;0,NeoBerInfB!M16,"")</f>
        <v/>
      </c>
      <c r="I121" s="209" t="s">
        <v>4122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787" t="str">
        <f t="shared" si="7"/>
        <v/>
      </c>
      <c r="C122" s="209" t="s">
        <v>5327</v>
      </c>
      <c r="D122" s="214" t="s">
        <v>5324</v>
      </c>
      <c r="E122" s="209" t="s">
        <v>363</v>
      </c>
      <c r="F122" s="209" t="str">
        <f>NeoBerInfB!P17</f>
        <v/>
      </c>
      <c r="G122" s="209" t="s">
        <v>5270</v>
      </c>
      <c r="H122" s="209" t="str">
        <f>IF(NeoBerInfB!M17&gt;0,NeoBerInfB!M17,"")</f>
        <v/>
      </c>
      <c r="I122" s="209" t="s">
        <v>4122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787" t="str">
        <f t="shared" si="7"/>
        <v/>
      </c>
      <c r="C123" s="209" t="s">
        <v>5327</v>
      </c>
      <c r="D123" s="214" t="s">
        <v>5325</v>
      </c>
      <c r="E123" s="209" t="s">
        <v>363</v>
      </c>
      <c r="F123" s="209" t="str">
        <f>NeoBerInfB!P18</f>
        <v/>
      </c>
      <c r="G123" s="209" t="s">
        <v>5270</v>
      </c>
      <c r="H123" s="209" t="str">
        <f>IF(NeoBerInfB!M18&gt;0,NeoBerInfB!M18,"")</f>
        <v/>
      </c>
      <c r="I123" s="209" t="s">
        <v>4122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787" t="str">
        <f t="shared" si="7"/>
        <v/>
      </c>
      <c r="C124" s="209" t="s">
        <v>5327</v>
      </c>
      <c r="D124" s="214" t="s">
        <v>5326</v>
      </c>
      <c r="E124" s="209" t="s">
        <v>363</v>
      </c>
      <c r="F124" s="209" t="str">
        <f>NeoBerInfB!P19</f>
        <v/>
      </c>
      <c r="G124" s="209" t="s">
        <v>5270</v>
      </c>
      <c r="H124" s="209" t="str">
        <f>IF(NeoBerInfB!M19&gt;0,NeoBerInfB!M19,"")</f>
        <v/>
      </c>
      <c r="I124" s="209" t="s">
        <v>4122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787" t="str">
        <f t="shared" si="7"/>
        <v>Naam^^Arterielijn: 12 ml NaCl 0,45% + hep. (5EH/ml)</v>
      </c>
      <c r="C125" s="209" t="s">
        <v>5267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5266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787" t="str">
        <f>ConcatenateKeyValue(E126:X126,"||","^^")</f>
        <v/>
      </c>
      <c r="C126" s="209" t="s">
        <v>5268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5266</v>
      </c>
      <c r="V126" s="209" t="str">
        <f>IF(AND(F126&lt;&gt;"",NeoBerInfB!I23),"Extra","")</f>
        <v/>
      </c>
      <c r="W126" s="209" t="s">
        <v>5265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787" t="str">
        <f t="shared" ref="B127:B135" si="8">ConcatenateKeyValue(E127:X127,"||","^^")</f>
        <v/>
      </c>
      <c r="C127" s="209" t="s">
        <v>5268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5266</v>
      </c>
      <c r="V127" s="209" t="str">
        <f>IF(AND(F127&lt;&gt;"",NeoBerInfB!I24),"Extra","")</f>
        <v/>
      </c>
      <c r="W127" s="209" t="s">
        <v>5265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787" t="str">
        <f t="shared" si="8"/>
        <v/>
      </c>
      <c r="C128" s="209" t="s">
        <v>5268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5266</v>
      </c>
      <c r="V128" s="209" t="str">
        <f>IF(AND(F128&lt;&gt;"",NeoBerInfB!I25),"Extra","")</f>
        <v/>
      </c>
      <c r="W128" s="209" t="s">
        <v>5265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787" t="str">
        <f t="shared" si="8"/>
        <v/>
      </c>
      <c r="C129" s="209" t="s">
        <v>5268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5266</v>
      </c>
      <c r="V129" s="209" t="str">
        <f>IF(AND(F129&lt;&gt;"",NeoBerInfB!I26),"Extra","")</f>
        <v/>
      </c>
      <c r="W129" s="209" t="s">
        <v>5265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787" t="str">
        <f t="shared" si="8"/>
        <v/>
      </c>
      <c r="C130" s="209" t="s">
        <v>5268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5266</v>
      </c>
      <c r="V130" s="209" t="str">
        <f>IF(AND(F130&lt;&gt;"",NeoBerInfB!I27),"Extra","")</f>
        <v/>
      </c>
      <c r="W130" s="209" t="s">
        <v>5265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787" t="str">
        <f t="shared" si="8"/>
        <v/>
      </c>
      <c r="C131" s="209" t="s">
        <v>5268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5266</v>
      </c>
      <c r="V131" s="209" t="str">
        <f>IF(AND(F131&lt;&gt;"",NeoBerInfB!I28),"Extra","")</f>
        <v/>
      </c>
      <c r="W131" s="209" t="s">
        <v>5265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787" t="str">
        <f t="shared" si="8"/>
        <v/>
      </c>
      <c r="C132" s="209" t="s">
        <v>5268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5266</v>
      </c>
      <c r="V132" s="209" t="str">
        <f>IF(AND(F132&lt;&gt;"",NeoBerInfB!I29),"Extra","")</f>
        <v/>
      </c>
      <c r="W132" s="209" t="s">
        <v>5265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787" t="str">
        <f t="shared" si="8"/>
        <v/>
      </c>
      <c r="C133" s="209" t="s">
        <v>5268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5266</v>
      </c>
      <c r="V133" s="209" t="str">
        <f>IF(AND(F133&lt;&gt;"",NeoBerInfB!I30),"Extra","")</f>
        <v/>
      </c>
      <c r="W133" s="209" t="s">
        <v>5265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787" t="str">
        <f t="shared" si="8"/>
        <v/>
      </c>
      <c r="C134" s="209" t="s">
        <v>5268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5266</v>
      </c>
      <c r="V134" s="209" t="str">
        <f>IF(AND(F134&lt;&gt;"",NeoBerInfB!I31),"Extra","")</f>
        <v/>
      </c>
      <c r="W134" s="209" t="s">
        <v>5265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787" t="str">
        <f t="shared" si="8"/>
        <v/>
      </c>
      <c r="C135" s="209" t="s">
        <v>5268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5266</v>
      </c>
      <c r="V135" s="209" t="str">
        <f>IF(AND(F135&lt;&gt;"",NeoBerInfB!I32),"Extra","")</f>
        <v/>
      </c>
      <c r="W135" s="209" t="s">
        <v>5265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787">
        <f>NeoBerInfB!B36</f>
        <v>0</v>
      </c>
      <c r="C136" s="209" t="s">
        <v>5268</v>
      </c>
      <c r="D136" s="214" t="s">
        <v>5328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787">
        <f>NeoBerInfB!B37</f>
        <v>0</v>
      </c>
      <c r="C137" s="209" t="s">
        <v>5268</v>
      </c>
      <c r="D137" s="214" t="s">
        <v>5329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787" t="str">
        <f>ConcatenateKeyValue(E138:L138,"||","^^")</f>
        <v>Volume^^0 mL</v>
      </c>
      <c r="C138" s="209" t="s">
        <v>5269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5266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787" t="str">
        <f t="shared" ref="B139:B140" si="10">ConcatenateKeyValue(E139:L139,"||","^^")</f>
        <v>Volume^^0 mL</v>
      </c>
      <c r="C139" s="209" t="s">
        <v>5269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5266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787" t="str">
        <f t="shared" si="10"/>
        <v>Volume^^0 mL</v>
      </c>
      <c r="C140" s="209" t="s">
        <v>5269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5266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787" t="str">
        <f ca="1">ConcatenateKeyValue(E141:J141,"||","^^")</f>
        <v>Naam^^Intralipid 20% (incl vitintra)||Volume^^0 ml</v>
      </c>
      <c r="C141" s="209" t="s">
        <v>5271</v>
      </c>
      <c r="D141" s="209" t="s">
        <v>5259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787" t="str">
        <f ca="1">ConcatenateKeyValue(E142:J142,"||","^^")</f>
        <v/>
      </c>
      <c r="C142" s="209" t="s">
        <v>5271</v>
      </c>
      <c r="D142" s="209" t="s">
        <v>5272</v>
      </c>
      <c r="E142" s="209" t="s">
        <v>5260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5261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787" t="str">
        <f>NeoBerInfB!AL58</f>
        <v/>
      </c>
      <c r="C143" s="209" t="s">
        <v>499</v>
      </c>
      <c r="D143" s="348" t="s">
        <v>5245</v>
      </c>
    </row>
    <row r="144" spans="1:24" x14ac:dyDescent="0.2">
      <c r="A144" s="236" t="str">
        <f t="shared" si="9"/>
        <v>NeoIntake.Energy</v>
      </c>
      <c r="B144" s="787" t="str">
        <f>NeoBerInfB!AU58</f>
        <v/>
      </c>
      <c r="C144" s="209" t="s">
        <v>499</v>
      </c>
      <c r="D144" s="348" t="s">
        <v>5246</v>
      </c>
    </row>
    <row r="145" spans="1:15" x14ac:dyDescent="0.2">
      <c r="A145" s="236" t="str">
        <f t="shared" si="9"/>
        <v>NeoIntake.Glucose</v>
      </c>
      <c r="B145" s="787" t="str">
        <f>NeoBerInfB!AS58</f>
        <v/>
      </c>
      <c r="C145" s="209" t="s">
        <v>499</v>
      </c>
      <c r="D145" s="348" t="s">
        <v>430</v>
      </c>
    </row>
    <row r="146" spans="1:15" x14ac:dyDescent="0.2">
      <c r="A146" s="236" t="str">
        <f t="shared" si="9"/>
        <v>NeoIntake.Eiwit</v>
      </c>
      <c r="B146" s="787" t="str">
        <f>NeoBerInfB!AR58</f>
        <v/>
      </c>
      <c r="C146" s="209" t="s">
        <v>499</v>
      </c>
      <c r="D146" s="348" t="s">
        <v>167</v>
      </c>
    </row>
    <row r="147" spans="1:15" x14ac:dyDescent="0.2">
      <c r="A147" s="236" t="str">
        <f t="shared" si="9"/>
        <v>NeoIntake.Vet</v>
      </c>
      <c r="B147" s="787" t="str">
        <f>NeoBerInfB!AT58</f>
        <v/>
      </c>
      <c r="C147" s="209" t="s">
        <v>499</v>
      </c>
      <c r="D147" s="348" t="s">
        <v>168</v>
      </c>
    </row>
    <row r="148" spans="1:15" x14ac:dyDescent="0.2">
      <c r="A148" s="236" t="str">
        <f t="shared" si="9"/>
        <v>NeoIntake.Vitamine D</v>
      </c>
      <c r="B148" s="788" t="str">
        <f>NeoBerInfB!AW58</f>
        <v/>
      </c>
      <c r="C148" s="209" t="s">
        <v>499</v>
      </c>
      <c r="D148" s="348" t="s">
        <v>5247</v>
      </c>
    </row>
    <row r="149" spans="1:15" x14ac:dyDescent="0.2">
      <c r="A149" s="236" t="str">
        <f t="shared" si="9"/>
        <v>NeoIntake.Ijzer</v>
      </c>
      <c r="B149" s="788" t="str">
        <f>NeoBerInfB!AX58</f>
        <v/>
      </c>
      <c r="C149" s="209" t="s">
        <v>499</v>
      </c>
      <c r="D149" s="209" t="s">
        <v>5248</v>
      </c>
      <c r="N149" s="208"/>
      <c r="O149" s="209"/>
    </row>
    <row r="150" spans="1:15" x14ac:dyDescent="0.2">
      <c r="A150" s="236" t="str">
        <f t="shared" si="9"/>
        <v>NeoIntake.Natrium</v>
      </c>
      <c r="B150" s="788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788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788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788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788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788" t="str">
        <f>NeoGuiInfB!F62</f>
        <v/>
      </c>
      <c r="C155" s="209" t="s">
        <v>5273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788" t="str">
        <f>NeoGuiInfB!F63</f>
        <v/>
      </c>
      <c r="C156" s="209" t="s">
        <v>5273</v>
      </c>
      <c r="D156" s="209" t="s">
        <v>5274</v>
      </c>
      <c r="N156" s="209"/>
    </row>
    <row r="157" spans="1:15" x14ac:dyDescent="0.2">
      <c r="A157" s="236" t="str">
        <f t="shared" si="9"/>
        <v>NeoLab.16:00uur</v>
      </c>
      <c r="B157" s="788" t="str">
        <f>NeoGuiInfB!F64</f>
        <v/>
      </c>
      <c r="C157" s="209" t="s">
        <v>5273</v>
      </c>
      <c r="D157" s="209" t="s">
        <v>5275</v>
      </c>
      <c r="N157" s="209"/>
    </row>
    <row r="158" spans="1:15" x14ac:dyDescent="0.2">
      <c r="A158" s="236" t="str">
        <f t="shared" si="9"/>
        <v>NeoLab.20:00uur</v>
      </c>
      <c r="B158" s="788" t="str">
        <f>NeoGuiInfB!F65</f>
        <v/>
      </c>
      <c r="C158" s="209" t="s">
        <v>5273</v>
      </c>
      <c r="D158" s="209" t="s">
        <v>5276</v>
      </c>
      <c r="N158" s="209"/>
    </row>
    <row r="159" spans="1:15" x14ac:dyDescent="0.2">
      <c r="A159" s="236" t="str">
        <f t="shared" si="9"/>
        <v>NeoLab.24:00uur</v>
      </c>
      <c r="B159" s="788" t="str">
        <f>NeoGuiInfB!F66</f>
        <v/>
      </c>
      <c r="C159" s="209" t="s">
        <v>5273</v>
      </c>
      <c r="D159" s="209" t="s">
        <v>5251</v>
      </c>
    </row>
    <row r="160" spans="1:15" x14ac:dyDescent="0.2">
      <c r="A160" s="236" t="str">
        <f t="shared" si="9"/>
        <v>NeoLab.04:00uur</v>
      </c>
      <c r="B160" s="788" t="str">
        <f>NeoGuiInfB!F67</f>
        <v/>
      </c>
      <c r="C160" s="209" t="s">
        <v>5273</v>
      </c>
      <c r="D160" s="209" t="s">
        <v>5277</v>
      </c>
    </row>
    <row r="161" spans="1:14" x14ac:dyDescent="0.2">
      <c r="A161" s="236" t="str">
        <f t="shared" si="9"/>
        <v>NeoLab.Zat 08:00uur</v>
      </c>
      <c r="B161" s="788" t="str">
        <f>NeoGuiInfB!F68</f>
        <v/>
      </c>
      <c r="C161" s="209" t="s">
        <v>5273</v>
      </c>
      <c r="D161" s="209" t="s">
        <v>5278</v>
      </c>
    </row>
    <row r="162" spans="1:14" x14ac:dyDescent="0.2">
      <c r="A162" s="236" t="str">
        <f t="shared" si="9"/>
        <v>NeoLab.Zon 08:00uur</v>
      </c>
      <c r="B162" s="788" t="str">
        <f>NeoGuiInfB!F69</f>
        <v/>
      </c>
      <c r="C162" s="209" t="s">
        <v>5273</v>
      </c>
      <c r="D162" s="209" t="s">
        <v>5308</v>
      </c>
    </row>
    <row r="163" spans="1:14" x14ac:dyDescent="0.2">
      <c r="A163" s="236" t="str">
        <f t="shared" si="9"/>
        <v>NeoLab.Mnd 08:00uur</v>
      </c>
      <c r="B163" s="788" t="str">
        <f>NeoGuiInfB!F70</f>
        <v/>
      </c>
      <c r="C163" s="209" t="s">
        <v>5273</v>
      </c>
      <c r="D163" s="209" t="s">
        <v>5307</v>
      </c>
    </row>
    <row r="164" spans="1:14" x14ac:dyDescent="0.2">
      <c r="A164" s="236" t="str">
        <f t="shared" si="9"/>
        <v>NeoLab.Opmerking</v>
      </c>
      <c r="B164" s="787" t="str">
        <f>IF(_Neo_Lab_Opm=0,"",_Neo_Lab_Opm)</f>
        <v/>
      </c>
      <c r="C164" s="209" t="s">
        <v>5273</v>
      </c>
      <c r="D164" s="209" t="s">
        <v>184</v>
      </c>
    </row>
    <row r="165" spans="1:14" x14ac:dyDescent="0.2">
      <c r="A165" s="236" t="str">
        <f t="shared" si="9"/>
        <v>NeoAfspr.01</v>
      </c>
      <c r="B165" s="787" t="str">
        <f>IF(NeoGuiAfspr!D45="","",NeoGuiAfspr!C45&amp;": "&amp;NeoGuiAfspr!D45)</f>
        <v/>
      </c>
      <c r="C165" s="209" t="s">
        <v>5279</v>
      </c>
      <c r="D165" s="211" t="s">
        <v>343</v>
      </c>
    </row>
    <row r="166" spans="1:14" x14ac:dyDescent="0.2">
      <c r="A166" s="236" t="str">
        <f t="shared" si="9"/>
        <v>NeoAfspr.02</v>
      </c>
      <c r="B166" s="787" t="str">
        <f>IF(NeoGuiAfspr!D46="","",NeoGuiAfspr!C46&amp;": "&amp;NeoGuiAfspr!D46)</f>
        <v/>
      </c>
      <c r="C166" s="209" t="s">
        <v>5279</v>
      </c>
      <c r="D166" s="211" t="s">
        <v>344</v>
      </c>
    </row>
    <row r="167" spans="1:14" x14ac:dyDescent="0.2">
      <c r="A167" s="236" t="str">
        <f t="shared" si="9"/>
        <v>NeoAfspr.03</v>
      </c>
      <c r="B167" s="787" t="str">
        <f>IF(NeoGuiAfspr!D47="","",NeoGuiAfspr!C47&amp;": "&amp;NeoGuiAfspr!D47)</f>
        <v/>
      </c>
      <c r="C167" s="209" t="s">
        <v>5279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787" t="str">
        <f>IF(NeoGuiAfspr!D48="","",NeoGuiAfspr!C48&amp;": "&amp;NeoGuiAfspr!D48)</f>
        <v/>
      </c>
      <c r="C168" s="209" t="s">
        <v>5279</v>
      </c>
      <c r="D168" s="211" t="s">
        <v>346</v>
      </c>
    </row>
    <row r="169" spans="1:14" x14ac:dyDescent="0.2">
      <c r="A169" s="236" t="str">
        <f t="shared" si="9"/>
        <v>NeoAfspr.05</v>
      </c>
      <c r="B169" s="787" t="str">
        <f>IF(NeoGuiAfspr!D49="","",NeoGuiAfspr!C49&amp;": "&amp;NeoGuiAfspr!D49)</f>
        <v/>
      </c>
      <c r="C169" s="209" t="s">
        <v>5279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785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28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52"/>
  <sheetViews>
    <sheetView showZeros="0" showOutlineSymbols="0" zoomScaleNormal="100" workbookViewId="0">
      <pane xSplit="1" ySplit="1" topLeftCell="B1800" activePane="bottomRight" state="frozen"/>
      <selection activeCell="C22" sqref="C22"/>
      <selection pane="topRight" activeCell="C22" sqref="C22"/>
      <selection pane="bottomLeft" activeCell="C22" sqref="C22"/>
      <selection pane="bottomRight" activeCell="C1810" sqref="C1810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48"/>
    </row>
    <row r="3" spans="1:6" x14ac:dyDescent="0.2">
      <c r="A3" s="208" t="s">
        <v>907</v>
      </c>
      <c r="B3" s="208" t="str">
        <f>IF(ISBLANK(PatDetails!$B$2),"",PatDetails!$B$2)</f>
        <v/>
      </c>
      <c r="C3" s="348"/>
    </row>
    <row r="4" spans="1:6" x14ac:dyDescent="0.2">
      <c r="A4" s="208" t="s">
        <v>908</v>
      </c>
      <c r="B4" s="208" t="str">
        <f>IF(ISBLANK(PatDetails!$B$3),"",PatDetails!$B$3)</f>
        <v/>
      </c>
      <c r="C4" s="348"/>
    </row>
    <row r="5" spans="1:6" x14ac:dyDescent="0.2">
      <c r="A5" s="208" t="s">
        <v>909</v>
      </c>
      <c r="B5" s="208" t="str">
        <f>IF(ISBLANK(PatDetails!$B$4),"",PatDetails!$B$4)</f>
        <v/>
      </c>
      <c r="C5" s="348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5168</v>
      </c>
      <c r="B7" s="208" t="str">
        <f>IF(ISBLANK(GlobBerLab!$B$10),"",GlobBerLab!$B$10)</f>
        <v/>
      </c>
      <c r="C7" s="98"/>
    </row>
    <row r="8" spans="1:6" x14ac:dyDescent="0.2">
      <c r="A8" s="208" t="s">
        <v>5169</v>
      </c>
      <c r="B8" s="208" t="str">
        <f>IF(ISBLANK(GlobBerLab!$B$12),"",GlobBerLab!$B$12)</f>
        <v/>
      </c>
      <c r="C8" s="98"/>
    </row>
    <row r="9" spans="1:6" x14ac:dyDescent="0.2">
      <c r="A9" s="208" t="s">
        <v>5170</v>
      </c>
      <c r="B9" s="208" t="str">
        <f>IF(ISBLANK(GlobBerLab!$B$9),"",GlobBerLab!$B$9)</f>
        <v/>
      </c>
      <c r="C9" s="98"/>
    </row>
    <row r="10" spans="1:6" x14ac:dyDescent="0.2">
      <c r="A10" s="208" t="s">
        <v>5171</v>
      </c>
      <c r="B10" s="208" t="str">
        <f>IF(ISBLANK(GlobBerLab!$B$4),"",GlobBerLab!$B$4)</f>
        <v/>
      </c>
      <c r="C10" s="98"/>
    </row>
    <row r="11" spans="1:6" x14ac:dyDescent="0.2">
      <c r="A11" s="208" t="s">
        <v>5172</v>
      </c>
      <c r="B11" s="208" t="str">
        <f>IF(ISBLANK(GlobBerLab!$B$3),"",GlobBerLab!$B$3)</f>
        <v/>
      </c>
      <c r="C11" s="98"/>
    </row>
    <row r="12" spans="1:6" x14ac:dyDescent="0.2">
      <c r="A12" s="208" t="s">
        <v>5173</v>
      </c>
      <c r="B12" s="208" t="str">
        <f>IF(ISBLANK(GlobBerLab!$B$8),"",GlobBerLab!$B$8)</f>
        <v/>
      </c>
      <c r="C12" s="98"/>
    </row>
    <row r="13" spans="1:6" x14ac:dyDescent="0.2">
      <c r="A13" s="208" t="s">
        <v>5174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5175</v>
      </c>
      <c r="B14" s="208" t="str">
        <f>IF(ISBLANK(GlobBerLab!$B$7),"",GlobBerLab!$B$7)</f>
        <v/>
      </c>
      <c r="C14" s="98"/>
    </row>
    <row r="15" spans="1:6" x14ac:dyDescent="0.2">
      <c r="A15" s="208" t="s">
        <v>5176</v>
      </c>
      <c r="B15" s="208" t="str">
        <f>IF(ISBLANK(GlobBerLab!$B$14),"",GlobBerLab!$B$14)</f>
        <v/>
      </c>
      <c r="C15" s="98"/>
    </row>
    <row r="16" spans="1:6" x14ac:dyDescent="0.2">
      <c r="A16" s="208" t="s">
        <v>5177</v>
      </c>
      <c r="B16" s="208" t="str">
        <f>IF(ISBLANK(GlobBerLab!$B$2),"",GlobBerLab!$B$2)</f>
        <v/>
      </c>
      <c r="C16" s="98"/>
    </row>
    <row r="17" spans="1:3" x14ac:dyDescent="0.2">
      <c r="A17" s="208" t="s">
        <v>5178</v>
      </c>
      <c r="B17" s="208" t="str">
        <f>IF(ISBLANK(GlobBerLab!$B$11),"",GlobBerLab!$B$11)</f>
        <v/>
      </c>
      <c r="C17" s="98"/>
    </row>
    <row r="18" spans="1:3" x14ac:dyDescent="0.2">
      <c r="A18" s="208" t="s">
        <v>5179</v>
      </c>
      <c r="B18" s="208" t="str">
        <f>IF(ISBLANK(GlobBerLab!$B$5),"",GlobBerLab!$B$5)</f>
        <v/>
      </c>
      <c r="C18" s="98"/>
    </row>
    <row r="19" spans="1:3" x14ac:dyDescent="0.2">
      <c r="A19" s="208" t="s">
        <v>5180</v>
      </c>
      <c r="B19" s="208" t="str">
        <f>IF(ISBLANK(GlobBerLab!$B$1),"",GlobBerLab!$B$1)</f>
        <v/>
      </c>
      <c r="C19" s="98"/>
    </row>
    <row r="20" spans="1:3" x14ac:dyDescent="0.2">
      <c r="A20" s="208" t="s">
        <v>5181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48"/>
    </row>
    <row r="22" spans="1:3" x14ac:dyDescent="0.2">
      <c r="A22" s="208" t="s">
        <v>1761</v>
      </c>
      <c r="B22" t="str">
        <f>IF(ISBLANK(GlobBerMedDisc!$AJ$3),"",GlobBerMedDisc!$AJ$3)</f>
        <v/>
      </c>
      <c r="C22" s="348"/>
    </row>
    <row r="23" spans="1:3" x14ac:dyDescent="0.2">
      <c r="A23" s="208" t="s">
        <v>1762</v>
      </c>
      <c r="B23" t="str">
        <f>IF(ISBLANK(GlobBerMedDisc!$AJ$4),"",GlobBerMedDisc!$AJ$4)</f>
        <v/>
      </c>
      <c r="C23" s="348"/>
    </row>
    <row r="24" spans="1:3" x14ac:dyDescent="0.2">
      <c r="A24" s="208" t="s">
        <v>1763</v>
      </c>
      <c r="B24" t="str">
        <f>IF(ISBLANK(GlobBerMedDisc!$AJ$5),"",GlobBerMedDisc!$AJ$5)</f>
        <v/>
      </c>
      <c r="C24" s="348"/>
    </row>
    <row r="25" spans="1:3" x14ac:dyDescent="0.2">
      <c r="A25" s="208" t="s">
        <v>1764</v>
      </c>
      <c r="B25" t="str">
        <f>IF(ISBLANK(GlobBerMedDisc!$AJ$6),"",GlobBerMedDisc!$AJ$6)</f>
        <v/>
      </c>
      <c r="C25" s="348"/>
    </row>
    <row r="26" spans="1:3" x14ac:dyDescent="0.2">
      <c r="A26" s="208" t="s">
        <v>1765</v>
      </c>
      <c r="B26" t="str">
        <f>IF(ISBLANK(GlobBerMedDisc!$AJ$7),"",GlobBerMedDisc!$AJ$7)</f>
        <v/>
      </c>
      <c r="C26" s="348"/>
    </row>
    <row r="27" spans="1:3" x14ac:dyDescent="0.2">
      <c r="A27" s="208" t="s">
        <v>1766</v>
      </c>
      <c r="B27" t="str">
        <f>IF(ISBLANK(GlobBerMedDisc!$AJ$8),"",GlobBerMedDisc!$AJ$8)</f>
        <v/>
      </c>
      <c r="C27" s="348"/>
    </row>
    <row r="28" spans="1:3" x14ac:dyDescent="0.2">
      <c r="A28" s="208" t="s">
        <v>1767</v>
      </c>
      <c r="B28" t="str">
        <f>IF(ISBLANK(GlobBerMedDisc!$AJ$9),"",GlobBerMedDisc!$AJ$9)</f>
        <v/>
      </c>
      <c r="C28" s="348"/>
    </row>
    <row r="29" spans="1:3" x14ac:dyDescent="0.2">
      <c r="A29" s="208" t="s">
        <v>1768</v>
      </c>
      <c r="B29" t="str">
        <f>IF(ISBLANK(GlobBerMedDisc!$AJ$10),"",GlobBerMedDisc!$AJ$10)</f>
        <v/>
      </c>
      <c r="C29" s="348"/>
    </row>
    <row r="30" spans="1:3" x14ac:dyDescent="0.2">
      <c r="A30" s="208" t="s">
        <v>1769</v>
      </c>
      <c r="B30" t="str">
        <f>IF(ISBLANK(GlobBerMedDisc!$AJ$11),"",GlobBerMedDisc!$AJ$11)</f>
        <v/>
      </c>
      <c r="C30" s="348"/>
    </row>
    <row r="31" spans="1:3" x14ac:dyDescent="0.2">
      <c r="A31" s="208" t="s">
        <v>1770</v>
      </c>
      <c r="B31" t="str">
        <f>IF(ISBLANK(GlobBerMedDisc!$AJ$12),"",GlobBerMedDisc!$AJ$12)</f>
        <v/>
      </c>
      <c r="C31" s="348"/>
    </row>
    <row r="32" spans="1:3" x14ac:dyDescent="0.2">
      <c r="A32" s="208" t="s">
        <v>1771</v>
      </c>
      <c r="B32" t="str">
        <f>IF(ISBLANK(GlobBerMedDisc!$AJ$13),"",GlobBerMedDisc!$AJ$13)</f>
        <v/>
      </c>
      <c r="C32" s="348"/>
    </row>
    <row r="33" spans="1:6" x14ac:dyDescent="0.2">
      <c r="A33" s="208" t="s">
        <v>1772</v>
      </c>
      <c r="B33" t="str">
        <f>IF(ISBLANK(GlobBerMedDisc!$AJ$14),"",GlobBerMedDisc!$AJ$14)</f>
        <v/>
      </c>
      <c r="C33" s="348"/>
    </row>
    <row r="34" spans="1:6" x14ac:dyDescent="0.2">
      <c r="A34" s="208" t="s">
        <v>1773</v>
      </c>
      <c r="B34" t="str">
        <f>IF(ISBLANK(GlobBerMedDisc!$AJ$15),"",GlobBerMedDisc!$AJ$15)</f>
        <v/>
      </c>
      <c r="C34" s="348"/>
    </row>
    <row r="35" spans="1:6" x14ac:dyDescent="0.2">
      <c r="A35" s="208" t="s">
        <v>1774</v>
      </c>
      <c r="B35" t="str">
        <f>IF(ISBLANK(GlobBerMedDisc!$AJ$16),"",GlobBerMedDisc!$AJ$16)</f>
        <v/>
      </c>
      <c r="C35" s="348"/>
    </row>
    <row r="36" spans="1:6" x14ac:dyDescent="0.2">
      <c r="A36" s="208" t="s">
        <v>1775</v>
      </c>
      <c r="B36" t="str">
        <f>IF(ISBLANK(GlobBerMedDisc!$AJ$17),"",GlobBerMedDisc!$AJ$17)</f>
        <v/>
      </c>
      <c r="C36" s="348"/>
    </row>
    <row r="37" spans="1:6" x14ac:dyDescent="0.2">
      <c r="A37" s="208" t="s">
        <v>1776</v>
      </c>
      <c r="B37" t="str">
        <f>IF(ISBLANK(GlobBerMedDisc!$AJ$18),"",GlobBerMedDisc!$AJ$18)</f>
        <v/>
      </c>
      <c r="C37" s="348"/>
    </row>
    <row r="38" spans="1:6" x14ac:dyDescent="0.2">
      <c r="A38" s="208" t="s">
        <v>1777</v>
      </c>
      <c r="B38" t="str">
        <f>IF(ISBLANK(GlobBerMedDisc!$AJ$19),"",GlobBerMedDisc!$AJ$19)</f>
        <v/>
      </c>
      <c r="C38" s="348"/>
    </row>
    <row r="39" spans="1:6" x14ac:dyDescent="0.2">
      <c r="A39" s="208" t="s">
        <v>1778</v>
      </c>
      <c r="B39" t="str">
        <f>IF(ISBLANK(GlobBerMedDisc!$AJ$20),"",GlobBerMedDisc!$AJ$20)</f>
        <v/>
      </c>
      <c r="C39" s="348"/>
    </row>
    <row r="40" spans="1:6" x14ac:dyDescent="0.2">
      <c r="A40" s="208" t="s">
        <v>1779</v>
      </c>
      <c r="B40" t="str">
        <f>IF(ISBLANK(GlobBerMedDisc!$AJ$21),"",GlobBerMedDisc!$AJ$21)</f>
        <v/>
      </c>
      <c r="C40" s="348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48"/>
    </row>
    <row r="42" spans="1:6" x14ac:dyDescent="0.2">
      <c r="A42" s="208" t="s">
        <v>1781</v>
      </c>
      <c r="B42" t="str">
        <f>IF(ISBLANK(GlobBerMedDisc!$AJ$23),"",GlobBerMedDisc!$AJ$23)</f>
        <v/>
      </c>
      <c r="C42" s="348"/>
    </row>
    <row r="43" spans="1:6" x14ac:dyDescent="0.2">
      <c r="A43" s="208" t="s">
        <v>1782</v>
      </c>
      <c r="B43" t="str">
        <f>IF(ISBLANK(GlobBerMedDisc!$AJ$24),"",GlobBerMedDisc!$AJ$24)</f>
        <v/>
      </c>
      <c r="C43" s="348"/>
    </row>
    <row r="44" spans="1:6" x14ac:dyDescent="0.2">
      <c r="A44" s="208" t="s">
        <v>1783</v>
      </c>
      <c r="B44" t="str">
        <f>IF(ISBLANK(GlobBerMedDisc!$AJ$25),"",GlobBerMedDisc!$AJ$25)</f>
        <v/>
      </c>
      <c r="C44" s="348"/>
    </row>
    <row r="45" spans="1:6" x14ac:dyDescent="0.2">
      <c r="A45" s="208" t="s">
        <v>1784</v>
      </c>
      <c r="B45" t="str">
        <f>IF(ISBLANK(GlobBerMedDisc!$AJ$26),"",GlobBerMedDisc!$AJ$26)</f>
        <v/>
      </c>
      <c r="C45" s="348"/>
    </row>
    <row r="46" spans="1:6" x14ac:dyDescent="0.2">
      <c r="A46" s="208" t="s">
        <v>1785</v>
      </c>
      <c r="B46" t="str">
        <f>IF(ISBLANK(GlobBerMedDisc!$AJ$27),"",GlobBerMedDisc!$AJ$27)</f>
        <v/>
      </c>
      <c r="C46" s="348"/>
    </row>
    <row r="47" spans="1:6" x14ac:dyDescent="0.2">
      <c r="A47" s="208" t="s">
        <v>1786</v>
      </c>
      <c r="B47" t="str">
        <f>IF(ISBLANK(GlobBerMedDisc!$AJ$28),"",GlobBerMedDisc!$AJ$28)</f>
        <v/>
      </c>
      <c r="C47" s="348"/>
    </row>
    <row r="48" spans="1:6" x14ac:dyDescent="0.2">
      <c r="A48" s="208" t="s">
        <v>1787</v>
      </c>
      <c r="B48" t="str">
        <f>IF(ISBLANK(GlobBerMedDisc!$AJ$29),"",GlobBerMedDisc!$AJ$29)</f>
        <v/>
      </c>
      <c r="C48" s="348"/>
    </row>
    <row r="49" spans="1:6" x14ac:dyDescent="0.2">
      <c r="A49" s="208" t="s">
        <v>1788</v>
      </c>
      <c r="B49" t="str">
        <f>IF(ISBLANK(GlobBerMedDisc!$AJ$30),"",GlobBerMedDisc!$AJ$30)</f>
        <v/>
      </c>
      <c r="C49" s="348"/>
    </row>
    <row r="50" spans="1:6" x14ac:dyDescent="0.2">
      <c r="A50" s="208" t="s">
        <v>1789</v>
      </c>
      <c r="B50" t="str">
        <f>IF(ISBLANK(GlobBerMedDisc!$AJ$31),"",GlobBerMedDisc!$AJ$31)</f>
        <v/>
      </c>
      <c r="C50" s="348"/>
    </row>
    <row r="51" spans="1:6" x14ac:dyDescent="0.2">
      <c r="A51" s="208" t="s">
        <v>5450</v>
      </c>
      <c r="B51" s="208" t="str">
        <f>IF(ISBLANK(GlobBerMedDisc!$AU$2),"",GlobBerMedDisc!$AU$2)</f>
        <v/>
      </c>
      <c r="C51" s="348"/>
      <c r="D51" s="208"/>
      <c r="E51" s="208"/>
      <c r="F51" s="208"/>
    </row>
    <row r="52" spans="1:6" x14ac:dyDescent="0.2">
      <c r="A52" s="208" t="s">
        <v>5452</v>
      </c>
      <c r="B52" s="208" t="str">
        <f>IF(ISBLANK(GlobBerMedDisc!$AU$3),"",GlobBerMedDisc!$AU$3)</f>
        <v/>
      </c>
      <c r="C52" s="348"/>
      <c r="D52" s="208"/>
      <c r="E52" s="208"/>
      <c r="F52" s="208"/>
    </row>
    <row r="53" spans="1:6" x14ac:dyDescent="0.2">
      <c r="A53" s="208" t="s">
        <v>5454</v>
      </c>
      <c r="B53" s="208" t="str">
        <f>IF(ISBLANK(GlobBerMedDisc!$AU$4),"",GlobBerMedDisc!$AU$4)</f>
        <v/>
      </c>
      <c r="C53" s="348"/>
      <c r="D53" s="208"/>
      <c r="E53" s="208"/>
      <c r="F53" s="208"/>
    </row>
    <row r="54" spans="1:6" x14ac:dyDescent="0.2">
      <c r="A54" s="208" t="s">
        <v>5456</v>
      </c>
      <c r="B54" s="208" t="str">
        <f>IF(ISBLANK(GlobBerMedDisc!$AU$5),"",GlobBerMedDisc!$AU$5)</f>
        <v/>
      </c>
      <c r="C54" s="348"/>
      <c r="D54" s="208"/>
      <c r="E54" s="208"/>
      <c r="F54" s="208"/>
    </row>
    <row r="55" spans="1:6" x14ac:dyDescent="0.2">
      <c r="A55" s="208" t="s">
        <v>5458</v>
      </c>
      <c r="B55" s="208" t="str">
        <f>IF(ISBLANK(GlobBerMedDisc!$AU$6),"",GlobBerMedDisc!$AU$6)</f>
        <v/>
      </c>
      <c r="C55" s="348"/>
      <c r="D55" s="208"/>
      <c r="E55" s="208"/>
      <c r="F55" s="208"/>
    </row>
    <row r="56" spans="1:6" x14ac:dyDescent="0.2">
      <c r="A56" s="208" t="s">
        <v>5460</v>
      </c>
      <c r="B56" s="208" t="str">
        <f>IF(ISBLANK(GlobBerMedDisc!$AU$7),"",GlobBerMedDisc!$AU$7)</f>
        <v/>
      </c>
      <c r="C56" s="348"/>
      <c r="D56" s="208"/>
      <c r="E56" s="208"/>
      <c r="F56" s="208"/>
    </row>
    <row r="57" spans="1:6" x14ac:dyDescent="0.2">
      <c r="A57" s="208" t="s">
        <v>5462</v>
      </c>
      <c r="B57" s="208" t="str">
        <f>IF(ISBLANK(GlobBerMedDisc!$AU$8),"",GlobBerMedDisc!$AU$8)</f>
        <v/>
      </c>
      <c r="C57" s="348"/>
      <c r="D57" s="208"/>
      <c r="E57" s="208"/>
      <c r="F57" s="208"/>
    </row>
    <row r="58" spans="1:6" x14ac:dyDescent="0.2">
      <c r="A58" s="208" t="s">
        <v>5464</v>
      </c>
      <c r="B58" s="208" t="str">
        <f>IF(ISBLANK(GlobBerMedDisc!$AU$9),"",GlobBerMedDisc!$AU$9)</f>
        <v/>
      </c>
      <c r="C58" s="348"/>
      <c r="D58" s="208"/>
      <c r="E58" s="208"/>
      <c r="F58" s="208"/>
    </row>
    <row r="59" spans="1:6" x14ac:dyDescent="0.2">
      <c r="A59" s="208" t="s">
        <v>5466</v>
      </c>
      <c r="B59" s="208" t="str">
        <f>IF(ISBLANK(GlobBerMedDisc!$AU$10),"",GlobBerMedDisc!$AU$10)</f>
        <v/>
      </c>
      <c r="C59" s="348"/>
      <c r="D59" s="208"/>
      <c r="E59" s="208"/>
      <c r="F59" s="208"/>
    </row>
    <row r="60" spans="1:6" x14ac:dyDescent="0.2">
      <c r="A60" s="208" t="s">
        <v>5468</v>
      </c>
      <c r="B60" s="208" t="str">
        <f>IF(ISBLANK(GlobBerMedDisc!$AU$11),"",GlobBerMedDisc!$AU$11)</f>
        <v/>
      </c>
      <c r="C60" s="348"/>
      <c r="D60" s="208"/>
      <c r="E60" s="208"/>
      <c r="F60" s="208"/>
    </row>
    <row r="61" spans="1:6" x14ac:dyDescent="0.2">
      <c r="A61" s="208" t="s">
        <v>5470</v>
      </c>
      <c r="B61" s="208" t="str">
        <f>IF(ISBLANK(GlobBerMedDisc!$AU$12),"",GlobBerMedDisc!$AU$12)</f>
        <v/>
      </c>
      <c r="C61" s="348"/>
      <c r="D61" s="208"/>
      <c r="E61" s="208"/>
      <c r="F61" s="208"/>
    </row>
    <row r="62" spans="1:6" x14ac:dyDescent="0.2">
      <c r="A62" s="208" t="s">
        <v>5472</v>
      </c>
      <c r="B62" s="208" t="str">
        <f>IF(ISBLANK(GlobBerMedDisc!$AU$13),"",GlobBerMedDisc!$AU$13)</f>
        <v/>
      </c>
      <c r="C62" s="348"/>
      <c r="D62" s="208"/>
      <c r="E62" s="208"/>
      <c r="F62" s="208"/>
    </row>
    <row r="63" spans="1:6" x14ac:dyDescent="0.2">
      <c r="A63" s="208" t="s">
        <v>5474</v>
      </c>
      <c r="B63" s="208" t="str">
        <f>IF(ISBLANK(GlobBerMedDisc!$AU$14),"",GlobBerMedDisc!$AU$14)</f>
        <v/>
      </c>
      <c r="C63" s="348"/>
      <c r="D63" s="208"/>
      <c r="E63" s="208"/>
      <c r="F63" s="208"/>
    </row>
    <row r="64" spans="1:6" x14ac:dyDescent="0.2">
      <c r="A64" s="208" t="s">
        <v>5476</v>
      </c>
      <c r="B64" s="208" t="str">
        <f>IF(ISBLANK(GlobBerMedDisc!$AU$15),"",GlobBerMedDisc!$AU$15)</f>
        <v/>
      </c>
      <c r="C64" s="348"/>
      <c r="D64" s="208"/>
      <c r="E64" s="208"/>
      <c r="F64" s="208"/>
    </row>
    <row r="65" spans="1:6" x14ac:dyDescent="0.2">
      <c r="A65" s="208" t="s">
        <v>5478</v>
      </c>
      <c r="B65" s="208" t="str">
        <f>IF(ISBLANK(GlobBerMedDisc!$AU$16),"",GlobBerMedDisc!$AU$16)</f>
        <v/>
      </c>
      <c r="C65" s="348"/>
      <c r="D65" s="208"/>
      <c r="E65" s="208"/>
      <c r="F65" s="208"/>
    </row>
    <row r="66" spans="1:6" x14ac:dyDescent="0.2">
      <c r="A66" s="208" t="s">
        <v>5480</v>
      </c>
      <c r="B66" s="208" t="str">
        <f>IF(ISBLANK(GlobBerMedDisc!$AU$17),"",GlobBerMedDisc!$AU$17)</f>
        <v/>
      </c>
      <c r="C66" s="348"/>
      <c r="D66" s="208"/>
      <c r="E66" s="208"/>
      <c r="F66" s="208"/>
    </row>
    <row r="67" spans="1:6" x14ac:dyDescent="0.2">
      <c r="A67" s="208" t="s">
        <v>5482</v>
      </c>
      <c r="B67" s="208" t="str">
        <f>IF(ISBLANK(GlobBerMedDisc!$AU$18),"",GlobBerMedDisc!$AU$18)</f>
        <v/>
      </c>
      <c r="C67" s="348"/>
      <c r="D67" s="208"/>
      <c r="E67" s="208"/>
      <c r="F67" s="208"/>
    </row>
    <row r="68" spans="1:6" x14ac:dyDescent="0.2">
      <c r="A68" s="208" t="s">
        <v>5484</v>
      </c>
      <c r="B68" s="208" t="str">
        <f>IF(ISBLANK(GlobBerMedDisc!$AU$19),"",GlobBerMedDisc!$AU$19)</f>
        <v/>
      </c>
      <c r="C68" s="348"/>
      <c r="D68" s="208"/>
      <c r="E68" s="208"/>
      <c r="F68" s="208"/>
    </row>
    <row r="69" spans="1:6" x14ac:dyDescent="0.2">
      <c r="A69" s="208" t="s">
        <v>5486</v>
      </c>
      <c r="B69" s="208" t="str">
        <f>IF(ISBLANK(GlobBerMedDisc!$AU$20),"",GlobBerMedDisc!$AU$20)</f>
        <v/>
      </c>
      <c r="C69" s="348"/>
      <c r="D69" s="208"/>
      <c r="E69" s="208"/>
      <c r="F69" s="208"/>
    </row>
    <row r="70" spans="1:6" x14ac:dyDescent="0.2">
      <c r="A70" s="208" t="s">
        <v>5488</v>
      </c>
      <c r="B70" s="208" t="str">
        <f>IF(ISBLANK(GlobBerMedDisc!$AU$21),"",GlobBerMedDisc!$AU$21)</f>
        <v/>
      </c>
      <c r="C70" s="348"/>
      <c r="D70" s="208"/>
      <c r="E70" s="208"/>
      <c r="F70" s="208"/>
    </row>
    <row r="71" spans="1:6" x14ac:dyDescent="0.2">
      <c r="A71" s="208" t="s">
        <v>5490</v>
      </c>
      <c r="B71" s="208" t="str">
        <f>IF(ISBLANK(GlobBerMedDisc!$AU$22),"",GlobBerMedDisc!$AU$22)</f>
        <v/>
      </c>
      <c r="C71" s="348"/>
      <c r="D71" s="208"/>
      <c r="E71" s="208"/>
      <c r="F71" s="208"/>
    </row>
    <row r="72" spans="1:6" x14ac:dyDescent="0.2">
      <c r="A72" s="208" t="s">
        <v>5492</v>
      </c>
      <c r="B72" s="208" t="str">
        <f>IF(ISBLANK(GlobBerMedDisc!$AU$23),"",GlobBerMedDisc!$AU$23)</f>
        <v/>
      </c>
      <c r="C72" s="348"/>
      <c r="D72" s="208"/>
      <c r="E72" s="208"/>
      <c r="F72" s="208"/>
    </row>
    <row r="73" spans="1:6" x14ac:dyDescent="0.2">
      <c r="A73" s="208" t="s">
        <v>5494</v>
      </c>
      <c r="B73" s="208" t="str">
        <f>IF(ISBLANK(GlobBerMedDisc!$AU$24),"",GlobBerMedDisc!$AU$24)</f>
        <v/>
      </c>
      <c r="C73" s="348"/>
      <c r="D73" s="208"/>
      <c r="E73" s="208"/>
      <c r="F73" s="208"/>
    </row>
    <row r="74" spans="1:6" x14ac:dyDescent="0.2">
      <c r="A74" s="208" t="s">
        <v>5496</v>
      </c>
      <c r="B74" s="208" t="str">
        <f>IF(ISBLANK(GlobBerMedDisc!$AU$25),"",GlobBerMedDisc!$AU$25)</f>
        <v/>
      </c>
      <c r="C74" s="348"/>
      <c r="D74" s="208"/>
      <c r="E74" s="208"/>
      <c r="F74" s="208"/>
    </row>
    <row r="75" spans="1:6" x14ac:dyDescent="0.2">
      <c r="A75" s="208" t="s">
        <v>5498</v>
      </c>
      <c r="B75" s="208" t="str">
        <f>IF(ISBLANK(GlobBerMedDisc!$AU$26),"",GlobBerMedDisc!$AU$26)</f>
        <v/>
      </c>
      <c r="C75" s="348"/>
      <c r="D75" s="208"/>
      <c r="E75" s="208"/>
      <c r="F75" s="208"/>
    </row>
    <row r="76" spans="1:6" x14ac:dyDescent="0.2">
      <c r="A76" s="208" t="s">
        <v>5500</v>
      </c>
      <c r="B76" s="208" t="str">
        <f>IF(ISBLANK(GlobBerMedDisc!$AU$27),"",GlobBerMedDisc!$AU$27)</f>
        <v/>
      </c>
      <c r="C76" s="348"/>
      <c r="D76" s="208"/>
      <c r="E76" s="208"/>
      <c r="F76" s="208"/>
    </row>
    <row r="77" spans="1:6" x14ac:dyDescent="0.2">
      <c r="A77" s="208" t="s">
        <v>5502</v>
      </c>
      <c r="B77" s="208" t="str">
        <f>IF(ISBLANK(GlobBerMedDisc!$AU$28),"",GlobBerMedDisc!$AU$28)</f>
        <v/>
      </c>
      <c r="C77" s="348"/>
      <c r="D77" s="208"/>
      <c r="E77" s="208"/>
      <c r="F77" s="208"/>
    </row>
    <row r="78" spans="1:6" x14ac:dyDescent="0.2">
      <c r="A78" s="208" t="s">
        <v>5504</v>
      </c>
      <c r="B78" s="208" t="str">
        <f>IF(ISBLANK(GlobBerMedDisc!$AU$29),"",GlobBerMedDisc!$AU$29)</f>
        <v/>
      </c>
      <c r="C78" s="348"/>
      <c r="D78" s="208"/>
      <c r="E78" s="208"/>
      <c r="F78" s="208"/>
    </row>
    <row r="79" spans="1:6" x14ac:dyDescent="0.2">
      <c r="A79" s="208" t="s">
        <v>5506</v>
      </c>
      <c r="B79" s="208" t="str">
        <f>IF(ISBLANK(GlobBerMedDisc!$AU$30),"",GlobBerMedDisc!$AU$30)</f>
        <v/>
      </c>
      <c r="C79" s="348"/>
      <c r="D79" s="208"/>
      <c r="E79" s="208"/>
      <c r="F79" s="208"/>
    </row>
    <row r="80" spans="1:6" x14ac:dyDescent="0.2">
      <c r="A80" s="208" t="s">
        <v>5508</v>
      </c>
      <c r="B80" s="208" t="str">
        <f>IF(ISBLANK(GlobBerMedDisc!$AU$31),"",GlobBerMedDisc!$AU$31)</f>
        <v/>
      </c>
      <c r="C80" s="348"/>
      <c r="D80" s="208"/>
      <c r="E80" s="208"/>
      <c r="F80" s="208"/>
    </row>
    <row r="81" spans="1:3" x14ac:dyDescent="0.2">
      <c r="A81" s="208" t="s">
        <v>1790</v>
      </c>
      <c r="B81" t="str">
        <f>IF(ISBLANK(GlobBerMedDisc!$F$2),"",GlobBerMedDisc!$F$2)</f>
        <v/>
      </c>
      <c r="C81" s="348"/>
    </row>
    <row r="82" spans="1:3" x14ac:dyDescent="0.2">
      <c r="A82" s="208" t="s">
        <v>1791</v>
      </c>
      <c r="B82" t="str">
        <f>IF(ISBLANK(GlobBerMedDisc!$F$3),"",GlobBerMedDisc!$F$3)</f>
        <v/>
      </c>
      <c r="C82" s="348"/>
    </row>
    <row r="83" spans="1:3" x14ac:dyDescent="0.2">
      <c r="A83" s="208" t="s">
        <v>1792</v>
      </c>
      <c r="B83" t="str">
        <f>IF(ISBLANK(GlobBerMedDisc!$F$4),"",GlobBerMedDisc!$F$4)</f>
        <v/>
      </c>
      <c r="C83" s="348"/>
    </row>
    <row r="84" spans="1:3" x14ac:dyDescent="0.2">
      <c r="A84" s="208" t="s">
        <v>1793</v>
      </c>
      <c r="B84" t="str">
        <f>IF(ISBLANK(GlobBerMedDisc!$F$5),"",GlobBerMedDisc!$F$5)</f>
        <v/>
      </c>
      <c r="C84" s="348"/>
    </row>
    <row r="85" spans="1:3" x14ac:dyDescent="0.2">
      <c r="A85" s="208" t="s">
        <v>1794</v>
      </c>
      <c r="B85" t="str">
        <f>IF(ISBLANK(GlobBerMedDisc!$F$6),"",GlobBerMedDisc!$F$6)</f>
        <v/>
      </c>
      <c r="C85" s="348"/>
    </row>
    <row r="86" spans="1:3" x14ac:dyDescent="0.2">
      <c r="A86" s="208" t="s">
        <v>1795</v>
      </c>
      <c r="B86" t="str">
        <f>IF(ISBLANK(GlobBerMedDisc!$F$7),"",GlobBerMedDisc!$F$7)</f>
        <v/>
      </c>
      <c r="C86" s="348"/>
    </row>
    <row r="87" spans="1:3" x14ac:dyDescent="0.2">
      <c r="A87" s="208" t="s">
        <v>1796</v>
      </c>
      <c r="B87" t="str">
        <f>IF(ISBLANK(GlobBerMedDisc!$F$8),"",GlobBerMedDisc!$F$8)</f>
        <v/>
      </c>
      <c r="C87" s="348"/>
    </row>
    <row r="88" spans="1:3" x14ac:dyDescent="0.2">
      <c r="A88" s="208" t="s">
        <v>1797</v>
      </c>
      <c r="B88" t="str">
        <f>IF(ISBLANK(GlobBerMedDisc!$F$9),"",GlobBerMedDisc!$F$9)</f>
        <v/>
      </c>
      <c r="C88" s="348"/>
    </row>
    <row r="89" spans="1:3" x14ac:dyDescent="0.2">
      <c r="A89" s="208" t="s">
        <v>1798</v>
      </c>
      <c r="B89" t="str">
        <f>IF(ISBLANK(GlobBerMedDisc!$F$10),"",GlobBerMedDisc!$F$10)</f>
        <v/>
      </c>
      <c r="C89" s="348"/>
    </row>
    <row r="90" spans="1:3" x14ac:dyDescent="0.2">
      <c r="A90" s="208" t="s">
        <v>1799</v>
      </c>
      <c r="B90" t="str">
        <f>IF(ISBLANK(GlobBerMedDisc!$F$11),"",GlobBerMedDisc!$F$11)</f>
        <v/>
      </c>
      <c r="C90" s="348"/>
    </row>
    <row r="91" spans="1:3" x14ac:dyDescent="0.2">
      <c r="A91" s="208" t="s">
        <v>1800</v>
      </c>
      <c r="B91" t="str">
        <f>IF(ISBLANK(GlobBerMedDisc!$F$12),"",GlobBerMedDisc!$F$12)</f>
        <v/>
      </c>
      <c r="C91" s="348"/>
    </row>
    <row r="92" spans="1:3" x14ac:dyDescent="0.2">
      <c r="A92" s="208" t="s">
        <v>1801</v>
      </c>
      <c r="B92" t="str">
        <f>IF(ISBLANK(GlobBerMedDisc!$F$13),"",GlobBerMedDisc!$F$13)</f>
        <v/>
      </c>
      <c r="C92" s="348"/>
    </row>
    <row r="93" spans="1:3" x14ac:dyDescent="0.2">
      <c r="A93" s="208" t="s">
        <v>1802</v>
      </c>
      <c r="B93" t="str">
        <f>IF(ISBLANK(GlobBerMedDisc!$F$14),"",GlobBerMedDisc!$F$14)</f>
        <v/>
      </c>
      <c r="C93" s="348"/>
    </row>
    <row r="94" spans="1:3" x14ac:dyDescent="0.2">
      <c r="A94" s="208" t="s">
        <v>1803</v>
      </c>
      <c r="B94" t="str">
        <f>IF(ISBLANK(GlobBerMedDisc!$F$15),"",GlobBerMedDisc!$F$15)</f>
        <v/>
      </c>
      <c r="C94" s="348"/>
    </row>
    <row r="95" spans="1:3" x14ac:dyDescent="0.2">
      <c r="A95" s="208" t="s">
        <v>1804</v>
      </c>
      <c r="B95" t="str">
        <f>IF(ISBLANK(GlobBerMedDisc!$F$16),"",GlobBerMedDisc!$F$16)</f>
        <v/>
      </c>
      <c r="C95" s="348"/>
    </row>
    <row r="96" spans="1:3" x14ac:dyDescent="0.2">
      <c r="A96" s="208" t="s">
        <v>1805</v>
      </c>
      <c r="B96" t="str">
        <f>IF(ISBLANK(GlobBerMedDisc!$F$17),"",GlobBerMedDisc!$F$17)</f>
        <v/>
      </c>
      <c r="C96" s="348"/>
    </row>
    <row r="97" spans="1:3" x14ac:dyDescent="0.2">
      <c r="A97" s="208" t="s">
        <v>1806</v>
      </c>
      <c r="B97" t="str">
        <f>IF(ISBLANK(GlobBerMedDisc!$F$18),"",GlobBerMedDisc!$F$18)</f>
        <v/>
      </c>
      <c r="C97" s="348"/>
    </row>
    <row r="98" spans="1:3" x14ac:dyDescent="0.2">
      <c r="A98" s="208" t="s">
        <v>1807</v>
      </c>
      <c r="B98" t="str">
        <f>IF(ISBLANK(GlobBerMedDisc!$F$19),"",GlobBerMedDisc!$F$19)</f>
        <v/>
      </c>
      <c r="C98" s="348"/>
    </row>
    <row r="99" spans="1:3" x14ac:dyDescent="0.2">
      <c r="A99" s="208" t="s">
        <v>1808</v>
      </c>
      <c r="B99" t="str">
        <f>IF(ISBLANK(GlobBerMedDisc!$F$20),"",GlobBerMedDisc!$F$20)</f>
        <v/>
      </c>
      <c r="C99" s="348"/>
    </row>
    <row r="100" spans="1:3" x14ac:dyDescent="0.2">
      <c r="A100" s="208" t="s">
        <v>1809</v>
      </c>
      <c r="B100" t="str">
        <f>IF(ISBLANK(GlobBerMedDisc!$F$21),"",GlobBerMedDisc!$F$21)</f>
        <v/>
      </c>
      <c r="C100" s="348"/>
    </row>
    <row r="101" spans="1:3" x14ac:dyDescent="0.2">
      <c r="A101" s="208" t="s">
        <v>1810</v>
      </c>
      <c r="B101" t="str">
        <f>IF(ISBLANK(GlobBerMedDisc!$F$22),"",GlobBerMedDisc!$F$22)</f>
        <v/>
      </c>
      <c r="C101" s="348"/>
    </row>
    <row r="102" spans="1:3" x14ac:dyDescent="0.2">
      <c r="A102" s="208" t="s">
        <v>1811</v>
      </c>
      <c r="B102" t="str">
        <f>IF(ISBLANK(GlobBerMedDisc!$F$23),"",GlobBerMedDisc!$F$23)</f>
        <v/>
      </c>
      <c r="C102" s="348"/>
    </row>
    <row r="103" spans="1:3" x14ac:dyDescent="0.2">
      <c r="A103" s="208" t="s">
        <v>1812</v>
      </c>
      <c r="B103" t="str">
        <f>IF(ISBLANK(GlobBerMedDisc!$F$24),"",GlobBerMedDisc!$F$24)</f>
        <v/>
      </c>
      <c r="C103" s="348"/>
    </row>
    <row r="104" spans="1:3" x14ac:dyDescent="0.2">
      <c r="A104" s="208" t="s">
        <v>1813</v>
      </c>
      <c r="B104" t="str">
        <f>IF(ISBLANK(GlobBerMedDisc!$F$25),"",GlobBerMedDisc!$F$25)</f>
        <v/>
      </c>
      <c r="C104" s="348"/>
    </row>
    <row r="105" spans="1:3" x14ac:dyDescent="0.2">
      <c r="A105" s="208" t="s">
        <v>1814</v>
      </c>
      <c r="B105" t="str">
        <f>IF(ISBLANK(GlobBerMedDisc!$F$26),"",GlobBerMedDisc!$F$26)</f>
        <v/>
      </c>
      <c r="C105" s="348"/>
    </row>
    <row r="106" spans="1:3" x14ac:dyDescent="0.2">
      <c r="A106" s="208" t="s">
        <v>1815</v>
      </c>
      <c r="B106" t="str">
        <f>IF(ISBLANK(GlobBerMedDisc!$F$27),"",GlobBerMedDisc!$F$27)</f>
        <v/>
      </c>
      <c r="C106" s="348"/>
    </row>
    <row r="107" spans="1:3" x14ac:dyDescent="0.2">
      <c r="A107" s="208" t="s">
        <v>1816</v>
      </c>
      <c r="B107" t="str">
        <f>IF(ISBLANK(GlobBerMedDisc!$F$28),"",GlobBerMedDisc!$F$28)</f>
        <v/>
      </c>
      <c r="C107" s="348"/>
    </row>
    <row r="108" spans="1:3" x14ac:dyDescent="0.2">
      <c r="A108" s="208" t="s">
        <v>1817</v>
      </c>
      <c r="B108" t="str">
        <f>IF(ISBLANK(GlobBerMedDisc!$F$29),"",GlobBerMedDisc!$F$29)</f>
        <v/>
      </c>
      <c r="C108" s="348"/>
    </row>
    <row r="109" spans="1:3" x14ac:dyDescent="0.2">
      <c r="A109" s="208" t="s">
        <v>1818</v>
      </c>
      <c r="B109" t="str">
        <f>IF(ISBLANK(GlobBerMedDisc!$F$30),"",GlobBerMedDisc!$F$30)</f>
        <v/>
      </c>
      <c r="C109" s="348"/>
    </row>
    <row r="110" spans="1:3" x14ac:dyDescent="0.2">
      <c r="A110" s="208" t="s">
        <v>1819</v>
      </c>
      <c r="B110" t="str">
        <f>IF(ISBLANK(GlobBerMedDisc!$F$31),"",GlobBerMedDisc!$F$31)</f>
        <v/>
      </c>
      <c r="C110" s="348"/>
    </row>
    <row r="111" spans="1:3" x14ac:dyDescent="0.2">
      <c r="A111" s="208" t="s">
        <v>1820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1821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1822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1823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1824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1825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1826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1827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1828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1829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1830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1831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1832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1833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1834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1835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1836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1837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1838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1839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1840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1841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1842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1843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1844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1845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1846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1847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1848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1849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1850</v>
      </c>
      <c r="B141" t="str">
        <f>IF(ISBLANK(GlobBerMedDisc!$AM$2),"",GlobBerMedDisc!$AM$2)</f>
        <v/>
      </c>
      <c r="C141" s="99"/>
    </row>
    <row r="142" spans="1:3" x14ac:dyDescent="0.2">
      <c r="A142" s="208" t="s">
        <v>1851</v>
      </c>
      <c r="B142" t="str">
        <f>IF(ISBLANK(GlobBerMedDisc!$AM$3),"",GlobBerMedDisc!$AM$3)</f>
        <v/>
      </c>
      <c r="C142" s="99"/>
    </row>
    <row r="143" spans="1:3" x14ac:dyDescent="0.2">
      <c r="A143" s="208" t="s">
        <v>1852</v>
      </c>
      <c r="B143" t="str">
        <f>IF(ISBLANK(GlobBerMedDisc!$AM$4),"",GlobBerMedDisc!$AM$4)</f>
        <v/>
      </c>
      <c r="C143" s="99"/>
    </row>
    <row r="144" spans="1:3" x14ac:dyDescent="0.2">
      <c r="A144" s="208" t="s">
        <v>1853</v>
      </c>
      <c r="B144" t="str">
        <f>IF(ISBLANK(GlobBerMedDisc!$AM$5),"",GlobBerMedDisc!$AM$5)</f>
        <v/>
      </c>
      <c r="C144" s="99"/>
    </row>
    <row r="145" spans="1:3" x14ac:dyDescent="0.2">
      <c r="A145" s="208" t="s">
        <v>1854</v>
      </c>
      <c r="B145" t="str">
        <f>IF(ISBLANK(GlobBerMedDisc!$AM$6),"",GlobBerMedDisc!$AM$6)</f>
        <v/>
      </c>
      <c r="C145" s="99"/>
    </row>
    <row r="146" spans="1:3" x14ac:dyDescent="0.2">
      <c r="A146" s="208" t="s">
        <v>1855</v>
      </c>
      <c r="B146" t="str">
        <f>IF(ISBLANK(GlobBerMedDisc!$AM$7),"",GlobBerMedDisc!$AM$7)</f>
        <v/>
      </c>
      <c r="C146" s="99"/>
    </row>
    <row r="147" spans="1:3" x14ac:dyDescent="0.2">
      <c r="A147" s="208" t="s">
        <v>1856</v>
      </c>
      <c r="B147" t="str">
        <f>IF(ISBLANK(GlobBerMedDisc!$AM$8),"",GlobBerMedDisc!$AM$8)</f>
        <v/>
      </c>
      <c r="C147" s="99"/>
    </row>
    <row r="148" spans="1:3" x14ac:dyDescent="0.2">
      <c r="A148" s="208" t="s">
        <v>1857</v>
      </c>
      <c r="B148" t="str">
        <f>IF(ISBLANK(GlobBerMedDisc!$AM$9),"",GlobBerMedDisc!$AM$9)</f>
        <v/>
      </c>
      <c r="C148" s="99"/>
    </row>
    <row r="149" spans="1:3" x14ac:dyDescent="0.2">
      <c r="A149" s="208" t="s">
        <v>1858</v>
      </c>
      <c r="B149" t="str">
        <f>IF(ISBLANK(GlobBerMedDisc!$AM$10),"",GlobBerMedDisc!$AM$10)</f>
        <v/>
      </c>
      <c r="C149" s="99"/>
    </row>
    <row r="150" spans="1:3" x14ac:dyDescent="0.2">
      <c r="A150" s="208" t="s">
        <v>1859</v>
      </c>
      <c r="B150" t="str">
        <f>IF(ISBLANK(GlobBerMedDisc!$AM$11),"",GlobBerMedDisc!$AM$11)</f>
        <v/>
      </c>
      <c r="C150" s="99"/>
    </row>
    <row r="151" spans="1:3" x14ac:dyDescent="0.2">
      <c r="A151" s="208" t="s">
        <v>1860</v>
      </c>
      <c r="B151" t="str">
        <f>IF(ISBLANK(GlobBerMedDisc!$AM$12),"",GlobBerMedDisc!$AM$12)</f>
        <v/>
      </c>
      <c r="C151" s="99"/>
    </row>
    <row r="152" spans="1:3" x14ac:dyDescent="0.2">
      <c r="A152" s="208" t="s">
        <v>1861</v>
      </c>
      <c r="B152" t="str">
        <f>IF(ISBLANK(GlobBerMedDisc!$AM$13),"",GlobBerMedDisc!$AM$13)</f>
        <v/>
      </c>
      <c r="C152" s="99"/>
    </row>
    <row r="153" spans="1:3" x14ac:dyDescent="0.2">
      <c r="A153" s="208" t="s">
        <v>1862</v>
      </c>
      <c r="B153" t="str">
        <f>IF(ISBLANK(GlobBerMedDisc!$AM$14),"",GlobBerMedDisc!$AM$14)</f>
        <v/>
      </c>
      <c r="C153" s="99"/>
    </row>
    <row r="154" spans="1:3" x14ac:dyDescent="0.2">
      <c r="A154" s="208" t="s">
        <v>1863</v>
      </c>
      <c r="B154" t="str">
        <f>IF(ISBLANK(GlobBerMedDisc!$AM$15),"",GlobBerMedDisc!$AM$15)</f>
        <v/>
      </c>
      <c r="C154" s="99"/>
    </row>
    <row r="155" spans="1:3" x14ac:dyDescent="0.2">
      <c r="A155" s="208" t="s">
        <v>1864</v>
      </c>
      <c r="B155" t="str">
        <f>IF(ISBLANK(GlobBerMedDisc!$AM$16),"",GlobBerMedDisc!$AM$16)</f>
        <v/>
      </c>
      <c r="C155" s="99"/>
    </row>
    <row r="156" spans="1:3" x14ac:dyDescent="0.2">
      <c r="A156" s="208" t="s">
        <v>1865</v>
      </c>
      <c r="B156" t="str">
        <f>IF(ISBLANK(GlobBerMedDisc!$AM$17),"",GlobBerMedDisc!$AM$17)</f>
        <v/>
      </c>
      <c r="C156" s="99"/>
    </row>
    <row r="157" spans="1:3" x14ac:dyDescent="0.2">
      <c r="A157" s="208" t="s">
        <v>1866</v>
      </c>
      <c r="B157" t="str">
        <f>IF(ISBLANK(GlobBerMedDisc!$AM$18),"",GlobBerMedDisc!$AM$18)</f>
        <v/>
      </c>
      <c r="C157" s="99"/>
    </row>
    <row r="158" spans="1:3" x14ac:dyDescent="0.2">
      <c r="A158" s="208" t="s">
        <v>1867</v>
      </c>
      <c r="B158" t="str">
        <f>IF(ISBLANK(GlobBerMedDisc!$AM$19),"",GlobBerMedDisc!$AM$19)</f>
        <v/>
      </c>
      <c r="C158" s="99"/>
    </row>
    <row r="159" spans="1:3" x14ac:dyDescent="0.2">
      <c r="A159" s="208" t="s">
        <v>1868</v>
      </c>
      <c r="B159" t="str">
        <f>IF(ISBLANK(GlobBerMedDisc!$AM$20),"",GlobBerMedDisc!$AM$20)</f>
        <v/>
      </c>
      <c r="C159" s="99"/>
    </row>
    <row r="160" spans="1:3" x14ac:dyDescent="0.2">
      <c r="A160" s="208" t="s">
        <v>1869</v>
      </c>
      <c r="B160" t="str">
        <f>IF(ISBLANK(GlobBerMedDisc!$AM$21),"",GlobBerMedDisc!$AM$21)</f>
        <v/>
      </c>
      <c r="C160" s="99"/>
    </row>
    <row r="161" spans="1:3" x14ac:dyDescent="0.2">
      <c r="A161" s="208" t="s">
        <v>1870</v>
      </c>
      <c r="B161" t="str">
        <f>IF(ISBLANK(GlobBerMedDisc!$AM$22),"",GlobBerMedDisc!$AM$22)</f>
        <v/>
      </c>
      <c r="C161" s="99"/>
    </row>
    <row r="162" spans="1:3" x14ac:dyDescent="0.2">
      <c r="A162" s="208" t="s">
        <v>1871</v>
      </c>
      <c r="B162" t="str">
        <f>IF(ISBLANK(GlobBerMedDisc!$AM$23),"",GlobBerMedDisc!$AM$23)</f>
        <v/>
      </c>
      <c r="C162" s="99"/>
    </row>
    <row r="163" spans="1:3" x14ac:dyDescent="0.2">
      <c r="A163" s="208" t="s">
        <v>1872</v>
      </c>
      <c r="B163" t="str">
        <f>IF(ISBLANK(GlobBerMedDisc!$AM$24),"",GlobBerMedDisc!$AM$24)</f>
        <v/>
      </c>
      <c r="C163" s="99"/>
    </row>
    <row r="164" spans="1:3" x14ac:dyDescent="0.2">
      <c r="A164" s="208" t="s">
        <v>1873</v>
      </c>
      <c r="B164" t="str">
        <f>IF(ISBLANK(GlobBerMedDisc!$AM$25),"",GlobBerMedDisc!$AM$25)</f>
        <v/>
      </c>
      <c r="C164" s="99"/>
    </row>
    <row r="165" spans="1:3" x14ac:dyDescent="0.2">
      <c r="A165" s="208" t="s">
        <v>1874</v>
      </c>
      <c r="B165" t="str">
        <f>IF(ISBLANK(GlobBerMedDisc!$AM$26),"",GlobBerMedDisc!$AM$26)</f>
        <v/>
      </c>
      <c r="C165" s="99"/>
    </row>
    <row r="166" spans="1:3" x14ac:dyDescent="0.2">
      <c r="A166" s="208" t="s">
        <v>1875</v>
      </c>
      <c r="B166" t="str">
        <f>IF(ISBLANK(GlobBerMedDisc!$AM$27),"",GlobBerMedDisc!$AM$27)</f>
        <v/>
      </c>
      <c r="C166" s="99"/>
    </row>
    <row r="167" spans="1:3" x14ac:dyDescent="0.2">
      <c r="A167" s="208" t="s">
        <v>1876</v>
      </c>
      <c r="B167" t="str">
        <f>IF(ISBLANK(GlobBerMedDisc!$AM$28),"",GlobBerMedDisc!$AM$28)</f>
        <v/>
      </c>
      <c r="C167" s="99"/>
    </row>
    <row r="168" spans="1:3" x14ac:dyDescent="0.2">
      <c r="A168" s="208" t="s">
        <v>1877</v>
      </c>
      <c r="B168" t="str">
        <f>IF(ISBLANK(GlobBerMedDisc!$AM$29),"",GlobBerMedDisc!$AM$29)</f>
        <v/>
      </c>
      <c r="C168" s="99"/>
    </row>
    <row r="169" spans="1:3" x14ac:dyDescent="0.2">
      <c r="A169" s="208" t="s">
        <v>1878</v>
      </c>
      <c r="B169" t="str">
        <f>IF(ISBLANK(GlobBerMedDisc!$AM$30),"",GlobBerMedDisc!$AM$30)</f>
        <v/>
      </c>
      <c r="C169" s="99"/>
    </row>
    <row r="170" spans="1:3" x14ac:dyDescent="0.2">
      <c r="A170" s="208" t="s">
        <v>1879</v>
      </c>
      <c r="B170" t="str">
        <f>IF(ISBLANK(GlobBerMedDisc!$AM$31),"",GlobBerMedDisc!$AM$31)</f>
        <v/>
      </c>
      <c r="C170" s="99"/>
    </row>
    <row r="171" spans="1:3" x14ac:dyDescent="0.2">
      <c r="A171" s="208" t="s">
        <v>5828</v>
      </c>
      <c r="B171">
        <f>IF(ISBLANK(GlobBerMedDisc!$I$2),"",GlobBerMedDisc!$I$2)</f>
        <v>1</v>
      </c>
      <c r="C171" s="208">
        <v>1</v>
      </c>
    </row>
    <row r="172" spans="1:3" x14ac:dyDescent="0.2">
      <c r="A172" s="208" t="s">
        <v>5830</v>
      </c>
      <c r="B172">
        <f>IF(ISBLANK(GlobBerMedDisc!$I$3),"",GlobBerMedDisc!$I$3)</f>
        <v>1</v>
      </c>
      <c r="C172" s="208">
        <v>1</v>
      </c>
    </row>
    <row r="173" spans="1:3" x14ac:dyDescent="0.2">
      <c r="A173" s="208" t="s">
        <v>5832</v>
      </c>
      <c r="B173">
        <f>IF(ISBLANK(GlobBerMedDisc!$I$4),"",GlobBerMedDisc!$I$4)</f>
        <v>1</v>
      </c>
      <c r="C173" s="208">
        <v>1</v>
      </c>
    </row>
    <row r="174" spans="1:3" x14ac:dyDescent="0.2">
      <c r="A174" s="208" t="s">
        <v>5834</v>
      </c>
      <c r="B174">
        <f>IF(ISBLANK(GlobBerMedDisc!$I$5),"",GlobBerMedDisc!$I$5)</f>
        <v>1</v>
      </c>
      <c r="C174" s="208">
        <v>1</v>
      </c>
    </row>
    <row r="175" spans="1:3" x14ac:dyDescent="0.2">
      <c r="A175" s="208" t="s">
        <v>5836</v>
      </c>
      <c r="B175">
        <f>IF(ISBLANK(GlobBerMedDisc!$I$6),"",GlobBerMedDisc!$I$6)</f>
        <v>1</v>
      </c>
      <c r="C175" s="208">
        <v>1</v>
      </c>
    </row>
    <row r="176" spans="1:3" x14ac:dyDescent="0.2">
      <c r="A176" s="208" t="s">
        <v>5838</v>
      </c>
      <c r="B176">
        <f>IF(ISBLANK(GlobBerMedDisc!$I$7),"",GlobBerMedDisc!$I$7)</f>
        <v>1</v>
      </c>
      <c r="C176" s="208">
        <v>1</v>
      </c>
    </row>
    <row r="177" spans="1:3" x14ac:dyDescent="0.2">
      <c r="A177" s="208" t="s">
        <v>5840</v>
      </c>
      <c r="B177">
        <f>IF(ISBLANK(GlobBerMedDisc!$I$8),"",GlobBerMedDisc!$I$8)</f>
        <v>1</v>
      </c>
      <c r="C177" s="208">
        <v>1</v>
      </c>
    </row>
    <row r="178" spans="1:3" x14ac:dyDescent="0.2">
      <c r="A178" s="208" t="s">
        <v>5842</v>
      </c>
      <c r="B178">
        <f>IF(ISBLANK(GlobBerMedDisc!$I$9),"",GlobBerMedDisc!$I$9)</f>
        <v>1</v>
      </c>
      <c r="C178" s="208">
        <v>1</v>
      </c>
    </row>
    <row r="179" spans="1:3" x14ac:dyDescent="0.2">
      <c r="A179" s="208" t="s">
        <v>5844</v>
      </c>
      <c r="B179">
        <f>IF(ISBLANK(GlobBerMedDisc!$I$10),"",GlobBerMedDisc!$I$10)</f>
        <v>1</v>
      </c>
      <c r="C179" s="208">
        <v>1</v>
      </c>
    </row>
    <row r="180" spans="1:3" x14ac:dyDescent="0.2">
      <c r="A180" s="208" t="s">
        <v>5846</v>
      </c>
      <c r="B180">
        <f>IF(ISBLANK(GlobBerMedDisc!$I$11),"",GlobBerMedDisc!$I$11)</f>
        <v>1</v>
      </c>
      <c r="C180" s="208">
        <v>1</v>
      </c>
    </row>
    <row r="181" spans="1:3" x14ac:dyDescent="0.2">
      <c r="A181" s="208" t="s">
        <v>5848</v>
      </c>
      <c r="B181">
        <f>IF(ISBLANK(GlobBerMedDisc!$I$12),"",GlobBerMedDisc!$I$12)</f>
        <v>1</v>
      </c>
      <c r="C181" s="208">
        <v>1</v>
      </c>
    </row>
    <row r="182" spans="1:3" x14ac:dyDescent="0.2">
      <c r="A182" s="208" t="s">
        <v>5850</v>
      </c>
      <c r="B182">
        <f>IF(ISBLANK(GlobBerMedDisc!$I$13),"",GlobBerMedDisc!$I$13)</f>
        <v>1</v>
      </c>
      <c r="C182" s="208">
        <v>1</v>
      </c>
    </row>
    <row r="183" spans="1:3" x14ac:dyDescent="0.2">
      <c r="A183" s="208" t="s">
        <v>5852</v>
      </c>
      <c r="B183">
        <f>IF(ISBLANK(GlobBerMedDisc!$I$14),"",GlobBerMedDisc!$I$14)</f>
        <v>1</v>
      </c>
      <c r="C183" s="208">
        <v>1</v>
      </c>
    </row>
    <row r="184" spans="1:3" x14ac:dyDescent="0.2">
      <c r="A184" s="208" t="s">
        <v>5854</v>
      </c>
      <c r="B184">
        <f>IF(ISBLANK(GlobBerMedDisc!$I$15),"",GlobBerMedDisc!$I$15)</f>
        <v>1</v>
      </c>
      <c r="C184" s="208">
        <v>1</v>
      </c>
    </row>
    <row r="185" spans="1:3" x14ac:dyDescent="0.2">
      <c r="A185" s="208" t="s">
        <v>5856</v>
      </c>
      <c r="B185">
        <f>IF(ISBLANK(GlobBerMedDisc!$I$16),"",GlobBerMedDisc!$I$16)</f>
        <v>1</v>
      </c>
      <c r="C185" s="208">
        <v>1</v>
      </c>
    </row>
    <row r="186" spans="1:3" x14ac:dyDescent="0.2">
      <c r="A186" s="208" t="s">
        <v>5858</v>
      </c>
      <c r="B186">
        <f>IF(ISBLANK(GlobBerMedDisc!$I$17),"",GlobBerMedDisc!$I$17)</f>
        <v>1</v>
      </c>
      <c r="C186" s="208">
        <v>1</v>
      </c>
    </row>
    <row r="187" spans="1:3" x14ac:dyDescent="0.2">
      <c r="A187" s="208" t="s">
        <v>5860</v>
      </c>
      <c r="B187">
        <f>IF(ISBLANK(GlobBerMedDisc!$I$18),"",GlobBerMedDisc!$I$18)</f>
        <v>1</v>
      </c>
      <c r="C187" s="208">
        <v>1</v>
      </c>
    </row>
    <row r="188" spans="1:3" x14ac:dyDescent="0.2">
      <c r="A188" s="208" t="s">
        <v>5862</v>
      </c>
      <c r="B188">
        <f>IF(ISBLANK(GlobBerMedDisc!$I$19),"",GlobBerMedDisc!$I$19)</f>
        <v>1</v>
      </c>
      <c r="C188" s="208">
        <v>1</v>
      </c>
    </row>
    <row r="189" spans="1:3" x14ac:dyDescent="0.2">
      <c r="A189" s="208" t="s">
        <v>5864</v>
      </c>
      <c r="B189">
        <f>IF(ISBLANK(GlobBerMedDisc!$I$20),"",GlobBerMedDisc!$I$20)</f>
        <v>1</v>
      </c>
      <c r="C189" s="208">
        <v>1</v>
      </c>
    </row>
    <row r="190" spans="1:3" x14ac:dyDescent="0.2">
      <c r="A190" s="208" t="s">
        <v>5866</v>
      </c>
      <c r="B190">
        <f>IF(ISBLANK(GlobBerMedDisc!$I$21),"",GlobBerMedDisc!$I$21)</f>
        <v>1</v>
      </c>
      <c r="C190" s="208">
        <v>1</v>
      </c>
    </row>
    <row r="191" spans="1:3" x14ac:dyDescent="0.2">
      <c r="A191" s="208" t="s">
        <v>5868</v>
      </c>
      <c r="B191">
        <f>IF(ISBLANK(GlobBerMedDisc!$I$22),"",GlobBerMedDisc!$I$22)</f>
        <v>1</v>
      </c>
      <c r="C191" s="208">
        <v>1</v>
      </c>
    </row>
    <row r="192" spans="1:3" x14ac:dyDescent="0.2">
      <c r="A192" s="208" t="s">
        <v>5870</v>
      </c>
      <c r="B192">
        <f>IF(ISBLANK(GlobBerMedDisc!$I$23),"",GlobBerMedDisc!$I$23)</f>
        <v>1</v>
      </c>
      <c r="C192" s="208">
        <v>1</v>
      </c>
    </row>
    <row r="193" spans="1:3" x14ac:dyDescent="0.2">
      <c r="A193" s="208" t="s">
        <v>5872</v>
      </c>
      <c r="B193">
        <f>IF(ISBLANK(GlobBerMedDisc!$I$24),"",GlobBerMedDisc!$I$24)</f>
        <v>1</v>
      </c>
      <c r="C193" s="208">
        <v>1</v>
      </c>
    </row>
    <row r="194" spans="1:3" x14ac:dyDescent="0.2">
      <c r="A194" s="208" t="s">
        <v>5874</v>
      </c>
      <c r="B194">
        <f>IF(ISBLANK(GlobBerMedDisc!$I$25),"",GlobBerMedDisc!$I$25)</f>
        <v>1</v>
      </c>
      <c r="C194" s="208">
        <v>1</v>
      </c>
    </row>
    <row r="195" spans="1:3" x14ac:dyDescent="0.2">
      <c r="A195" s="208" t="s">
        <v>5876</v>
      </c>
      <c r="B195">
        <f>IF(ISBLANK(GlobBerMedDisc!$I$26),"",GlobBerMedDisc!$I$26)</f>
        <v>1</v>
      </c>
      <c r="C195" s="208">
        <v>1</v>
      </c>
    </row>
    <row r="196" spans="1:3" x14ac:dyDescent="0.2">
      <c r="A196" s="208" t="s">
        <v>5878</v>
      </c>
      <c r="B196">
        <f>IF(ISBLANK(GlobBerMedDisc!$I$27),"",GlobBerMedDisc!$I$27)</f>
        <v>1</v>
      </c>
      <c r="C196" s="208">
        <v>1</v>
      </c>
    </row>
    <row r="197" spans="1:3" x14ac:dyDescent="0.2">
      <c r="A197" s="208" t="s">
        <v>5880</v>
      </c>
      <c r="B197">
        <f>IF(ISBLANK(GlobBerMedDisc!$I$28),"",GlobBerMedDisc!$I$28)</f>
        <v>1</v>
      </c>
      <c r="C197" s="208">
        <v>1</v>
      </c>
    </row>
    <row r="198" spans="1:3" x14ac:dyDescent="0.2">
      <c r="A198" s="208" t="s">
        <v>5882</v>
      </c>
      <c r="B198">
        <f>IF(ISBLANK(GlobBerMedDisc!$I$29),"",GlobBerMedDisc!$I$29)</f>
        <v>1</v>
      </c>
      <c r="C198" s="208">
        <v>1</v>
      </c>
    </row>
    <row r="199" spans="1:3" x14ac:dyDescent="0.2">
      <c r="A199" s="208" t="s">
        <v>5884</v>
      </c>
      <c r="B199">
        <f>IF(ISBLANK(GlobBerMedDisc!$I$30),"",GlobBerMedDisc!$I$30)</f>
        <v>1</v>
      </c>
      <c r="C199" s="208">
        <v>1</v>
      </c>
    </row>
    <row r="200" spans="1:3" x14ac:dyDescent="0.2">
      <c r="A200" s="208" t="s">
        <v>5886</v>
      </c>
      <c r="B200">
        <f>IF(ISBLANK(GlobBerMedDisc!$I$31),"",GlobBerMedDisc!$I$31)</f>
        <v>1</v>
      </c>
      <c r="C200" s="208">
        <v>1</v>
      </c>
    </row>
    <row r="201" spans="1:3" x14ac:dyDescent="0.2">
      <c r="A201" s="208" t="s">
        <v>6097</v>
      </c>
      <c r="B201" t="str">
        <f>IF(ISBLANK(GlobBerMedDisc!$BE$2),"",GlobBerMedDisc!$BE$2)</f>
        <v/>
      </c>
      <c r="C201" s="208"/>
    </row>
    <row r="202" spans="1:3" x14ac:dyDescent="0.2">
      <c r="A202" s="208" t="s">
        <v>6098</v>
      </c>
      <c r="B202" t="str">
        <f>IF(ISBLANK(GlobBerMedDisc!$BE$3),"",GlobBerMedDisc!$BE$3)</f>
        <v/>
      </c>
      <c r="C202" s="208"/>
    </row>
    <row r="203" spans="1:3" x14ac:dyDescent="0.2">
      <c r="A203" s="208" t="s">
        <v>6099</v>
      </c>
      <c r="B203" t="str">
        <f>IF(ISBLANK(GlobBerMedDisc!$BE$4),"",GlobBerMedDisc!$BE$4)</f>
        <v/>
      </c>
      <c r="C203" s="208"/>
    </row>
    <row r="204" spans="1:3" x14ac:dyDescent="0.2">
      <c r="A204" s="208" t="s">
        <v>6100</v>
      </c>
      <c r="B204" t="str">
        <f>IF(ISBLANK(GlobBerMedDisc!$BE$5),"",GlobBerMedDisc!$BE$5)</f>
        <v/>
      </c>
      <c r="C204" s="208"/>
    </row>
    <row r="205" spans="1:3" x14ac:dyDescent="0.2">
      <c r="A205" s="208" t="s">
        <v>6101</v>
      </c>
      <c r="B205" t="str">
        <f>IF(ISBLANK(GlobBerMedDisc!$BE$6),"",GlobBerMedDisc!$BE$6)</f>
        <v/>
      </c>
      <c r="C205" s="208"/>
    </row>
    <row r="206" spans="1:3" x14ac:dyDescent="0.2">
      <c r="A206" s="208" t="s">
        <v>6102</v>
      </c>
      <c r="B206" t="str">
        <f>IF(ISBLANK(GlobBerMedDisc!$BE$7),"",GlobBerMedDisc!$BE$7)</f>
        <v/>
      </c>
      <c r="C206" s="208"/>
    </row>
    <row r="207" spans="1:3" x14ac:dyDescent="0.2">
      <c r="A207" s="208" t="s">
        <v>6103</v>
      </c>
      <c r="B207" t="str">
        <f>IF(ISBLANK(GlobBerMedDisc!$BE$8),"",GlobBerMedDisc!$BE$8)</f>
        <v/>
      </c>
      <c r="C207" s="208"/>
    </row>
    <row r="208" spans="1:3" x14ac:dyDescent="0.2">
      <c r="A208" s="208" t="s">
        <v>6104</v>
      </c>
      <c r="B208" t="str">
        <f>IF(ISBLANK(GlobBerMedDisc!$BE$9),"",GlobBerMedDisc!$BE$9)</f>
        <v/>
      </c>
      <c r="C208" s="208"/>
    </row>
    <row r="209" spans="1:3" x14ac:dyDescent="0.2">
      <c r="A209" s="208" t="s">
        <v>6105</v>
      </c>
      <c r="B209" t="str">
        <f>IF(ISBLANK(GlobBerMedDisc!$BE$10),"",GlobBerMedDisc!$BE$10)</f>
        <v/>
      </c>
      <c r="C209" s="208"/>
    </row>
    <row r="210" spans="1:3" x14ac:dyDescent="0.2">
      <c r="A210" s="208" t="s">
        <v>6106</v>
      </c>
      <c r="B210" t="str">
        <f>IF(ISBLANK(GlobBerMedDisc!$BE$11),"",GlobBerMedDisc!$BE$11)</f>
        <v/>
      </c>
      <c r="C210" s="208"/>
    </row>
    <row r="211" spans="1:3" x14ac:dyDescent="0.2">
      <c r="A211" s="208" t="s">
        <v>6107</v>
      </c>
      <c r="B211" t="str">
        <f>IF(ISBLANK(GlobBerMedDisc!$BE$12),"",GlobBerMedDisc!$BE$12)</f>
        <v/>
      </c>
      <c r="C211" s="208"/>
    </row>
    <row r="212" spans="1:3" x14ac:dyDescent="0.2">
      <c r="A212" s="208" t="s">
        <v>6108</v>
      </c>
      <c r="B212" t="str">
        <f>IF(ISBLANK(GlobBerMedDisc!$BE$13),"",GlobBerMedDisc!$BE$13)</f>
        <v/>
      </c>
      <c r="C212" s="208"/>
    </row>
    <row r="213" spans="1:3" x14ac:dyDescent="0.2">
      <c r="A213" s="208" t="s">
        <v>6109</v>
      </c>
      <c r="B213" t="str">
        <f>IF(ISBLANK(GlobBerMedDisc!$BE$14),"",GlobBerMedDisc!$BE$14)</f>
        <v/>
      </c>
      <c r="C213" s="208"/>
    </row>
    <row r="214" spans="1:3" x14ac:dyDescent="0.2">
      <c r="A214" s="208" t="s">
        <v>6110</v>
      </c>
      <c r="B214" t="str">
        <f>IF(ISBLANK(GlobBerMedDisc!$BE$15),"",GlobBerMedDisc!$BE$15)</f>
        <v/>
      </c>
      <c r="C214" s="208"/>
    </row>
    <row r="215" spans="1:3" x14ac:dyDescent="0.2">
      <c r="A215" s="208" t="s">
        <v>6111</v>
      </c>
      <c r="B215" t="str">
        <f>IF(ISBLANK(GlobBerMedDisc!$BE$16),"",GlobBerMedDisc!$BE$16)</f>
        <v/>
      </c>
      <c r="C215" s="208"/>
    </row>
    <row r="216" spans="1:3" x14ac:dyDescent="0.2">
      <c r="A216" s="208" t="s">
        <v>6112</v>
      </c>
      <c r="B216" t="str">
        <f>IF(ISBLANK(GlobBerMedDisc!$BE$17),"",GlobBerMedDisc!$BE$17)</f>
        <v/>
      </c>
      <c r="C216" s="208"/>
    </row>
    <row r="217" spans="1:3" x14ac:dyDescent="0.2">
      <c r="A217" s="208" t="s">
        <v>6113</v>
      </c>
      <c r="B217" t="str">
        <f>IF(ISBLANK(GlobBerMedDisc!$BE$18),"",GlobBerMedDisc!$BE$18)</f>
        <v/>
      </c>
      <c r="C217" s="208"/>
    </row>
    <row r="218" spans="1:3" x14ac:dyDescent="0.2">
      <c r="A218" s="208" t="s">
        <v>6114</v>
      </c>
      <c r="B218" t="str">
        <f>IF(ISBLANK(GlobBerMedDisc!$BE$19),"",GlobBerMedDisc!$BE$19)</f>
        <v/>
      </c>
      <c r="C218" s="208"/>
    </row>
    <row r="219" spans="1:3" x14ac:dyDescent="0.2">
      <c r="A219" s="208" t="s">
        <v>6115</v>
      </c>
      <c r="B219" t="str">
        <f>IF(ISBLANK(GlobBerMedDisc!$BE$20),"",GlobBerMedDisc!$BE$20)</f>
        <v/>
      </c>
      <c r="C219" s="208"/>
    </row>
    <row r="220" spans="1:3" x14ac:dyDescent="0.2">
      <c r="A220" s="208" t="s">
        <v>6116</v>
      </c>
      <c r="B220" t="str">
        <f>IF(ISBLANK(GlobBerMedDisc!$BE$21),"",GlobBerMedDisc!$BE$21)</f>
        <v/>
      </c>
      <c r="C220" s="208"/>
    </row>
    <row r="221" spans="1:3" x14ac:dyDescent="0.2">
      <c r="A221" s="208" t="s">
        <v>6117</v>
      </c>
      <c r="B221" t="str">
        <f>IF(ISBLANK(GlobBerMedDisc!$BE$22),"",GlobBerMedDisc!$BE$22)</f>
        <v/>
      </c>
      <c r="C221" s="208"/>
    </row>
    <row r="222" spans="1:3" x14ac:dyDescent="0.2">
      <c r="A222" s="208" t="s">
        <v>6118</v>
      </c>
      <c r="B222" t="str">
        <f>IF(ISBLANK(GlobBerMedDisc!$BE$23),"",GlobBerMedDisc!$BE$23)</f>
        <v/>
      </c>
      <c r="C222" s="208"/>
    </row>
    <row r="223" spans="1:3" x14ac:dyDescent="0.2">
      <c r="A223" s="208" t="s">
        <v>6119</v>
      </c>
      <c r="B223" t="str">
        <f>IF(ISBLANK(GlobBerMedDisc!$BE$24),"",GlobBerMedDisc!$BE$24)</f>
        <v/>
      </c>
      <c r="C223" s="208"/>
    </row>
    <row r="224" spans="1:3" x14ac:dyDescent="0.2">
      <c r="A224" s="208" t="s">
        <v>6120</v>
      </c>
      <c r="B224" t="str">
        <f>IF(ISBLANK(GlobBerMedDisc!$BE$25),"",GlobBerMedDisc!$BE$25)</f>
        <v/>
      </c>
      <c r="C224" s="208"/>
    </row>
    <row r="225" spans="1:3" x14ac:dyDescent="0.2">
      <c r="A225" s="208" t="s">
        <v>6121</v>
      </c>
      <c r="B225" t="str">
        <f>IF(ISBLANK(GlobBerMedDisc!$BE$26),"",GlobBerMedDisc!$BE$26)</f>
        <v/>
      </c>
      <c r="C225" s="208"/>
    </row>
    <row r="226" spans="1:3" x14ac:dyDescent="0.2">
      <c r="A226" s="208" t="s">
        <v>6122</v>
      </c>
      <c r="B226" t="str">
        <f>IF(ISBLANK(GlobBerMedDisc!$BE$27),"",GlobBerMedDisc!$BE$27)</f>
        <v/>
      </c>
      <c r="C226" s="208"/>
    </row>
    <row r="227" spans="1:3" x14ac:dyDescent="0.2">
      <c r="A227" s="208" t="s">
        <v>6123</v>
      </c>
      <c r="B227" t="str">
        <f>IF(ISBLANK(GlobBerMedDisc!$BE$28),"",GlobBerMedDisc!$BE$28)</f>
        <v/>
      </c>
      <c r="C227" s="208"/>
    </row>
    <row r="228" spans="1:3" x14ac:dyDescent="0.2">
      <c r="A228" s="208" t="s">
        <v>6124</v>
      </c>
      <c r="B228" t="str">
        <f>IF(ISBLANK(GlobBerMedDisc!$BE$29),"",GlobBerMedDisc!$BE$29)</f>
        <v/>
      </c>
      <c r="C228" s="208"/>
    </row>
    <row r="229" spans="1:3" x14ac:dyDescent="0.2">
      <c r="A229" s="208" t="s">
        <v>6125</v>
      </c>
      <c r="B229" t="str">
        <f>IF(ISBLANK(GlobBerMedDisc!$BE$30),"",GlobBerMedDisc!$BE$30)</f>
        <v/>
      </c>
      <c r="C229" s="208"/>
    </row>
    <row r="230" spans="1:3" x14ac:dyDescent="0.2">
      <c r="A230" s="208" t="s">
        <v>6126</v>
      </c>
      <c r="B230" t="str">
        <f>IF(ISBLANK(GlobBerMedDisc!$BE$31),"",GlobBerMedDisc!$BE$31)</f>
        <v/>
      </c>
      <c r="C230" s="208"/>
    </row>
    <row r="231" spans="1:3" x14ac:dyDescent="0.2">
      <c r="A231" s="208" t="s">
        <v>1880</v>
      </c>
      <c r="B231" t="str">
        <f>IF(ISBLANK(GlobBerMedDisc!$D$2),"",GlobBerMedDisc!$D$2)</f>
        <v/>
      </c>
      <c r="C231" s="99"/>
    </row>
    <row r="232" spans="1:3" x14ac:dyDescent="0.2">
      <c r="A232" s="208" t="s">
        <v>1881</v>
      </c>
      <c r="B232" t="str">
        <f>IF(ISBLANK(GlobBerMedDisc!$D$3),"",GlobBerMedDisc!$D$3)</f>
        <v/>
      </c>
      <c r="C232" s="99"/>
    </row>
    <row r="233" spans="1:3" x14ac:dyDescent="0.2">
      <c r="A233" s="208" t="s">
        <v>1882</v>
      </c>
      <c r="B233" t="str">
        <f>IF(ISBLANK(GlobBerMedDisc!$D$4),"",GlobBerMedDisc!$D$4)</f>
        <v/>
      </c>
      <c r="C233" s="99"/>
    </row>
    <row r="234" spans="1:3" x14ac:dyDescent="0.2">
      <c r="A234" s="208" t="s">
        <v>1883</v>
      </c>
      <c r="B234" t="str">
        <f>IF(ISBLANK(GlobBerMedDisc!$D$5),"",GlobBerMedDisc!$D$5)</f>
        <v/>
      </c>
      <c r="C234" s="99"/>
    </row>
    <row r="235" spans="1:3" x14ac:dyDescent="0.2">
      <c r="A235" s="208" t="s">
        <v>1884</v>
      </c>
      <c r="B235" t="str">
        <f>IF(ISBLANK(GlobBerMedDisc!$D$6),"",GlobBerMedDisc!$D$6)</f>
        <v/>
      </c>
      <c r="C235" s="99"/>
    </row>
    <row r="236" spans="1:3" x14ac:dyDescent="0.2">
      <c r="A236" s="208" t="s">
        <v>1885</v>
      </c>
      <c r="B236" t="str">
        <f>IF(ISBLANK(GlobBerMedDisc!$D$7),"",GlobBerMedDisc!$D$7)</f>
        <v/>
      </c>
      <c r="C236" s="99"/>
    </row>
    <row r="237" spans="1:3" x14ac:dyDescent="0.2">
      <c r="A237" s="208" t="s">
        <v>1886</v>
      </c>
      <c r="B237" t="str">
        <f>IF(ISBLANK(GlobBerMedDisc!$D$8),"",GlobBerMedDisc!$D$8)</f>
        <v/>
      </c>
      <c r="C237" s="99"/>
    </row>
    <row r="238" spans="1:3" x14ac:dyDescent="0.2">
      <c r="A238" s="208" t="s">
        <v>1887</v>
      </c>
      <c r="B238" t="str">
        <f>IF(ISBLANK(GlobBerMedDisc!$D$9),"",GlobBerMedDisc!$D$9)</f>
        <v/>
      </c>
      <c r="C238" s="99"/>
    </row>
    <row r="239" spans="1:3" x14ac:dyDescent="0.2">
      <c r="A239" s="208" t="s">
        <v>1888</v>
      </c>
      <c r="B239" t="str">
        <f>IF(ISBLANK(GlobBerMedDisc!$D$10),"",GlobBerMedDisc!$D$10)</f>
        <v/>
      </c>
      <c r="C239" s="99"/>
    </row>
    <row r="240" spans="1:3" x14ac:dyDescent="0.2">
      <c r="A240" s="208" t="s">
        <v>1889</v>
      </c>
      <c r="B240" t="str">
        <f>IF(ISBLANK(GlobBerMedDisc!$D$11),"",GlobBerMedDisc!$D$11)</f>
        <v/>
      </c>
      <c r="C240" s="99"/>
    </row>
    <row r="241" spans="1:6" x14ac:dyDescent="0.2">
      <c r="A241" s="208" t="s">
        <v>1890</v>
      </c>
      <c r="B241" t="str">
        <f>IF(ISBLANK(GlobBerMedDisc!$D$12),"",GlobBerMedDisc!$D$12)</f>
        <v/>
      </c>
      <c r="C241" s="99"/>
    </row>
    <row r="242" spans="1:6" x14ac:dyDescent="0.2">
      <c r="A242" s="208" t="s">
        <v>1891</v>
      </c>
      <c r="B242" t="str">
        <f>IF(ISBLANK(GlobBerMedDisc!$D$13),"",GlobBerMedDisc!$D$13)</f>
        <v/>
      </c>
      <c r="C242" s="99"/>
    </row>
    <row r="243" spans="1:6" x14ac:dyDescent="0.2">
      <c r="A243" s="208" t="s">
        <v>1892</v>
      </c>
      <c r="B243" t="str">
        <f>IF(ISBLANK(GlobBerMedDisc!$D$14),"",GlobBerMedDisc!$D$14)</f>
        <v/>
      </c>
      <c r="C243" s="99"/>
    </row>
    <row r="244" spans="1:6" x14ac:dyDescent="0.2">
      <c r="A244" s="208" t="s">
        <v>1893</v>
      </c>
      <c r="B244" t="str">
        <f>IF(ISBLANK(GlobBerMedDisc!$D$15),"",GlobBerMedDisc!$D$15)</f>
        <v/>
      </c>
      <c r="C244" s="99"/>
    </row>
    <row r="245" spans="1:6" x14ac:dyDescent="0.2">
      <c r="A245" s="208" t="s">
        <v>1894</v>
      </c>
      <c r="B245" t="str">
        <f>IF(ISBLANK(GlobBerMedDisc!$D$16),"",GlobBerMedDisc!$D$16)</f>
        <v/>
      </c>
      <c r="C245" s="99"/>
    </row>
    <row r="246" spans="1:6" x14ac:dyDescent="0.2">
      <c r="A246" s="208" t="s">
        <v>1895</v>
      </c>
      <c r="B246" t="str">
        <f>IF(ISBLANK(GlobBerMedDisc!$D$17),"",GlobBerMedDisc!$D$17)</f>
        <v/>
      </c>
      <c r="C246" s="99"/>
    </row>
    <row r="247" spans="1:6" s="208" customFormat="1" x14ac:dyDescent="0.2">
      <c r="A247" s="208" t="s">
        <v>1896</v>
      </c>
      <c r="B247" t="str">
        <f>IF(ISBLANK(GlobBerMedDisc!$D$18),"",GlobBerMedDisc!$D$18)</f>
        <v/>
      </c>
      <c r="C247" s="99"/>
      <c r="D247"/>
      <c r="E247"/>
      <c r="F247"/>
    </row>
    <row r="248" spans="1:6" s="208" customFormat="1" x14ac:dyDescent="0.2">
      <c r="A248" s="208" t="s">
        <v>1897</v>
      </c>
      <c r="B248" t="str">
        <f>IF(ISBLANK(GlobBerMedDisc!$D$19),"",GlobBerMedDisc!$D$19)</f>
        <v/>
      </c>
      <c r="C248" s="99"/>
      <c r="D248"/>
      <c r="E248"/>
      <c r="F248"/>
    </row>
    <row r="249" spans="1:6" s="208" customFormat="1" x14ac:dyDescent="0.2">
      <c r="A249" s="208" t="s">
        <v>1898</v>
      </c>
      <c r="B249" t="str">
        <f>IF(ISBLANK(GlobBerMedDisc!$D$20),"",GlobBerMedDisc!$D$20)</f>
        <v/>
      </c>
      <c r="C249" s="99"/>
      <c r="D249"/>
      <c r="E249"/>
      <c r="F249"/>
    </row>
    <row r="250" spans="1:6" s="208" customFormat="1" x14ac:dyDescent="0.2">
      <c r="A250" s="208" t="s">
        <v>1899</v>
      </c>
      <c r="B250" t="str">
        <f>IF(ISBLANK(GlobBerMedDisc!$D$21),"",GlobBerMedDisc!$D$21)</f>
        <v/>
      </c>
      <c r="C250" s="99"/>
      <c r="D250"/>
      <c r="E250"/>
      <c r="F250"/>
    </row>
    <row r="251" spans="1:6" s="208" customFormat="1" x14ac:dyDescent="0.2">
      <c r="A251" s="208" t="s">
        <v>1900</v>
      </c>
      <c r="B251" t="str">
        <f>IF(ISBLANK(GlobBerMedDisc!$D$22),"",GlobBerMedDisc!$D$22)</f>
        <v/>
      </c>
      <c r="C251" s="99"/>
      <c r="D251"/>
      <c r="E251"/>
      <c r="F251"/>
    </row>
    <row r="252" spans="1:6" s="208" customFormat="1" x14ac:dyDescent="0.2">
      <c r="A252" s="208" t="s">
        <v>1901</v>
      </c>
      <c r="B252" t="str">
        <f>IF(ISBLANK(GlobBerMedDisc!$D$23),"",GlobBerMedDisc!$D$23)</f>
        <v/>
      </c>
      <c r="C252" s="99"/>
      <c r="D252"/>
      <c r="E252"/>
      <c r="F252"/>
    </row>
    <row r="253" spans="1:6" s="208" customFormat="1" x14ac:dyDescent="0.2">
      <c r="A253" s="208" t="s">
        <v>1902</v>
      </c>
      <c r="B253" t="str">
        <f>IF(ISBLANK(GlobBerMedDisc!$D$24),"",GlobBerMedDisc!$D$24)</f>
        <v/>
      </c>
      <c r="C253" s="99"/>
      <c r="D253"/>
      <c r="E253"/>
      <c r="F253"/>
    </row>
    <row r="254" spans="1:6" s="208" customFormat="1" x14ac:dyDescent="0.2">
      <c r="A254" s="208" t="s">
        <v>1903</v>
      </c>
      <c r="B254" t="str">
        <f>IF(ISBLANK(GlobBerMedDisc!$D$25),"",GlobBerMedDisc!$D$25)</f>
        <v/>
      </c>
      <c r="C254" s="99"/>
      <c r="D254"/>
      <c r="E254"/>
      <c r="F254"/>
    </row>
    <row r="255" spans="1:6" s="208" customFormat="1" x14ac:dyDescent="0.2">
      <c r="A255" s="208" t="s">
        <v>1904</v>
      </c>
      <c r="B255" t="str">
        <f>IF(ISBLANK(GlobBerMedDisc!$D$26),"",GlobBerMedDisc!$D$26)</f>
        <v/>
      </c>
      <c r="C255" s="99"/>
      <c r="D255"/>
      <c r="E255"/>
      <c r="F255"/>
    </row>
    <row r="256" spans="1:6" s="208" customFormat="1" x14ac:dyDescent="0.2">
      <c r="A256" s="208" t="s">
        <v>1905</v>
      </c>
      <c r="B256" t="str">
        <f>IF(ISBLANK(GlobBerMedDisc!$D$27),"",GlobBerMedDisc!$D$27)</f>
        <v/>
      </c>
      <c r="C256" s="99"/>
      <c r="D256"/>
      <c r="E256"/>
      <c r="F256"/>
    </row>
    <row r="257" spans="1:6" s="208" customFormat="1" x14ac:dyDescent="0.2">
      <c r="A257" s="208" t="s">
        <v>1906</v>
      </c>
      <c r="B257" t="str">
        <f>IF(ISBLANK(GlobBerMedDisc!$D$28),"",GlobBerMedDisc!$D$28)</f>
        <v/>
      </c>
      <c r="C257" s="99"/>
      <c r="D257"/>
      <c r="E257"/>
      <c r="F257"/>
    </row>
    <row r="258" spans="1:6" s="208" customFormat="1" x14ac:dyDescent="0.2">
      <c r="A258" s="208" t="s">
        <v>1907</v>
      </c>
      <c r="B258" t="str">
        <f>IF(ISBLANK(GlobBerMedDisc!$D$29),"",GlobBerMedDisc!$D$29)</f>
        <v/>
      </c>
      <c r="C258" s="99"/>
      <c r="D258"/>
      <c r="E258"/>
      <c r="F258"/>
    </row>
    <row r="259" spans="1:6" s="208" customFormat="1" x14ac:dyDescent="0.2">
      <c r="A259" s="208" t="s">
        <v>1908</v>
      </c>
      <c r="B259" t="str">
        <f>IF(ISBLANK(GlobBerMedDisc!$D$30),"",GlobBerMedDisc!$D$30)</f>
        <v/>
      </c>
      <c r="C259" s="99"/>
      <c r="D259"/>
      <c r="E259"/>
      <c r="F259"/>
    </row>
    <row r="260" spans="1:6" s="208" customFormat="1" x14ac:dyDescent="0.2">
      <c r="A260" s="208" t="s">
        <v>1909</v>
      </c>
      <c r="B260" t="str">
        <f>IF(ISBLANK(GlobBerMedDisc!$D$31),"",GlobBerMedDisc!$D$31)</f>
        <v/>
      </c>
      <c r="C260" s="99"/>
      <c r="D260"/>
      <c r="E260"/>
      <c r="F260"/>
    </row>
    <row r="261" spans="1:6" s="208" customFormat="1" x14ac:dyDescent="0.2">
      <c r="A261" s="208" t="s">
        <v>1910</v>
      </c>
      <c r="B261" s="208" t="str">
        <f>IF(ISBLANK(GlobBerMedDisc!$V$2),"",GlobBerMedDisc!$V$2)</f>
        <v/>
      </c>
      <c r="C261" s="99"/>
    </row>
    <row r="262" spans="1:6" s="208" customFormat="1" x14ac:dyDescent="0.2">
      <c r="A262" s="208" t="s">
        <v>1911</v>
      </c>
      <c r="B262" s="208" t="str">
        <f>IF(ISBLANK(GlobBerMedDisc!$V$3),"",GlobBerMedDisc!$V$3)</f>
        <v/>
      </c>
      <c r="C262" s="99"/>
    </row>
    <row r="263" spans="1:6" s="208" customFormat="1" x14ac:dyDescent="0.2">
      <c r="A263" s="208" t="s">
        <v>1912</v>
      </c>
      <c r="B263" s="208" t="str">
        <f>IF(ISBLANK(GlobBerMedDisc!$V$4),"",GlobBerMedDisc!$V$4)</f>
        <v/>
      </c>
      <c r="C263" s="99"/>
    </row>
    <row r="264" spans="1:6" s="208" customFormat="1" x14ac:dyDescent="0.2">
      <c r="A264" s="208" t="s">
        <v>1913</v>
      </c>
      <c r="B264" s="208" t="str">
        <f>IF(ISBLANK(GlobBerMedDisc!$V$5),"",GlobBerMedDisc!$V$5)</f>
        <v/>
      </c>
      <c r="C264" s="99"/>
    </row>
    <row r="265" spans="1:6" s="208" customFormat="1" x14ac:dyDescent="0.2">
      <c r="A265" s="208" t="s">
        <v>1914</v>
      </c>
      <c r="B265" s="208" t="str">
        <f>IF(ISBLANK(GlobBerMedDisc!$V$6),"",GlobBerMedDisc!$V$6)</f>
        <v/>
      </c>
      <c r="C265" s="99"/>
    </row>
    <row r="266" spans="1:6" s="208" customFormat="1" x14ac:dyDescent="0.2">
      <c r="A266" s="208" t="s">
        <v>1915</v>
      </c>
      <c r="B266" s="208" t="str">
        <f>IF(ISBLANK(GlobBerMedDisc!$V$7),"",GlobBerMedDisc!$V$7)</f>
        <v/>
      </c>
      <c r="C266" s="99"/>
    </row>
    <row r="267" spans="1:6" s="208" customFormat="1" x14ac:dyDescent="0.2">
      <c r="A267" s="208" t="s">
        <v>1916</v>
      </c>
      <c r="B267" s="208" t="str">
        <f>IF(ISBLANK(GlobBerMedDisc!$V$8),"",GlobBerMedDisc!$V$8)</f>
        <v/>
      </c>
      <c r="C267" s="99"/>
    </row>
    <row r="268" spans="1:6" s="208" customFormat="1" x14ac:dyDescent="0.2">
      <c r="A268" s="208" t="s">
        <v>1917</v>
      </c>
      <c r="B268" s="208" t="str">
        <f>IF(ISBLANK(GlobBerMedDisc!$V$9),"",GlobBerMedDisc!$V$9)</f>
        <v/>
      </c>
      <c r="C268" s="99"/>
    </row>
    <row r="269" spans="1:6" s="208" customFormat="1" x14ac:dyDescent="0.2">
      <c r="A269" s="208" t="s">
        <v>1918</v>
      </c>
      <c r="B269" s="208" t="str">
        <f>IF(ISBLANK(GlobBerMedDisc!$V$10),"",GlobBerMedDisc!$V$10)</f>
        <v/>
      </c>
      <c r="C269" s="99"/>
    </row>
    <row r="270" spans="1:6" s="208" customFormat="1" x14ac:dyDescent="0.2">
      <c r="A270" s="208" t="s">
        <v>1919</v>
      </c>
      <c r="B270" s="208" t="str">
        <f>IF(ISBLANK(GlobBerMedDisc!$V$11),"",GlobBerMedDisc!$V$11)</f>
        <v/>
      </c>
      <c r="C270" s="99"/>
    </row>
    <row r="271" spans="1:6" s="208" customFormat="1" x14ac:dyDescent="0.2">
      <c r="A271" s="208" t="s">
        <v>1920</v>
      </c>
      <c r="B271" s="208" t="str">
        <f>IF(ISBLANK(GlobBerMedDisc!$V$12),"",GlobBerMedDisc!$V$12)</f>
        <v/>
      </c>
      <c r="C271" s="99"/>
    </row>
    <row r="272" spans="1:6" s="208" customFormat="1" x14ac:dyDescent="0.2">
      <c r="A272" s="208" t="s">
        <v>1921</v>
      </c>
      <c r="B272" s="208" t="str">
        <f>IF(ISBLANK(GlobBerMedDisc!$V$13),"",GlobBerMedDisc!$V$13)</f>
        <v/>
      </c>
      <c r="C272" s="99"/>
    </row>
    <row r="273" spans="1:6" s="208" customFormat="1" x14ac:dyDescent="0.2">
      <c r="A273" s="208" t="s">
        <v>1922</v>
      </c>
      <c r="B273" s="208" t="str">
        <f>IF(ISBLANK(GlobBerMedDisc!$V$14),"",GlobBerMedDisc!$V$14)</f>
        <v/>
      </c>
      <c r="C273" s="99"/>
    </row>
    <row r="274" spans="1:6" s="208" customFormat="1" x14ac:dyDescent="0.2">
      <c r="A274" s="208" t="s">
        <v>1923</v>
      </c>
      <c r="B274" s="208" t="str">
        <f>IF(ISBLANK(GlobBerMedDisc!$V$15),"",GlobBerMedDisc!$V$15)</f>
        <v/>
      </c>
      <c r="C274" s="99"/>
    </row>
    <row r="275" spans="1:6" s="208" customFormat="1" x14ac:dyDescent="0.2">
      <c r="A275" s="208" t="s">
        <v>1924</v>
      </c>
      <c r="B275" s="208" t="str">
        <f>IF(ISBLANK(GlobBerMedDisc!$V$16),"",GlobBerMedDisc!$V$16)</f>
        <v/>
      </c>
      <c r="C275" s="99"/>
    </row>
    <row r="276" spans="1:6" s="208" customFormat="1" x14ac:dyDescent="0.2">
      <c r="A276" s="208" t="s">
        <v>1925</v>
      </c>
      <c r="B276" s="208" t="str">
        <f>IF(ISBLANK(GlobBerMedDisc!$V$17),"",GlobBerMedDisc!$V$17)</f>
        <v/>
      </c>
      <c r="C276" s="99"/>
    </row>
    <row r="277" spans="1:6" x14ac:dyDescent="0.2">
      <c r="A277" s="208" t="s">
        <v>1926</v>
      </c>
      <c r="B277" s="208" t="str">
        <f>IF(ISBLANK(GlobBerMedDisc!$V$18),"",GlobBerMedDisc!$V$18)</f>
        <v/>
      </c>
      <c r="C277" s="99"/>
      <c r="D277" s="208"/>
      <c r="E277" s="208"/>
      <c r="F277" s="208"/>
    </row>
    <row r="278" spans="1:6" x14ac:dyDescent="0.2">
      <c r="A278" s="208" t="s">
        <v>1927</v>
      </c>
      <c r="B278" s="208" t="str">
        <f>IF(ISBLANK(GlobBerMedDisc!$V$19),"",GlobBerMedDisc!$V$19)</f>
        <v/>
      </c>
      <c r="C278" s="99"/>
      <c r="D278" s="208"/>
      <c r="E278" s="208"/>
      <c r="F278" s="208"/>
    </row>
    <row r="279" spans="1:6" x14ac:dyDescent="0.2">
      <c r="A279" s="208" t="s">
        <v>1928</v>
      </c>
      <c r="B279" s="208" t="str">
        <f>IF(ISBLANK(GlobBerMedDisc!$V$20),"",GlobBerMedDisc!$V$20)</f>
        <v/>
      </c>
      <c r="C279" s="99"/>
      <c r="D279" s="208"/>
      <c r="E279" s="208"/>
      <c r="F279" s="208"/>
    </row>
    <row r="280" spans="1:6" x14ac:dyDescent="0.2">
      <c r="A280" s="208" t="s">
        <v>1929</v>
      </c>
      <c r="B280" s="208" t="str">
        <f>IF(ISBLANK(GlobBerMedDisc!$V$21),"",GlobBerMedDisc!$V$21)</f>
        <v/>
      </c>
      <c r="C280" s="99"/>
      <c r="D280" s="208"/>
      <c r="E280" s="208"/>
      <c r="F280" s="208"/>
    </row>
    <row r="281" spans="1:6" x14ac:dyDescent="0.2">
      <c r="A281" s="208" t="s">
        <v>1930</v>
      </c>
      <c r="B281" s="208" t="str">
        <f>IF(ISBLANK(GlobBerMedDisc!$V$22),"",GlobBerMedDisc!$V$22)</f>
        <v/>
      </c>
      <c r="C281" s="99"/>
      <c r="D281" s="208"/>
      <c r="E281" s="208"/>
      <c r="F281" s="208"/>
    </row>
    <row r="282" spans="1:6" x14ac:dyDescent="0.2">
      <c r="A282" s="208" t="s">
        <v>1931</v>
      </c>
      <c r="B282" s="208" t="str">
        <f>IF(ISBLANK(GlobBerMedDisc!$V$23),"",GlobBerMedDisc!$V$23)</f>
        <v/>
      </c>
      <c r="C282" s="99"/>
      <c r="D282" s="208"/>
      <c r="E282" s="208"/>
      <c r="F282" s="208"/>
    </row>
    <row r="283" spans="1:6" x14ac:dyDescent="0.2">
      <c r="A283" s="208" t="s">
        <v>1932</v>
      </c>
      <c r="B283" s="208" t="str">
        <f>IF(ISBLANK(GlobBerMedDisc!$V$24),"",GlobBerMedDisc!$V$24)</f>
        <v/>
      </c>
      <c r="C283" s="99"/>
      <c r="D283" s="208"/>
      <c r="E283" s="208"/>
      <c r="F283" s="208"/>
    </row>
    <row r="284" spans="1:6" x14ac:dyDescent="0.2">
      <c r="A284" s="208" t="s">
        <v>1933</v>
      </c>
      <c r="B284" s="208" t="str">
        <f>IF(ISBLANK(GlobBerMedDisc!$V$25),"",GlobBerMedDisc!$V$25)</f>
        <v/>
      </c>
      <c r="C284" s="99"/>
      <c r="D284" s="208"/>
      <c r="E284" s="208"/>
      <c r="F284" s="208"/>
    </row>
    <row r="285" spans="1:6" x14ac:dyDescent="0.2">
      <c r="A285" s="208" t="s">
        <v>1934</v>
      </c>
      <c r="B285" s="208" t="str">
        <f>IF(ISBLANK(GlobBerMedDisc!$V$26),"",GlobBerMedDisc!$V$26)</f>
        <v/>
      </c>
      <c r="C285" s="99"/>
      <c r="D285" s="208"/>
      <c r="E285" s="208"/>
      <c r="F285" s="208"/>
    </row>
    <row r="286" spans="1:6" x14ac:dyDescent="0.2">
      <c r="A286" s="208" t="s">
        <v>1935</v>
      </c>
      <c r="B286" s="208" t="str">
        <f>IF(ISBLANK(GlobBerMedDisc!$V$27),"",GlobBerMedDisc!$V$27)</f>
        <v/>
      </c>
      <c r="C286" s="99"/>
      <c r="D286" s="208"/>
      <c r="E286" s="208"/>
      <c r="F286" s="208"/>
    </row>
    <row r="287" spans="1:6" x14ac:dyDescent="0.2">
      <c r="A287" s="208" t="s">
        <v>1936</v>
      </c>
      <c r="B287" s="208" t="str">
        <f>IF(ISBLANK(GlobBerMedDisc!$V$28),"",GlobBerMedDisc!$V$28)</f>
        <v/>
      </c>
      <c r="C287" s="99"/>
      <c r="D287" s="208"/>
      <c r="E287" s="208"/>
      <c r="F287" s="208"/>
    </row>
    <row r="288" spans="1:6" x14ac:dyDescent="0.2">
      <c r="A288" s="208" t="s">
        <v>1937</v>
      </c>
      <c r="B288" s="208" t="str">
        <f>IF(ISBLANK(GlobBerMedDisc!$V$29),"",GlobBerMedDisc!$V$29)</f>
        <v/>
      </c>
      <c r="C288" s="99"/>
      <c r="D288" s="208"/>
      <c r="E288" s="208"/>
      <c r="F288" s="208"/>
    </row>
    <row r="289" spans="1:6" x14ac:dyDescent="0.2">
      <c r="A289" s="208" t="s">
        <v>1938</v>
      </c>
      <c r="B289" s="208" t="str">
        <f>IF(ISBLANK(GlobBerMedDisc!$V$30),"",GlobBerMedDisc!$V$30)</f>
        <v/>
      </c>
      <c r="C289" s="99"/>
      <c r="D289" s="208"/>
      <c r="E289" s="208"/>
      <c r="F289" s="208"/>
    </row>
    <row r="290" spans="1:6" x14ac:dyDescent="0.2">
      <c r="A290" s="208" t="s">
        <v>1939</v>
      </c>
      <c r="B290" s="208" t="str">
        <f>IF(ISBLANK(GlobBerMedDisc!$V$31),"",GlobBerMedDisc!$V$31)</f>
        <v/>
      </c>
      <c r="C290" s="99"/>
      <c r="D290" s="208"/>
      <c r="E290" s="208"/>
      <c r="F290" s="208"/>
    </row>
    <row r="291" spans="1:6" x14ac:dyDescent="0.2">
      <c r="A291" s="208" t="s">
        <v>1940</v>
      </c>
      <c r="B291" s="208" t="str">
        <f>IF(ISBLANK(GlobBerMedDisc!$B$2),"",GlobBerMedDisc!$B$2)</f>
        <v/>
      </c>
      <c r="C291" s="99"/>
      <c r="D291" s="208"/>
      <c r="E291" s="208"/>
      <c r="F291" s="208"/>
    </row>
    <row r="292" spans="1:6" x14ac:dyDescent="0.2">
      <c r="A292" s="208" t="s">
        <v>1941</v>
      </c>
      <c r="B292" s="208" t="str">
        <f>IF(ISBLANK(GlobBerMedDisc!$B$3),"",GlobBerMedDisc!$B$3)</f>
        <v/>
      </c>
      <c r="C292" s="99"/>
      <c r="D292" s="208"/>
      <c r="E292" s="208"/>
      <c r="F292" s="208"/>
    </row>
    <row r="293" spans="1:6" x14ac:dyDescent="0.2">
      <c r="A293" s="208" t="s">
        <v>1942</v>
      </c>
      <c r="B293" s="208" t="str">
        <f>IF(ISBLANK(GlobBerMedDisc!$B$4),"",GlobBerMedDisc!$B$4)</f>
        <v/>
      </c>
      <c r="C293" s="99"/>
      <c r="D293" s="208"/>
      <c r="E293" s="208"/>
      <c r="F293" s="208"/>
    </row>
    <row r="294" spans="1:6" x14ac:dyDescent="0.2">
      <c r="A294" s="208" t="s">
        <v>1943</v>
      </c>
      <c r="B294" s="208" t="str">
        <f>IF(ISBLANK(GlobBerMedDisc!$B$5),"",GlobBerMedDisc!$B$5)</f>
        <v/>
      </c>
      <c r="C294" s="99"/>
      <c r="D294" s="208"/>
      <c r="E294" s="208"/>
      <c r="F294" s="208"/>
    </row>
    <row r="295" spans="1:6" x14ac:dyDescent="0.2">
      <c r="A295" s="208" t="s">
        <v>1944</v>
      </c>
      <c r="B295" s="208" t="str">
        <f>IF(ISBLANK(GlobBerMedDisc!$B$6),"",GlobBerMedDisc!$B$6)</f>
        <v/>
      </c>
      <c r="C295" s="99"/>
      <c r="D295" s="208"/>
      <c r="E295" s="208"/>
      <c r="F295" s="208"/>
    </row>
    <row r="296" spans="1:6" s="208" customFormat="1" x14ac:dyDescent="0.2">
      <c r="A296" s="208" t="s">
        <v>1945</v>
      </c>
      <c r="B296" s="208" t="str">
        <f>IF(ISBLANK(GlobBerMedDisc!$B$7),"",GlobBerMedDisc!$B$7)</f>
        <v/>
      </c>
      <c r="C296" s="99"/>
    </row>
    <row r="297" spans="1:6" s="208" customFormat="1" x14ac:dyDescent="0.2">
      <c r="A297" s="208" t="s">
        <v>1946</v>
      </c>
      <c r="B297" s="208" t="str">
        <f>IF(ISBLANK(GlobBerMedDisc!$B$8),"",GlobBerMedDisc!$B$8)</f>
        <v/>
      </c>
      <c r="C297" s="99"/>
    </row>
    <row r="298" spans="1:6" s="208" customFormat="1" x14ac:dyDescent="0.2">
      <c r="A298" s="208" t="s">
        <v>1947</v>
      </c>
      <c r="B298" s="208" t="str">
        <f>IF(ISBLANK(GlobBerMedDisc!$B$9),"",GlobBerMedDisc!$B$9)</f>
        <v/>
      </c>
      <c r="C298" s="99"/>
    </row>
    <row r="299" spans="1:6" s="208" customFormat="1" x14ac:dyDescent="0.2">
      <c r="A299" s="208" t="s">
        <v>1948</v>
      </c>
      <c r="B299" s="208" t="str">
        <f>IF(ISBLANK(GlobBerMedDisc!$B$10),"",GlobBerMedDisc!$B$10)</f>
        <v/>
      </c>
      <c r="C299" s="99"/>
    </row>
    <row r="300" spans="1:6" s="208" customFormat="1" x14ac:dyDescent="0.2">
      <c r="A300" s="208" t="s">
        <v>1949</v>
      </c>
      <c r="B300" s="208" t="str">
        <f>IF(ISBLANK(GlobBerMedDisc!$B$11),"",GlobBerMedDisc!$B$11)</f>
        <v/>
      </c>
      <c r="C300" s="99"/>
    </row>
    <row r="301" spans="1:6" s="208" customFormat="1" x14ac:dyDescent="0.2">
      <c r="A301" s="208" t="s">
        <v>1950</v>
      </c>
      <c r="B301" s="208" t="str">
        <f>IF(ISBLANK(GlobBerMedDisc!$B$12),"",GlobBerMedDisc!$B$12)</f>
        <v/>
      </c>
      <c r="C301" s="99"/>
    </row>
    <row r="302" spans="1:6" s="208" customFormat="1" x14ac:dyDescent="0.2">
      <c r="A302" s="208" t="s">
        <v>1951</v>
      </c>
      <c r="B302" s="208" t="str">
        <f>IF(ISBLANK(GlobBerMedDisc!$B$13),"",GlobBerMedDisc!$B$13)</f>
        <v/>
      </c>
      <c r="C302" s="99"/>
    </row>
    <row r="303" spans="1:6" s="208" customFormat="1" x14ac:dyDescent="0.2">
      <c r="A303" s="208" t="s">
        <v>1952</v>
      </c>
      <c r="B303" s="208" t="str">
        <f>IF(ISBLANK(GlobBerMedDisc!$B$14),"",GlobBerMedDisc!$B$14)</f>
        <v/>
      </c>
      <c r="C303" s="99"/>
    </row>
    <row r="304" spans="1:6" s="208" customFormat="1" x14ac:dyDescent="0.2">
      <c r="A304" s="208" t="s">
        <v>1953</v>
      </c>
      <c r="B304" s="208" t="str">
        <f>IF(ISBLANK(GlobBerMedDisc!$B$15),"",GlobBerMedDisc!$B$15)</f>
        <v/>
      </c>
      <c r="C304" s="99"/>
    </row>
    <row r="305" spans="1:6" s="208" customFormat="1" x14ac:dyDescent="0.2">
      <c r="A305" s="208" t="s">
        <v>1954</v>
      </c>
      <c r="B305" s="208" t="str">
        <f>IF(ISBLANK(GlobBerMedDisc!$B$16),"",GlobBerMedDisc!$B$16)</f>
        <v/>
      </c>
      <c r="C305" s="99"/>
    </row>
    <row r="306" spans="1:6" x14ac:dyDescent="0.2">
      <c r="A306" s="208" t="s">
        <v>1955</v>
      </c>
      <c r="B306" s="208" t="str">
        <f>IF(ISBLANK(GlobBerMedDisc!$B$17),"",GlobBerMedDisc!$B$17)</f>
        <v/>
      </c>
      <c r="C306" s="99"/>
      <c r="D306" s="208"/>
      <c r="E306" s="208"/>
      <c r="F306" s="208"/>
    </row>
    <row r="307" spans="1:6" x14ac:dyDescent="0.2">
      <c r="A307" s="208" t="s">
        <v>1956</v>
      </c>
      <c r="B307" s="208" t="str">
        <f>IF(ISBLANK(GlobBerMedDisc!$B$18),"",GlobBerMedDisc!$B$18)</f>
        <v/>
      </c>
      <c r="C307" s="99"/>
      <c r="D307" s="208"/>
      <c r="E307" s="208"/>
      <c r="F307" s="208"/>
    </row>
    <row r="308" spans="1:6" x14ac:dyDescent="0.2">
      <c r="A308" s="208" t="s">
        <v>1957</v>
      </c>
      <c r="B308" s="208" t="str">
        <f>IF(ISBLANK(GlobBerMedDisc!$B$19),"",GlobBerMedDisc!$B$19)</f>
        <v/>
      </c>
      <c r="C308" s="99"/>
      <c r="D308" s="208"/>
      <c r="E308" s="208"/>
      <c r="F308" s="208"/>
    </row>
    <row r="309" spans="1:6" x14ac:dyDescent="0.2">
      <c r="A309" s="208" t="s">
        <v>1958</v>
      </c>
      <c r="B309" s="208" t="str">
        <f>IF(ISBLANK(GlobBerMedDisc!$B$20),"",GlobBerMedDisc!$B$20)</f>
        <v/>
      </c>
      <c r="C309" s="99"/>
      <c r="D309" s="208"/>
      <c r="E309" s="208"/>
      <c r="F309" s="208"/>
    </row>
    <row r="310" spans="1:6" x14ac:dyDescent="0.2">
      <c r="A310" s="208" t="s">
        <v>1959</v>
      </c>
      <c r="B310" s="208" t="str">
        <f>IF(ISBLANK(GlobBerMedDisc!$B$21),"",GlobBerMedDisc!$B$21)</f>
        <v/>
      </c>
      <c r="C310" s="99"/>
      <c r="D310" s="208"/>
      <c r="E310" s="208"/>
      <c r="F310" s="208"/>
    </row>
    <row r="311" spans="1:6" x14ac:dyDescent="0.2">
      <c r="A311" s="208" t="s">
        <v>1960</v>
      </c>
      <c r="B311" s="208" t="str">
        <f>IF(ISBLANK(GlobBerMedDisc!$B$22),"",GlobBerMedDisc!$B$22)</f>
        <v/>
      </c>
      <c r="C311" s="99"/>
      <c r="D311" s="208"/>
      <c r="E311" s="208"/>
      <c r="F311" s="208"/>
    </row>
    <row r="312" spans="1:6" x14ac:dyDescent="0.2">
      <c r="A312" s="208" t="s">
        <v>1961</v>
      </c>
      <c r="B312" s="208" t="str">
        <f>IF(ISBLANK(GlobBerMedDisc!$B$23),"",GlobBerMedDisc!$B$23)</f>
        <v/>
      </c>
      <c r="C312" s="99"/>
      <c r="D312" s="208"/>
      <c r="E312" s="208"/>
      <c r="F312" s="208"/>
    </row>
    <row r="313" spans="1:6" x14ac:dyDescent="0.2">
      <c r="A313" s="208" t="s">
        <v>1962</v>
      </c>
      <c r="B313" s="208" t="str">
        <f>IF(ISBLANK(GlobBerMedDisc!$B$24),"",GlobBerMedDisc!$B$24)</f>
        <v/>
      </c>
      <c r="C313" s="99"/>
      <c r="D313" s="208"/>
      <c r="E313" s="208"/>
      <c r="F313" s="208"/>
    </row>
    <row r="314" spans="1:6" x14ac:dyDescent="0.2">
      <c r="A314" s="208" t="s">
        <v>1963</v>
      </c>
      <c r="B314" s="208" t="str">
        <f>IF(ISBLANK(GlobBerMedDisc!$B$25),"",GlobBerMedDisc!$B$25)</f>
        <v/>
      </c>
      <c r="C314" s="99"/>
      <c r="D314" s="208"/>
      <c r="E314" s="208"/>
      <c r="F314" s="208"/>
    </row>
    <row r="315" spans="1:6" x14ac:dyDescent="0.2">
      <c r="A315" s="208" t="s">
        <v>1964</v>
      </c>
      <c r="B315" s="208" t="str">
        <f>IF(ISBLANK(GlobBerMedDisc!$B$26),"",GlobBerMedDisc!$B$26)</f>
        <v/>
      </c>
      <c r="C315" s="99"/>
      <c r="D315" s="208"/>
      <c r="E315" s="208"/>
      <c r="F315" s="208"/>
    </row>
    <row r="316" spans="1:6" x14ac:dyDescent="0.2">
      <c r="A316" s="208" t="s">
        <v>1965</v>
      </c>
      <c r="B316" s="208" t="str">
        <f>IF(ISBLANK(GlobBerMedDisc!$B$27),"",GlobBerMedDisc!$B$27)</f>
        <v/>
      </c>
      <c r="C316" s="99"/>
      <c r="D316" s="208"/>
      <c r="E316" s="208"/>
      <c r="F316" s="208"/>
    </row>
    <row r="317" spans="1:6" x14ac:dyDescent="0.2">
      <c r="A317" s="208" t="s">
        <v>1966</v>
      </c>
      <c r="B317" s="208" t="str">
        <f>IF(ISBLANK(GlobBerMedDisc!$B$28),"",GlobBerMedDisc!$B$28)</f>
        <v/>
      </c>
      <c r="C317" s="99"/>
      <c r="D317" s="208"/>
      <c r="E317" s="208"/>
      <c r="F317" s="208"/>
    </row>
    <row r="318" spans="1:6" x14ac:dyDescent="0.2">
      <c r="A318" s="208" t="s">
        <v>1967</v>
      </c>
      <c r="B318" s="208" t="str">
        <f>IF(ISBLANK(GlobBerMedDisc!$B$29),"",GlobBerMedDisc!$B$29)</f>
        <v/>
      </c>
      <c r="C318" s="99"/>
      <c r="D318" s="208"/>
      <c r="E318" s="208"/>
      <c r="F318" s="208"/>
    </row>
    <row r="319" spans="1:6" x14ac:dyDescent="0.2">
      <c r="A319" s="208" t="s">
        <v>1968</v>
      </c>
      <c r="B319" s="208" t="str">
        <f>IF(ISBLANK(GlobBerMedDisc!$B$30),"",GlobBerMedDisc!$B$30)</f>
        <v/>
      </c>
      <c r="C319" s="99"/>
      <c r="D319" s="208"/>
      <c r="E319" s="208"/>
      <c r="F319" s="208"/>
    </row>
    <row r="320" spans="1:6" x14ac:dyDescent="0.2">
      <c r="A320" s="208" t="s">
        <v>1969</v>
      </c>
      <c r="B320" s="208" t="str">
        <f>IF(ISBLANK(GlobBerMedDisc!$B$31),"",GlobBerMedDisc!$B$31)</f>
        <v/>
      </c>
      <c r="C320" s="99"/>
      <c r="D320" s="208"/>
      <c r="E320" s="208"/>
      <c r="F320" s="208"/>
    </row>
    <row r="321" spans="1:8" x14ac:dyDescent="0.2">
      <c r="A321" s="208" t="s">
        <v>1970</v>
      </c>
      <c r="B321" s="208">
        <f>IF(ISBLANK(GlobBerMedDisc!$R$2),"",GlobBerMedDisc!$R$2)</f>
        <v>0</v>
      </c>
      <c r="C321" s="210">
        <v>0</v>
      </c>
      <c r="D321" s="208"/>
      <c r="E321" s="208"/>
    </row>
    <row r="322" spans="1:8" x14ac:dyDescent="0.2">
      <c r="A322" s="208" t="s">
        <v>1971</v>
      </c>
      <c r="B322" s="208">
        <f>IF(ISBLANK(GlobBerMedDisc!$R$3),"",GlobBerMedDisc!$R$3)</f>
        <v>0</v>
      </c>
      <c r="C322" s="210">
        <v>0</v>
      </c>
      <c r="D322" s="208"/>
      <c r="E322" s="208"/>
    </row>
    <row r="323" spans="1:8" x14ac:dyDescent="0.2">
      <c r="A323" s="208" t="s">
        <v>1972</v>
      </c>
      <c r="B323" s="208">
        <f>IF(ISBLANK(GlobBerMedDisc!$R$4),"",GlobBerMedDisc!$R$4)</f>
        <v>0</v>
      </c>
      <c r="C323" s="210">
        <v>0</v>
      </c>
      <c r="D323" s="208"/>
      <c r="E323" s="208"/>
      <c r="G323" s="208"/>
      <c r="H323" s="208"/>
    </row>
    <row r="324" spans="1:8" x14ac:dyDescent="0.2">
      <c r="A324" s="208" t="s">
        <v>1973</v>
      </c>
      <c r="B324" s="208">
        <f>IF(ISBLANK(GlobBerMedDisc!$R$5),"",GlobBerMedDisc!$R$5)</f>
        <v>0</v>
      </c>
      <c r="C324" s="210">
        <v>0</v>
      </c>
      <c r="D324" s="208"/>
      <c r="E324" s="208"/>
      <c r="G324" s="208"/>
      <c r="H324" s="208"/>
    </row>
    <row r="325" spans="1:8" x14ac:dyDescent="0.2">
      <c r="A325" s="208" t="s">
        <v>1974</v>
      </c>
      <c r="B325" s="208">
        <f>IF(ISBLANK(GlobBerMedDisc!$R$6),"",GlobBerMedDisc!$R$6)</f>
        <v>0</v>
      </c>
      <c r="C325" s="210">
        <v>0</v>
      </c>
      <c r="D325" s="208"/>
      <c r="E325" s="208"/>
      <c r="G325" s="208"/>
      <c r="H325" s="208"/>
    </row>
    <row r="326" spans="1:8" x14ac:dyDescent="0.2">
      <c r="A326" s="208" t="s">
        <v>1975</v>
      </c>
      <c r="B326" s="208">
        <f>IF(ISBLANK(GlobBerMedDisc!$R$7),"",GlobBerMedDisc!$R$7)</f>
        <v>0</v>
      </c>
      <c r="C326" s="210">
        <v>0</v>
      </c>
      <c r="D326" s="208"/>
      <c r="E326" s="208"/>
      <c r="G326" s="208"/>
      <c r="H326" s="208"/>
    </row>
    <row r="327" spans="1:8" x14ac:dyDescent="0.2">
      <c r="A327" s="208" t="s">
        <v>1976</v>
      </c>
      <c r="B327" s="208">
        <f>IF(ISBLANK(GlobBerMedDisc!$R$8),"",GlobBerMedDisc!$R$8)</f>
        <v>0</v>
      </c>
      <c r="C327" s="210">
        <v>0</v>
      </c>
      <c r="D327" s="208"/>
      <c r="E327" s="208"/>
      <c r="G327" s="208"/>
      <c r="H327" s="208"/>
    </row>
    <row r="328" spans="1:8" x14ac:dyDescent="0.2">
      <c r="A328" s="208" t="s">
        <v>1977</v>
      </c>
      <c r="B328" s="208">
        <f>IF(ISBLANK(GlobBerMedDisc!$R$9),"",GlobBerMedDisc!$R$9)</f>
        <v>0</v>
      </c>
      <c r="C328" s="210">
        <v>0</v>
      </c>
      <c r="D328" s="208"/>
      <c r="E328" s="208"/>
      <c r="G328" s="208"/>
      <c r="H328" s="208"/>
    </row>
    <row r="329" spans="1:8" x14ac:dyDescent="0.2">
      <c r="A329" s="208" t="s">
        <v>1978</v>
      </c>
      <c r="B329" s="208">
        <f>IF(ISBLANK(GlobBerMedDisc!$R$10),"",GlobBerMedDisc!$R$10)</f>
        <v>0</v>
      </c>
      <c r="C329" s="210">
        <v>0</v>
      </c>
      <c r="D329" s="208"/>
      <c r="E329" s="208"/>
      <c r="G329" s="208"/>
      <c r="H329" s="208"/>
    </row>
    <row r="330" spans="1:8" x14ac:dyDescent="0.2">
      <c r="A330" s="208" t="s">
        <v>1979</v>
      </c>
      <c r="B330" s="208">
        <f>IF(ISBLANK(GlobBerMedDisc!$R$11),"",GlobBerMedDisc!$R$11)</f>
        <v>0</v>
      </c>
      <c r="C330" s="210">
        <v>0</v>
      </c>
      <c r="D330" s="208"/>
      <c r="E330" s="208"/>
      <c r="G330" s="208"/>
      <c r="H330" s="208"/>
    </row>
    <row r="331" spans="1:8" x14ac:dyDescent="0.2">
      <c r="A331" s="208" t="s">
        <v>1980</v>
      </c>
      <c r="B331" s="208">
        <f>IF(ISBLANK(GlobBerMedDisc!$R$12),"",GlobBerMedDisc!$R$12)</f>
        <v>0</v>
      </c>
      <c r="C331" s="210">
        <v>0</v>
      </c>
      <c r="D331" s="208"/>
      <c r="E331" s="208"/>
      <c r="G331" s="208"/>
      <c r="H331" s="208"/>
    </row>
    <row r="332" spans="1:8" x14ac:dyDescent="0.2">
      <c r="A332" s="208" t="s">
        <v>1981</v>
      </c>
      <c r="B332" s="208">
        <f>IF(ISBLANK(GlobBerMedDisc!$R$13),"",GlobBerMedDisc!$R$13)</f>
        <v>0</v>
      </c>
      <c r="C332" s="210">
        <v>0</v>
      </c>
      <c r="D332" s="208"/>
      <c r="E332" s="208"/>
      <c r="G332" s="208"/>
      <c r="H332" s="208"/>
    </row>
    <row r="333" spans="1:8" x14ac:dyDescent="0.2">
      <c r="A333" s="208" t="s">
        <v>1982</v>
      </c>
      <c r="B333" s="208">
        <f>IF(ISBLANK(GlobBerMedDisc!$R$14),"",GlobBerMedDisc!$R$14)</f>
        <v>0</v>
      </c>
      <c r="C333" s="210">
        <v>0</v>
      </c>
      <c r="D333" s="208"/>
      <c r="E333" s="208"/>
      <c r="G333" s="208"/>
      <c r="H333" s="208"/>
    </row>
    <row r="334" spans="1:8" x14ac:dyDescent="0.2">
      <c r="A334" s="208" t="s">
        <v>1983</v>
      </c>
      <c r="B334" s="208">
        <f>IF(ISBLANK(GlobBerMedDisc!$R$15),"",GlobBerMedDisc!$R$15)</f>
        <v>0</v>
      </c>
      <c r="C334" s="210">
        <v>0</v>
      </c>
      <c r="D334" s="208"/>
      <c r="E334" s="208"/>
    </row>
    <row r="335" spans="1:8" x14ac:dyDescent="0.2">
      <c r="A335" s="208" t="s">
        <v>1984</v>
      </c>
      <c r="B335" s="208">
        <f>IF(ISBLANK(GlobBerMedDisc!$R$16),"",GlobBerMedDisc!$R$16)</f>
        <v>0</v>
      </c>
      <c r="C335" s="210">
        <v>0</v>
      </c>
      <c r="D335" s="208"/>
      <c r="E335" s="208"/>
    </row>
    <row r="336" spans="1:8" x14ac:dyDescent="0.2">
      <c r="A336" s="208" t="s">
        <v>1985</v>
      </c>
      <c r="B336" s="208">
        <f>IF(ISBLANK(GlobBerMedDisc!$R$17),"",GlobBerMedDisc!$R$17)</f>
        <v>0</v>
      </c>
      <c r="C336" s="210">
        <v>0</v>
      </c>
      <c r="D336" s="208"/>
      <c r="E336" s="208"/>
    </row>
    <row r="337" spans="1:5" s="208" customFormat="1" x14ac:dyDescent="0.2">
      <c r="A337" s="208" t="s">
        <v>1986</v>
      </c>
      <c r="B337" s="208">
        <f>IF(ISBLANK(GlobBerMedDisc!$R$18),"",GlobBerMedDisc!$R$18)</f>
        <v>0</v>
      </c>
      <c r="C337" s="210">
        <v>0</v>
      </c>
    </row>
    <row r="338" spans="1:5" s="208" customFormat="1" x14ac:dyDescent="0.2">
      <c r="A338" s="208" t="s">
        <v>1987</v>
      </c>
      <c r="B338" s="208">
        <f>IF(ISBLANK(GlobBerMedDisc!$R$19),"",GlobBerMedDisc!$R$19)</f>
        <v>0</v>
      </c>
      <c r="C338" s="210">
        <v>0</v>
      </c>
    </row>
    <row r="339" spans="1:5" s="208" customFormat="1" x14ac:dyDescent="0.2">
      <c r="A339" s="208" t="s">
        <v>1988</v>
      </c>
      <c r="B339" s="208">
        <f>IF(ISBLANK(GlobBerMedDisc!$R$20),"",GlobBerMedDisc!$R$20)</f>
        <v>0</v>
      </c>
      <c r="C339" s="210">
        <v>0</v>
      </c>
    </row>
    <row r="340" spans="1:5" s="208" customFormat="1" x14ac:dyDescent="0.2">
      <c r="A340" s="208" t="s">
        <v>1989</v>
      </c>
      <c r="B340" s="208">
        <f>IF(ISBLANK(GlobBerMedDisc!$R$21),"",GlobBerMedDisc!$R$21)</f>
        <v>0</v>
      </c>
      <c r="C340" s="210">
        <v>0</v>
      </c>
    </row>
    <row r="341" spans="1:5" s="208" customFormat="1" x14ac:dyDescent="0.2">
      <c r="A341" s="208" t="s">
        <v>1990</v>
      </c>
      <c r="B341" s="208">
        <f>IF(ISBLANK(GlobBerMedDisc!$R$22),"",GlobBerMedDisc!$R$22)</f>
        <v>0</v>
      </c>
      <c r="C341" s="210">
        <v>0</v>
      </c>
    </row>
    <row r="342" spans="1:5" s="208" customFormat="1" x14ac:dyDescent="0.2">
      <c r="A342" s="208" t="s">
        <v>1991</v>
      </c>
      <c r="B342" s="208">
        <f>IF(ISBLANK(GlobBerMedDisc!$R$23),"",GlobBerMedDisc!$R$23)</f>
        <v>0</v>
      </c>
      <c r="C342" s="210">
        <v>0</v>
      </c>
    </row>
    <row r="343" spans="1:5" s="208" customFormat="1" x14ac:dyDescent="0.2">
      <c r="A343" s="208" t="s">
        <v>1992</v>
      </c>
      <c r="B343" s="208">
        <f>IF(ISBLANK(GlobBerMedDisc!$R$24),"",GlobBerMedDisc!$R$24)</f>
        <v>0</v>
      </c>
      <c r="C343" s="210">
        <v>0</v>
      </c>
    </row>
    <row r="344" spans="1:5" s="208" customFormat="1" x14ac:dyDescent="0.2">
      <c r="A344" s="208" t="s">
        <v>1993</v>
      </c>
      <c r="B344" s="208">
        <f>IF(ISBLANK(GlobBerMedDisc!$R$25),"",GlobBerMedDisc!$R$25)</f>
        <v>0</v>
      </c>
      <c r="C344" s="210">
        <v>0</v>
      </c>
    </row>
    <row r="345" spans="1:5" s="208" customFormat="1" x14ac:dyDescent="0.2">
      <c r="A345" s="208" t="s">
        <v>1994</v>
      </c>
      <c r="B345" s="208">
        <f>IF(ISBLANK(GlobBerMedDisc!$R$26),"",GlobBerMedDisc!$R$26)</f>
        <v>0</v>
      </c>
      <c r="C345" s="210">
        <v>0</v>
      </c>
    </row>
    <row r="346" spans="1:5" s="208" customFormat="1" x14ac:dyDescent="0.2">
      <c r="A346" s="208" t="s">
        <v>1995</v>
      </c>
      <c r="B346" s="208">
        <f>IF(ISBLANK(GlobBerMedDisc!$R$27),"",GlobBerMedDisc!$R$27)</f>
        <v>0</v>
      </c>
      <c r="C346" s="210">
        <v>0</v>
      </c>
    </row>
    <row r="347" spans="1:5" s="208" customFormat="1" x14ac:dyDescent="0.2">
      <c r="A347" s="208" t="s">
        <v>1996</v>
      </c>
      <c r="B347" s="208">
        <f>IF(ISBLANK(GlobBerMedDisc!$R$28),"",GlobBerMedDisc!$R$28)</f>
        <v>0</v>
      </c>
      <c r="C347" s="210">
        <v>0</v>
      </c>
    </row>
    <row r="348" spans="1:5" s="208" customFormat="1" x14ac:dyDescent="0.2">
      <c r="A348" s="208" t="s">
        <v>1997</v>
      </c>
      <c r="B348" s="208">
        <f>IF(ISBLANK(GlobBerMedDisc!$R$29),"",GlobBerMedDisc!$R$29)</f>
        <v>0</v>
      </c>
      <c r="C348" s="210">
        <v>0</v>
      </c>
    </row>
    <row r="349" spans="1:5" s="208" customFormat="1" x14ac:dyDescent="0.2">
      <c r="A349" s="208" t="s">
        <v>1998</v>
      </c>
      <c r="B349" s="208">
        <f>IF(ISBLANK(GlobBerMedDisc!$R$30),"",GlobBerMedDisc!$R$30)</f>
        <v>0</v>
      </c>
      <c r="C349" s="210">
        <v>0</v>
      </c>
    </row>
    <row r="350" spans="1:5" s="208" customFormat="1" x14ac:dyDescent="0.2">
      <c r="A350" s="208" t="s">
        <v>1999</v>
      </c>
      <c r="B350" s="208">
        <f>IF(ISBLANK(GlobBerMedDisc!$R$31),"",GlobBerMedDisc!$R$31)</f>
        <v>0</v>
      </c>
      <c r="C350" s="210">
        <v>0</v>
      </c>
    </row>
    <row r="351" spans="1:5" s="208" customFormat="1" x14ac:dyDescent="0.2">
      <c r="A351" s="208" t="s">
        <v>5540</v>
      </c>
      <c r="B351" t="str">
        <f>IF(ISBLANK(GlobBerMedDisc!$AX$2),"",GlobBerMedDisc!$AX$2)</f>
        <v/>
      </c>
      <c r="C351" s="99"/>
      <c r="D351"/>
      <c r="E351"/>
    </row>
    <row r="352" spans="1:5" s="208" customFormat="1" x14ac:dyDescent="0.2">
      <c r="A352" s="208" t="s">
        <v>5542</v>
      </c>
      <c r="B352" t="str">
        <f>IF(ISBLANK(GlobBerMedDisc!$AX$3),"",GlobBerMedDisc!$AX$3)</f>
        <v/>
      </c>
      <c r="C352" s="99"/>
      <c r="D352"/>
      <c r="E352"/>
    </row>
    <row r="353" spans="1:6" s="208" customFormat="1" x14ac:dyDescent="0.2">
      <c r="A353" s="208" t="s">
        <v>5544</v>
      </c>
      <c r="B353" t="str">
        <f>IF(ISBLANK(GlobBerMedDisc!$AX$4),"",GlobBerMedDisc!$AX$4)</f>
        <v/>
      </c>
      <c r="C353" s="99"/>
      <c r="D353"/>
      <c r="E353"/>
    </row>
    <row r="354" spans="1:6" s="208" customFormat="1" x14ac:dyDescent="0.2">
      <c r="A354" s="208" t="s">
        <v>5546</v>
      </c>
      <c r="B354" t="str">
        <f>IF(ISBLANK(GlobBerMedDisc!$AX$5),"",GlobBerMedDisc!$AX$5)</f>
        <v/>
      </c>
      <c r="C354" s="99"/>
      <c r="D354"/>
      <c r="E354"/>
    </row>
    <row r="355" spans="1:6" s="208" customFormat="1" x14ac:dyDescent="0.2">
      <c r="A355" s="208" t="s">
        <v>5548</v>
      </c>
      <c r="B355" t="str">
        <f>IF(ISBLANK(GlobBerMedDisc!$AX$6),"",GlobBerMedDisc!$AX$6)</f>
        <v/>
      </c>
      <c r="C355" s="99"/>
      <c r="D355"/>
      <c r="E355"/>
    </row>
    <row r="356" spans="1:6" s="208" customFormat="1" x14ac:dyDescent="0.2">
      <c r="A356" s="208" t="s">
        <v>5550</v>
      </c>
      <c r="B356" t="str">
        <f>IF(ISBLANK(GlobBerMedDisc!$AX$7),"",GlobBerMedDisc!$AX$7)</f>
        <v/>
      </c>
      <c r="C356" s="99"/>
      <c r="D356"/>
      <c r="E356"/>
    </row>
    <row r="357" spans="1:6" s="208" customFormat="1" x14ac:dyDescent="0.2">
      <c r="A357" s="208" t="s">
        <v>5552</v>
      </c>
      <c r="B357" t="str">
        <f>IF(ISBLANK(GlobBerMedDisc!$AX$8),"",GlobBerMedDisc!$AX$8)</f>
        <v/>
      </c>
      <c r="C357" s="99"/>
      <c r="D357"/>
      <c r="E357"/>
    </row>
    <row r="358" spans="1:6" s="208" customFormat="1" x14ac:dyDescent="0.2">
      <c r="A358" s="208" t="s">
        <v>5554</v>
      </c>
      <c r="B358" t="str">
        <f>IF(ISBLANK(GlobBerMedDisc!$AX$9),"",GlobBerMedDisc!$AX$9)</f>
        <v/>
      </c>
      <c r="C358" s="99"/>
      <c r="D358"/>
      <c r="E358"/>
    </row>
    <row r="359" spans="1:6" s="208" customFormat="1" x14ac:dyDescent="0.2">
      <c r="A359" s="208" t="s">
        <v>5556</v>
      </c>
      <c r="B359" t="str">
        <f>IF(ISBLANK(GlobBerMedDisc!$AX$10),"",GlobBerMedDisc!$AX$10)</f>
        <v/>
      </c>
      <c r="C359" s="99"/>
      <c r="D359"/>
      <c r="E359"/>
    </row>
    <row r="360" spans="1:6" s="208" customFormat="1" x14ac:dyDescent="0.2">
      <c r="A360" s="208" t="s">
        <v>5558</v>
      </c>
      <c r="B360" t="str">
        <f>IF(ISBLANK(GlobBerMedDisc!$AX$11),"",GlobBerMedDisc!$AX$11)</f>
        <v/>
      </c>
      <c r="C360" s="99"/>
      <c r="D360"/>
      <c r="E360"/>
    </row>
    <row r="361" spans="1:6" s="208" customFormat="1" x14ac:dyDescent="0.2">
      <c r="A361" s="208" t="s">
        <v>5560</v>
      </c>
      <c r="B361" t="str">
        <f>IF(ISBLANK(GlobBerMedDisc!$AX$12),"",GlobBerMedDisc!$AX$12)</f>
        <v/>
      </c>
      <c r="C361" s="99"/>
      <c r="D361"/>
      <c r="E361"/>
    </row>
    <row r="362" spans="1:6" s="208" customFormat="1" x14ac:dyDescent="0.2">
      <c r="A362" s="208" t="s">
        <v>5562</v>
      </c>
      <c r="B362" t="str">
        <f>IF(ISBLANK(GlobBerMedDisc!$AX$13),"",GlobBerMedDisc!$AX$13)</f>
        <v/>
      </c>
      <c r="C362" s="99"/>
      <c r="D362"/>
      <c r="E362"/>
    </row>
    <row r="363" spans="1:6" s="208" customFormat="1" x14ac:dyDescent="0.2">
      <c r="A363" s="208" t="s">
        <v>5564</v>
      </c>
      <c r="B363" t="str">
        <f>IF(ISBLANK(GlobBerMedDisc!$AX$14),"",GlobBerMedDisc!$AX$14)</f>
        <v/>
      </c>
      <c r="C363" s="99"/>
      <c r="D363"/>
      <c r="E363"/>
    </row>
    <row r="364" spans="1:6" s="208" customFormat="1" x14ac:dyDescent="0.2">
      <c r="A364" s="208" t="s">
        <v>5566</v>
      </c>
      <c r="B364" t="str">
        <f>IF(ISBLANK(GlobBerMedDisc!$AX$15),"",GlobBerMedDisc!$AX$15)</f>
        <v/>
      </c>
      <c r="C364" s="99"/>
      <c r="D364"/>
      <c r="E364"/>
    </row>
    <row r="365" spans="1:6" s="208" customFormat="1" x14ac:dyDescent="0.2">
      <c r="A365" s="208" t="s">
        <v>5568</v>
      </c>
      <c r="B365" t="str">
        <f>IF(ISBLANK(GlobBerMedDisc!$AX$16),"",GlobBerMedDisc!$AX$16)</f>
        <v/>
      </c>
      <c r="C365" s="99"/>
      <c r="D365"/>
      <c r="E365"/>
    </row>
    <row r="366" spans="1:6" s="208" customFormat="1" x14ac:dyDescent="0.2">
      <c r="A366" s="208" t="s">
        <v>5570</v>
      </c>
      <c r="B366" t="str">
        <f>IF(ISBLANK(GlobBerMedDisc!$AX$17),"",GlobBerMedDisc!$AX$17)</f>
        <v/>
      </c>
      <c r="C366" s="99"/>
      <c r="D366"/>
      <c r="E366"/>
    </row>
    <row r="367" spans="1:6" s="208" customFormat="1" x14ac:dyDescent="0.2">
      <c r="A367" s="208" t="s">
        <v>5572</v>
      </c>
      <c r="B367" t="str">
        <f>IF(ISBLANK(GlobBerMedDisc!$AX$18),"",GlobBerMedDisc!$AX$18)</f>
        <v/>
      </c>
      <c r="C367" s="99"/>
      <c r="F367"/>
    </row>
    <row r="368" spans="1:6" s="208" customFormat="1" x14ac:dyDescent="0.2">
      <c r="A368" s="208" t="s">
        <v>5574</v>
      </c>
      <c r="B368" t="str">
        <f>IF(ISBLANK(GlobBerMedDisc!$AX$19),"",GlobBerMedDisc!$AX$19)</f>
        <v/>
      </c>
      <c r="C368" s="99"/>
      <c r="F368"/>
    </row>
    <row r="369" spans="1:6" s="208" customFormat="1" x14ac:dyDescent="0.2">
      <c r="A369" s="208" t="s">
        <v>5576</v>
      </c>
      <c r="B369" t="str">
        <f>IF(ISBLANK(GlobBerMedDisc!$AX$20),"",GlobBerMedDisc!$AX$20)</f>
        <v/>
      </c>
      <c r="C369" s="99"/>
      <c r="F369"/>
    </row>
    <row r="370" spans="1:6" s="208" customFormat="1" x14ac:dyDescent="0.2">
      <c r="A370" s="208" t="s">
        <v>5578</v>
      </c>
      <c r="B370" t="str">
        <f>IF(ISBLANK(GlobBerMedDisc!$AX$21),"",GlobBerMedDisc!$AX$21)</f>
        <v/>
      </c>
      <c r="C370" s="99"/>
      <c r="F370"/>
    </row>
    <row r="371" spans="1:6" s="208" customFormat="1" x14ac:dyDescent="0.2">
      <c r="A371" s="208" t="s">
        <v>5580</v>
      </c>
      <c r="B371" t="str">
        <f>IF(ISBLANK(GlobBerMedDisc!$AX$22),"",GlobBerMedDisc!$AX$22)</f>
        <v/>
      </c>
      <c r="C371" s="99"/>
      <c r="F371"/>
    </row>
    <row r="372" spans="1:6" s="208" customFormat="1" x14ac:dyDescent="0.2">
      <c r="A372" s="208" t="s">
        <v>5582</v>
      </c>
      <c r="B372" t="str">
        <f>IF(ISBLANK(GlobBerMedDisc!$AX$23),"",GlobBerMedDisc!$AX$23)</f>
        <v/>
      </c>
      <c r="C372" s="99"/>
      <c r="F372"/>
    </row>
    <row r="373" spans="1:6" s="208" customFormat="1" x14ac:dyDescent="0.2">
      <c r="A373" s="208" t="s">
        <v>5584</v>
      </c>
      <c r="B373" t="str">
        <f>IF(ISBLANK(GlobBerMedDisc!$AX$24),"",GlobBerMedDisc!$AX$24)</f>
        <v/>
      </c>
      <c r="C373" s="99"/>
      <c r="F373"/>
    </row>
    <row r="374" spans="1:6" s="208" customFormat="1" x14ac:dyDescent="0.2">
      <c r="A374" s="208" t="s">
        <v>5586</v>
      </c>
      <c r="B374" t="str">
        <f>IF(ISBLANK(GlobBerMedDisc!$AX$25),"",GlobBerMedDisc!$AX$25)</f>
        <v/>
      </c>
      <c r="C374" s="99"/>
      <c r="F374"/>
    </row>
    <row r="375" spans="1:6" s="208" customFormat="1" x14ac:dyDescent="0.2">
      <c r="A375" s="208" t="s">
        <v>5588</v>
      </c>
      <c r="B375" t="str">
        <f>IF(ISBLANK(GlobBerMedDisc!$AX$26),"",GlobBerMedDisc!$AX$26)</f>
        <v/>
      </c>
      <c r="C375" s="99"/>
      <c r="F375"/>
    </row>
    <row r="376" spans="1:6" s="208" customFormat="1" x14ac:dyDescent="0.2">
      <c r="A376" s="208" t="s">
        <v>5590</v>
      </c>
      <c r="B376" t="str">
        <f>IF(ISBLANK(GlobBerMedDisc!$AX$27),"",GlobBerMedDisc!$AX$27)</f>
        <v/>
      </c>
      <c r="C376" s="99"/>
      <c r="F376"/>
    </row>
    <row r="377" spans="1:6" s="208" customFormat="1" x14ac:dyDescent="0.2">
      <c r="A377" s="208" t="s">
        <v>5592</v>
      </c>
      <c r="B377" t="str">
        <f>IF(ISBLANK(GlobBerMedDisc!$AX$28),"",GlobBerMedDisc!$AX$28)</f>
        <v/>
      </c>
      <c r="C377" s="99"/>
      <c r="F377"/>
    </row>
    <row r="378" spans="1:6" s="208" customFormat="1" x14ac:dyDescent="0.2">
      <c r="A378" s="208" t="s">
        <v>5594</v>
      </c>
      <c r="B378" t="str">
        <f>IF(ISBLANK(GlobBerMedDisc!$AX$29),"",GlobBerMedDisc!$AX$29)</f>
        <v/>
      </c>
      <c r="C378" s="99"/>
      <c r="F378"/>
    </row>
    <row r="379" spans="1:6" s="208" customFormat="1" x14ac:dyDescent="0.2">
      <c r="A379" s="208" t="s">
        <v>5596</v>
      </c>
      <c r="B379" t="str">
        <f>IF(ISBLANK(GlobBerMedDisc!$AX$30),"",GlobBerMedDisc!$AX$30)</f>
        <v/>
      </c>
      <c r="C379" s="99"/>
      <c r="F379"/>
    </row>
    <row r="380" spans="1:6" s="208" customFormat="1" x14ac:dyDescent="0.2">
      <c r="A380" s="208" t="s">
        <v>5598</v>
      </c>
      <c r="B380" t="str">
        <f>IF(ISBLANK(GlobBerMedDisc!$AX$31),"",GlobBerMedDisc!$AX$31)</f>
        <v/>
      </c>
      <c r="C380" s="99"/>
      <c r="F380"/>
    </row>
    <row r="381" spans="1:6" s="208" customFormat="1" x14ac:dyDescent="0.2">
      <c r="A381" s="208" t="s">
        <v>5888</v>
      </c>
      <c r="B381" s="208" t="str">
        <f>IF(ISBLANK(GlobBerMedDisc!$BJ$2),"",GlobBerMedDisc!$BJ$2)</f>
        <v/>
      </c>
      <c r="F381"/>
    </row>
    <row r="382" spans="1:6" s="208" customFormat="1" x14ac:dyDescent="0.2">
      <c r="A382" s="208" t="s">
        <v>5890</v>
      </c>
      <c r="B382" s="208" t="str">
        <f>IF(ISBLANK(GlobBerMedDisc!$BJ$3),"",GlobBerMedDisc!$BJ$3)</f>
        <v/>
      </c>
      <c r="F382"/>
    </row>
    <row r="383" spans="1:6" s="208" customFormat="1" x14ac:dyDescent="0.2">
      <c r="A383" s="208" t="s">
        <v>5892</v>
      </c>
      <c r="B383" s="208" t="str">
        <f>IF(ISBLANK(GlobBerMedDisc!$BJ$4),"",GlobBerMedDisc!$BJ$4)</f>
        <v/>
      </c>
      <c r="F383"/>
    </row>
    <row r="384" spans="1:6" s="208" customFormat="1" x14ac:dyDescent="0.2">
      <c r="A384" s="208" t="s">
        <v>5894</v>
      </c>
      <c r="B384" s="208" t="str">
        <f>IF(ISBLANK(GlobBerMedDisc!$BJ$5),"",GlobBerMedDisc!$BJ$5)</f>
        <v/>
      </c>
      <c r="F384"/>
    </row>
    <row r="385" spans="1:6" s="208" customFormat="1" x14ac:dyDescent="0.2">
      <c r="A385" s="208" t="s">
        <v>5896</v>
      </c>
      <c r="B385" s="208" t="str">
        <f>IF(ISBLANK(GlobBerMedDisc!$BJ$6),"",GlobBerMedDisc!$BJ$6)</f>
        <v/>
      </c>
      <c r="F385"/>
    </row>
    <row r="386" spans="1:6" s="208" customFormat="1" x14ac:dyDescent="0.2">
      <c r="A386" s="208" t="s">
        <v>5898</v>
      </c>
      <c r="B386" s="208" t="str">
        <f>IF(ISBLANK(GlobBerMedDisc!$BJ$7),"",GlobBerMedDisc!$BJ$7)</f>
        <v/>
      </c>
    </row>
    <row r="387" spans="1:6" s="208" customFormat="1" x14ac:dyDescent="0.2">
      <c r="A387" s="208" t="s">
        <v>5900</v>
      </c>
      <c r="B387" s="208" t="str">
        <f>IF(ISBLANK(GlobBerMedDisc!$BJ$8),"",GlobBerMedDisc!$BJ$8)</f>
        <v/>
      </c>
    </row>
    <row r="388" spans="1:6" s="208" customFormat="1" x14ac:dyDescent="0.2">
      <c r="A388" s="208" t="s">
        <v>5902</v>
      </c>
      <c r="B388" s="208" t="str">
        <f>IF(ISBLANK(GlobBerMedDisc!$BJ$9),"",GlobBerMedDisc!$BJ$9)</f>
        <v/>
      </c>
    </row>
    <row r="389" spans="1:6" s="208" customFormat="1" x14ac:dyDescent="0.2">
      <c r="A389" s="208" t="s">
        <v>5904</v>
      </c>
      <c r="B389" s="208" t="str">
        <f>IF(ISBLANK(GlobBerMedDisc!$BJ$10),"",GlobBerMedDisc!$BJ$10)</f>
        <v/>
      </c>
    </row>
    <row r="390" spans="1:6" s="208" customFormat="1" x14ac:dyDescent="0.2">
      <c r="A390" s="208" t="s">
        <v>5906</v>
      </c>
      <c r="B390" s="208" t="str">
        <f>IF(ISBLANK(GlobBerMedDisc!$BJ$11),"",GlobBerMedDisc!$BJ$11)</f>
        <v/>
      </c>
    </row>
    <row r="391" spans="1:6" s="208" customFormat="1" x14ac:dyDescent="0.2">
      <c r="A391" s="208" t="s">
        <v>5908</v>
      </c>
      <c r="B391" s="208" t="str">
        <f>IF(ISBLANK(GlobBerMedDisc!$BJ$12),"",GlobBerMedDisc!$BJ$12)</f>
        <v/>
      </c>
    </row>
    <row r="392" spans="1:6" s="208" customFormat="1" x14ac:dyDescent="0.2">
      <c r="A392" s="208" t="s">
        <v>5910</v>
      </c>
      <c r="B392" s="208" t="str">
        <f>IF(ISBLANK(GlobBerMedDisc!$BJ$13),"",GlobBerMedDisc!$BJ$13)</f>
        <v/>
      </c>
    </row>
    <row r="393" spans="1:6" s="208" customFormat="1" x14ac:dyDescent="0.2">
      <c r="A393" s="208" t="s">
        <v>5912</v>
      </c>
      <c r="B393" s="208" t="str">
        <f>IF(ISBLANK(GlobBerMedDisc!$BJ$14),"",GlobBerMedDisc!$BJ$14)</f>
        <v/>
      </c>
    </row>
    <row r="394" spans="1:6" s="208" customFormat="1" x14ac:dyDescent="0.2">
      <c r="A394" s="208" t="s">
        <v>5914</v>
      </c>
      <c r="B394" s="208" t="str">
        <f>IF(ISBLANK(GlobBerMedDisc!$BJ$15),"",GlobBerMedDisc!$BJ$15)</f>
        <v/>
      </c>
    </row>
    <row r="395" spans="1:6" s="208" customFormat="1" x14ac:dyDescent="0.2">
      <c r="A395" s="208" t="s">
        <v>5916</v>
      </c>
      <c r="B395" s="208" t="str">
        <f>IF(ISBLANK(GlobBerMedDisc!$BJ$16),"",GlobBerMedDisc!$BJ$16)</f>
        <v/>
      </c>
    </row>
    <row r="396" spans="1:6" s="208" customFormat="1" x14ac:dyDescent="0.2">
      <c r="A396" s="208" t="s">
        <v>5918</v>
      </c>
      <c r="B396" s="208" t="str">
        <f>IF(ISBLANK(GlobBerMedDisc!$BJ$17),"",GlobBerMedDisc!$BJ$17)</f>
        <v/>
      </c>
      <c r="F396"/>
    </row>
    <row r="397" spans="1:6" x14ac:dyDescent="0.2">
      <c r="A397" s="208" t="s">
        <v>5920</v>
      </c>
      <c r="B397" s="208" t="str">
        <f>IF(ISBLANK(GlobBerMedDisc!$BJ$18),"",GlobBerMedDisc!$BJ$18)</f>
        <v/>
      </c>
      <c r="C397" s="208"/>
    </row>
    <row r="398" spans="1:6" x14ac:dyDescent="0.2">
      <c r="A398" s="208" t="s">
        <v>5922</v>
      </c>
      <c r="B398" s="208" t="str">
        <f>IF(ISBLANK(GlobBerMedDisc!$BJ$19),"",GlobBerMedDisc!$BJ$19)</f>
        <v/>
      </c>
      <c r="C398" s="208"/>
    </row>
    <row r="399" spans="1:6" x14ac:dyDescent="0.2">
      <c r="A399" s="208" t="s">
        <v>5924</v>
      </c>
      <c r="B399" s="208" t="str">
        <f>IF(ISBLANK(GlobBerMedDisc!$BJ$20),"",GlobBerMedDisc!$BJ$20)</f>
        <v/>
      </c>
      <c r="C399" s="208"/>
    </row>
    <row r="400" spans="1:6" x14ac:dyDescent="0.2">
      <c r="A400" s="208" t="s">
        <v>5926</v>
      </c>
      <c r="B400" s="208" t="str">
        <f>IF(ISBLANK(GlobBerMedDisc!$BJ$21),"",GlobBerMedDisc!$BJ$21)</f>
        <v/>
      </c>
      <c r="C400" s="208"/>
    </row>
    <row r="401" spans="1:6" x14ac:dyDescent="0.2">
      <c r="A401" s="208" t="s">
        <v>5928</v>
      </c>
      <c r="B401" s="208" t="str">
        <f>IF(ISBLANK(GlobBerMedDisc!$BJ$22),"",GlobBerMedDisc!$BJ$22)</f>
        <v/>
      </c>
      <c r="C401" s="208"/>
    </row>
    <row r="402" spans="1:6" x14ac:dyDescent="0.2">
      <c r="A402" s="208" t="s">
        <v>5930</v>
      </c>
      <c r="B402" s="208" t="str">
        <f>IF(ISBLANK(GlobBerMedDisc!$BJ$23),"",GlobBerMedDisc!$BJ$23)</f>
        <v/>
      </c>
      <c r="C402" s="208"/>
    </row>
    <row r="403" spans="1:6" x14ac:dyDescent="0.2">
      <c r="A403" s="208" t="s">
        <v>5932</v>
      </c>
      <c r="B403" s="208" t="str">
        <f>IF(ISBLANK(GlobBerMedDisc!$BJ$24),"",GlobBerMedDisc!$BJ$24)</f>
        <v/>
      </c>
      <c r="C403" s="208"/>
    </row>
    <row r="404" spans="1:6" x14ac:dyDescent="0.2">
      <c r="A404" s="208" t="s">
        <v>5934</v>
      </c>
      <c r="B404" s="208" t="str">
        <f>IF(ISBLANK(GlobBerMedDisc!$BJ$25),"",GlobBerMedDisc!$BJ$25)</f>
        <v/>
      </c>
      <c r="C404" s="208"/>
    </row>
    <row r="405" spans="1:6" x14ac:dyDescent="0.2">
      <c r="A405" s="208" t="s">
        <v>5936</v>
      </c>
      <c r="B405" s="208" t="str">
        <f>IF(ISBLANK(GlobBerMedDisc!$BJ$26),"",GlobBerMedDisc!$BJ$26)</f>
        <v/>
      </c>
      <c r="C405" s="208"/>
    </row>
    <row r="406" spans="1:6" x14ac:dyDescent="0.2">
      <c r="A406" s="208" t="s">
        <v>5938</v>
      </c>
      <c r="B406" s="208" t="str">
        <f>IF(ISBLANK(GlobBerMedDisc!$BJ$27),"",GlobBerMedDisc!$BJ$27)</f>
        <v/>
      </c>
      <c r="C406" s="208"/>
    </row>
    <row r="407" spans="1:6" x14ac:dyDescent="0.2">
      <c r="A407" s="208" t="s">
        <v>5940</v>
      </c>
      <c r="B407" s="208" t="str">
        <f>IF(ISBLANK(GlobBerMedDisc!$BJ$28),"",GlobBerMedDisc!$BJ$28)</f>
        <v/>
      </c>
      <c r="C407" s="208"/>
    </row>
    <row r="408" spans="1:6" x14ac:dyDescent="0.2">
      <c r="A408" s="208" t="s">
        <v>5942</v>
      </c>
      <c r="B408" s="208" t="str">
        <f>IF(ISBLANK(GlobBerMedDisc!$BJ$29),"",GlobBerMedDisc!$BJ$29)</f>
        <v/>
      </c>
      <c r="C408" s="208"/>
    </row>
    <row r="409" spans="1:6" x14ac:dyDescent="0.2">
      <c r="A409" s="208" t="s">
        <v>5944</v>
      </c>
      <c r="B409" s="208" t="str">
        <f>IF(ISBLANK(GlobBerMedDisc!$BJ$30),"",GlobBerMedDisc!$BJ$30)</f>
        <v/>
      </c>
      <c r="C409" s="208"/>
    </row>
    <row r="410" spans="1:6" x14ac:dyDescent="0.2">
      <c r="A410" s="208" t="s">
        <v>5946</v>
      </c>
      <c r="B410" s="208" t="str">
        <f>IF(ISBLANK(GlobBerMedDisc!$BJ$31),"",GlobBerMedDisc!$BJ$31)</f>
        <v/>
      </c>
      <c r="C410" s="208"/>
    </row>
    <row r="411" spans="1:6" x14ac:dyDescent="0.2">
      <c r="A411" s="208" t="s">
        <v>5600</v>
      </c>
      <c r="B411" s="208" t="str">
        <f>IF(ISBLANK(GlobBerMedDisc!$AZ$2),"",GlobBerMedDisc!$AZ$2)</f>
        <v/>
      </c>
      <c r="C411" s="99"/>
      <c r="D411" s="208"/>
      <c r="E411" s="208"/>
      <c r="F411" s="208"/>
    </row>
    <row r="412" spans="1:6" x14ac:dyDescent="0.2">
      <c r="A412" s="208" t="s">
        <v>5602</v>
      </c>
      <c r="B412" s="208" t="str">
        <f>IF(ISBLANK(GlobBerMedDisc!$AZ$3),"",GlobBerMedDisc!$AZ$3)</f>
        <v/>
      </c>
      <c r="C412" s="99"/>
      <c r="D412" s="208"/>
      <c r="E412" s="208"/>
      <c r="F412" s="208"/>
    </row>
    <row r="413" spans="1:6" x14ac:dyDescent="0.2">
      <c r="A413" s="208" t="s">
        <v>5604</v>
      </c>
      <c r="B413" s="208" t="str">
        <f>IF(ISBLANK(GlobBerMedDisc!$AZ$4),"",GlobBerMedDisc!$AZ$4)</f>
        <v/>
      </c>
      <c r="C413" s="99"/>
      <c r="D413" s="208"/>
      <c r="E413" s="208"/>
      <c r="F413" s="208"/>
    </row>
    <row r="414" spans="1:6" x14ac:dyDescent="0.2">
      <c r="A414" s="208" t="s">
        <v>5606</v>
      </c>
      <c r="B414" s="208" t="str">
        <f>IF(ISBLANK(GlobBerMedDisc!$AZ$5),"",GlobBerMedDisc!$AZ$5)</f>
        <v/>
      </c>
      <c r="C414" s="99"/>
      <c r="D414" s="208"/>
      <c r="E414" s="208"/>
      <c r="F414" s="208"/>
    </row>
    <row r="415" spans="1:6" x14ac:dyDescent="0.2">
      <c r="A415" s="208" t="s">
        <v>5608</v>
      </c>
      <c r="B415" s="208" t="str">
        <f>IF(ISBLANK(GlobBerMedDisc!$AZ$6),"",GlobBerMedDisc!$AZ$6)</f>
        <v/>
      </c>
      <c r="C415" s="99"/>
      <c r="D415" s="208"/>
      <c r="E415" s="208"/>
      <c r="F415" s="208"/>
    </row>
    <row r="416" spans="1:6" x14ac:dyDescent="0.2">
      <c r="A416" s="208" t="s">
        <v>5610</v>
      </c>
      <c r="B416" s="208" t="str">
        <f>IF(ISBLANK(GlobBerMedDisc!$AZ$7),"",GlobBerMedDisc!$AZ$7)</f>
        <v/>
      </c>
      <c r="C416" s="99"/>
      <c r="D416" s="208"/>
      <c r="E416" s="208"/>
      <c r="F416" s="208"/>
    </row>
    <row r="417" spans="1:6" x14ac:dyDescent="0.2">
      <c r="A417" s="208" t="s">
        <v>5612</v>
      </c>
      <c r="B417" s="208" t="str">
        <f>IF(ISBLANK(GlobBerMedDisc!$AZ$8),"",GlobBerMedDisc!$AZ$8)</f>
        <v/>
      </c>
      <c r="C417" s="99"/>
      <c r="D417" s="208"/>
      <c r="E417" s="208"/>
      <c r="F417" s="208"/>
    </row>
    <row r="418" spans="1:6" x14ac:dyDescent="0.2">
      <c r="A418" s="208" t="s">
        <v>5614</v>
      </c>
      <c r="B418" s="208" t="str">
        <f>IF(ISBLANK(GlobBerMedDisc!$AZ$9),"",GlobBerMedDisc!$AZ$9)</f>
        <v/>
      </c>
      <c r="C418" s="99"/>
      <c r="D418" s="208"/>
      <c r="E418" s="208"/>
      <c r="F418" s="208"/>
    </row>
    <row r="419" spans="1:6" x14ac:dyDescent="0.2">
      <c r="A419" s="208" t="s">
        <v>5616</v>
      </c>
      <c r="B419" s="208" t="str">
        <f>IF(ISBLANK(GlobBerMedDisc!$AZ$10),"",GlobBerMedDisc!$AZ$10)</f>
        <v/>
      </c>
      <c r="C419" s="99"/>
      <c r="D419" s="208"/>
      <c r="E419" s="208"/>
      <c r="F419" s="208"/>
    </row>
    <row r="420" spans="1:6" x14ac:dyDescent="0.2">
      <c r="A420" s="208" t="s">
        <v>5618</v>
      </c>
      <c r="B420" s="208" t="str">
        <f>IF(ISBLANK(GlobBerMedDisc!$AZ$11),"",GlobBerMedDisc!$AZ$11)</f>
        <v/>
      </c>
      <c r="C420" s="99"/>
      <c r="D420" s="208"/>
      <c r="E420" s="208"/>
      <c r="F420" s="208"/>
    </row>
    <row r="421" spans="1:6" x14ac:dyDescent="0.2">
      <c r="A421" s="208" t="s">
        <v>5620</v>
      </c>
      <c r="B421" s="208" t="str">
        <f>IF(ISBLANK(GlobBerMedDisc!$AZ$12),"",GlobBerMedDisc!$AZ$12)</f>
        <v/>
      </c>
      <c r="C421" s="99"/>
      <c r="D421" s="208"/>
      <c r="E421" s="208"/>
      <c r="F421" s="208"/>
    </row>
    <row r="422" spans="1:6" x14ac:dyDescent="0.2">
      <c r="A422" s="208" t="s">
        <v>5622</v>
      </c>
      <c r="B422" s="208" t="str">
        <f>IF(ISBLANK(GlobBerMedDisc!$AZ$13),"",GlobBerMedDisc!$AZ$13)</f>
        <v/>
      </c>
      <c r="C422" s="99"/>
      <c r="D422" s="208"/>
      <c r="E422" s="208"/>
      <c r="F422" s="208"/>
    </row>
    <row r="423" spans="1:6" x14ac:dyDescent="0.2">
      <c r="A423" s="208" t="s">
        <v>5624</v>
      </c>
      <c r="B423" s="208" t="str">
        <f>IF(ISBLANK(GlobBerMedDisc!$AZ$14),"",GlobBerMedDisc!$AZ$14)</f>
        <v/>
      </c>
      <c r="C423" s="99"/>
      <c r="D423" s="208"/>
      <c r="E423" s="208"/>
      <c r="F423" s="208"/>
    </row>
    <row r="424" spans="1:6" x14ac:dyDescent="0.2">
      <c r="A424" s="208" t="s">
        <v>5626</v>
      </c>
      <c r="B424" s="208" t="str">
        <f>IF(ISBLANK(GlobBerMedDisc!$AZ$15),"",GlobBerMedDisc!$AZ$15)</f>
        <v/>
      </c>
      <c r="C424" s="99"/>
      <c r="D424" s="208"/>
      <c r="E424" s="208"/>
      <c r="F424" s="208"/>
    </row>
    <row r="425" spans="1:6" x14ac:dyDescent="0.2">
      <c r="A425" s="208" t="s">
        <v>5628</v>
      </c>
      <c r="B425" s="208" t="str">
        <f>IF(ISBLANK(GlobBerMedDisc!$AZ$16),"",GlobBerMedDisc!$AZ$16)</f>
        <v/>
      </c>
      <c r="C425" s="99"/>
      <c r="D425" s="208"/>
      <c r="E425" s="208"/>
      <c r="F425" s="208"/>
    </row>
    <row r="426" spans="1:6" x14ac:dyDescent="0.2">
      <c r="A426" s="208" t="s">
        <v>5630</v>
      </c>
      <c r="B426" s="208" t="str">
        <f>IF(ISBLANK(GlobBerMedDisc!$AZ$17),"",GlobBerMedDisc!$AZ$17)</f>
        <v/>
      </c>
      <c r="C426" s="99"/>
      <c r="D426" s="208"/>
      <c r="E426" s="208"/>
      <c r="F426" s="208"/>
    </row>
    <row r="427" spans="1:6" x14ac:dyDescent="0.2">
      <c r="A427" s="208" t="s">
        <v>5632</v>
      </c>
      <c r="B427" s="208" t="str">
        <f>IF(ISBLANK(GlobBerMedDisc!$AZ$18),"",GlobBerMedDisc!$AZ$18)</f>
        <v/>
      </c>
      <c r="C427" s="99"/>
      <c r="D427" s="208"/>
      <c r="E427" s="208"/>
      <c r="F427" s="208"/>
    </row>
    <row r="428" spans="1:6" x14ac:dyDescent="0.2">
      <c r="A428" s="208" t="s">
        <v>5634</v>
      </c>
      <c r="B428" s="208" t="str">
        <f>IF(ISBLANK(GlobBerMedDisc!$AZ$19),"",GlobBerMedDisc!$AZ$19)</f>
        <v/>
      </c>
      <c r="C428" s="99"/>
      <c r="D428" s="208"/>
      <c r="E428" s="208"/>
      <c r="F428" s="208"/>
    </row>
    <row r="429" spans="1:6" x14ac:dyDescent="0.2">
      <c r="A429" s="208" t="s">
        <v>5636</v>
      </c>
      <c r="B429" s="208" t="str">
        <f>IF(ISBLANK(GlobBerMedDisc!$AZ$20),"",GlobBerMedDisc!$AZ$20)</f>
        <v/>
      </c>
      <c r="C429" s="99"/>
      <c r="D429" s="208"/>
      <c r="E429" s="208"/>
      <c r="F429" s="208"/>
    </row>
    <row r="430" spans="1:6" x14ac:dyDescent="0.2">
      <c r="A430" s="208" t="s">
        <v>5638</v>
      </c>
      <c r="B430" s="208" t="str">
        <f>IF(ISBLANK(GlobBerMedDisc!$AZ$21),"",GlobBerMedDisc!$AZ$21)</f>
        <v/>
      </c>
      <c r="C430" s="99"/>
      <c r="D430" s="208"/>
      <c r="E430" s="208"/>
      <c r="F430" s="208"/>
    </row>
    <row r="431" spans="1:6" x14ac:dyDescent="0.2">
      <c r="A431" s="208" t="s">
        <v>5640</v>
      </c>
      <c r="B431" s="208" t="str">
        <f>IF(ISBLANK(GlobBerMedDisc!$AZ$22),"",GlobBerMedDisc!$AZ$22)</f>
        <v/>
      </c>
      <c r="C431" s="99"/>
      <c r="D431" s="208"/>
      <c r="E431" s="208"/>
      <c r="F431" s="208"/>
    </row>
    <row r="432" spans="1:6" x14ac:dyDescent="0.2">
      <c r="A432" s="208" t="s">
        <v>5642</v>
      </c>
      <c r="B432" s="208" t="str">
        <f>IF(ISBLANK(GlobBerMedDisc!$AZ$23),"",GlobBerMedDisc!$AZ$23)</f>
        <v/>
      </c>
      <c r="C432" s="99"/>
      <c r="D432" s="208"/>
      <c r="E432" s="208"/>
      <c r="F432" s="208"/>
    </row>
    <row r="433" spans="1:6" x14ac:dyDescent="0.2">
      <c r="A433" s="208" t="s">
        <v>5644</v>
      </c>
      <c r="B433" s="208" t="str">
        <f>IF(ISBLANK(GlobBerMedDisc!$AZ$24),"",GlobBerMedDisc!$AZ$24)</f>
        <v/>
      </c>
      <c r="C433" s="99"/>
      <c r="D433" s="208"/>
      <c r="E433" s="208"/>
      <c r="F433" s="208"/>
    </row>
    <row r="434" spans="1:6" x14ac:dyDescent="0.2">
      <c r="A434" s="208" t="s">
        <v>5646</v>
      </c>
      <c r="B434" s="208" t="str">
        <f>IF(ISBLANK(GlobBerMedDisc!$AZ$25),"",GlobBerMedDisc!$AZ$25)</f>
        <v/>
      </c>
      <c r="C434" s="99"/>
      <c r="D434" s="208"/>
      <c r="E434" s="208"/>
      <c r="F434" s="208"/>
    </row>
    <row r="435" spans="1:6" x14ac:dyDescent="0.2">
      <c r="A435" s="208" t="s">
        <v>5648</v>
      </c>
      <c r="B435" s="208" t="str">
        <f>IF(ISBLANK(GlobBerMedDisc!$AZ$26),"",GlobBerMedDisc!$AZ$26)</f>
        <v/>
      </c>
      <c r="C435" s="99"/>
      <c r="D435" s="208"/>
      <c r="E435" s="208"/>
      <c r="F435" s="208"/>
    </row>
    <row r="436" spans="1:6" x14ac:dyDescent="0.2">
      <c r="A436" s="208" t="s">
        <v>5650</v>
      </c>
      <c r="B436" s="208" t="str">
        <f>IF(ISBLANK(GlobBerMedDisc!$AZ$27),"",GlobBerMedDisc!$AZ$27)</f>
        <v/>
      </c>
      <c r="C436" s="99"/>
      <c r="D436" s="208"/>
      <c r="E436" s="208"/>
      <c r="F436" s="208"/>
    </row>
    <row r="437" spans="1:6" x14ac:dyDescent="0.2">
      <c r="A437" s="208" t="s">
        <v>5652</v>
      </c>
      <c r="B437" s="208" t="str">
        <f>IF(ISBLANK(GlobBerMedDisc!$AZ$28),"",GlobBerMedDisc!$AZ$28)</f>
        <v/>
      </c>
      <c r="C437" s="99"/>
      <c r="D437" s="208"/>
      <c r="E437" s="208"/>
      <c r="F437" s="208"/>
    </row>
    <row r="438" spans="1:6" x14ac:dyDescent="0.2">
      <c r="A438" s="208" t="s">
        <v>5654</v>
      </c>
      <c r="B438" s="208" t="str">
        <f>IF(ISBLANK(GlobBerMedDisc!$AZ$29),"",GlobBerMedDisc!$AZ$29)</f>
        <v/>
      </c>
      <c r="C438" s="99"/>
      <c r="D438" s="208"/>
      <c r="E438" s="208"/>
      <c r="F438" s="208"/>
    </row>
    <row r="439" spans="1:6" x14ac:dyDescent="0.2">
      <c r="A439" s="208" t="s">
        <v>5656</v>
      </c>
      <c r="B439" s="208" t="str">
        <f>IF(ISBLANK(GlobBerMedDisc!$AZ$30),"",GlobBerMedDisc!$AZ$30)</f>
        <v/>
      </c>
      <c r="C439" s="99"/>
      <c r="D439" s="208"/>
      <c r="E439" s="208"/>
      <c r="F439" s="208"/>
    </row>
    <row r="440" spans="1:6" x14ac:dyDescent="0.2">
      <c r="A440" s="208" t="s">
        <v>5658</v>
      </c>
      <c r="B440" s="208" t="str">
        <f>IF(ISBLANK(GlobBerMedDisc!$AZ$31),"",GlobBerMedDisc!$AZ$31)</f>
        <v/>
      </c>
      <c r="C440" s="99"/>
      <c r="D440" s="208"/>
      <c r="E440" s="208"/>
      <c r="F440" s="208"/>
    </row>
    <row r="441" spans="1:6" x14ac:dyDescent="0.2">
      <c r="A441" s="208" t="s">
        <v>5948</v>
      </c>
      <c r="B441" t="str">
        <f>IF(ISBLANK(GlobBerMedDisc!$BG$2),"",GlobBerMedDisc!$BG$2)</f>
        <v/>
      </c>
      <c r="C441" s="208"/>
    </row>
    <row r="442" spans="1:6" x14ac:dyDescent="0.2">
      <c r="A442" s="208" t="s">
        <v>5950</v>
      </c>
      <c r="B442" t="str">
        <f>IF(ISBLANK(GlobBerMedDisc!$BG$3),"",GlobBerMedDisc!$BG$3)</f>
        <v/>
      </c>
      <c r="C442" s="208"/>
    </row>
    <row r="443" spans="1:6" x14ac:dyDescent="0.2">
      <c r="A443" s="208" t="s">
        <v>5952</v>
      </c>
      <c r="B443" t="str">
        <f>IF(ISBLANK(GlobBerMedDisc!$BG$4),"",GlobBerMedDisc!$BG$4)</f>
        <v/>
      </c>
      <c r="C443" s="208"/>
      <c r="F443" s="208"/>
    </row>
    <row r="444" spans="1:6" x14ac:dyDescent="0.2">
      <c r="A444" s="208" t="s">
        <v>5954</v>
      </c>
      <c r="B444" t="str">
        <f>IF(ISBLANK(GlobBerMedDisc!$BG$5),"",GlobBerMedDisc!$BG$5)</f>
        <v/>
      </c>
      <c r="C444" s="208"/>
      <c r="F444" s="208"/>
    </row>
    <row r="445" spans="1:6" x14ac:dyDescent="0.2">
      <c r="A445" s="208" t="s">
        <v>5956</v>
      </c>
      <c r="B445" s="208" t="str">
        <f>IF(ISBLANK(GlobBerMedDisc!$BG$6),"",GlobBerMedDisc!$BG$6)</f>
        <v/>
      </c>
      <c r="C445" s="208"/>
      <c r="F445" s="208"/>
    </row>
    <row r="446" spans="1:6" x14ac:dyDescent="0.2">
      <c r="A446" s="208" t="s">
        <v>5958</v>
      </c>
      <c r="B446" s="208" t="str">
        <f>IF(ISBLANK(GlobBerMedDisc!$BG$7),"",GlobBerMedDisc!$BG$7)</f>
        <v/>
      </c>
      <c r="C446" s="208"/>
      <c r="D446" s="208"/>
      <c r="E446" s="208"/>
      <c r="F446" s="208"/>
    </row>
    <row r="447" spans="1:6" x14ac:dyDescent="0.2">
      <c r="A447" s="208" t="s">
        <v>5960</v>
      </c>
      <c r="B447" s="208" t="str">
        <f>IF(ISBLANK(GlobBerMedDisc!$BG$8),"",GlobBerMedDisc!$BG$8)</f>
        <v/>
      </c>
      <c r="C447" s="208"/>
      <c r="D447" s="208"/>
      <c r="E447" s="208"/>
      <c r="F447" s="208"/>
    </row>
    <row r="448" spans="1:6" x14ac:dyDescent="0.2">
      <c r="A448" s="208" t="s">
        <v>5962</v>
      </c>
      <c r="B448" s="208" t="str">
        <f>IF(ISBLANK(GlobBerMedDisc!$BG$9),"",GlobBerMedDisc!$BG$9)</f>
        <v/>
      </c>
      <c r="C448" s="208"/>
      <c r="D448" s="208"/>
      <c r="E448" s="208"/>
      <c r="F448" s="208"/>
    </row>
    <row r="449" spans="1:6" x14ac:dyDescent="0.2">
      <c r="A449" s="208" t="s">
        <v>5964</v>
      </c>
      <c r="B449" s="208" t="str">
        <f>IF(ISBLANK(GlobBerMedDisc!$BG$10),"",GlobBerMedDisc!$BG$10)</f>
        <v/>
      </c>
      <c r="C449" s="208"/>
      <c r="D449" s="208"/>
      <c r="E449" s="208"/>
      <c r="F449" s="208"/>
    </row>
    <row r="450" spans="1:6" x14ac:dyDescent="0.2">
      <c r="A450" s="208" t="s">
        <v>5966</v>
      </c>
      <c r="B450" s="208" t="str">
        <f>IF(ISBLANK(GlobBerMedDisc!$BG$11),"",GlobBerMedDisc!$BG$11)</f>
        <v/>
      </c>
      <c r="C450" s="208"/>
      <c r="D450" s="208"/>
      <c r="E450" s="208"/>
      <c r="F450" s="208"/>
    </row>
    <row r="451" spans="1:6" x14ac:dyDescent="0.2">
      <c r="A451" s="208" t="s">
        <v>5968</v>
      </c>
      <c r="B451" s="208" t="str">
        <f>IF(ISBLANK(GlobBerMedDisc!$BG$12),"",GlobBerMedDisc!$BG$12)</f>
        <v/>
      </c>
      <c r="C451" s="208"/>
      <c r="D451" s="208"/>
      <c r="E451" s="208"/>
      <c r="F451" s="208"/>
    </row>
    <row r="452" spans="1:6" x14ac:dyDescent="0.2">
      <c r="A452" s="208" t="s">
        <v>5970</v>
      </c>
      <c r="B452" s="208" t="str">
        <f>IF(ISBLANK(GlobBerMedDisc!$BG$13),"",GlobBerMedDisc!$BG$13)</f>
        <v/>
      </c>
      <c r="C452" s="208"/>
      <c r="D452" s="208"/>
      <c r="E452" s="208"/>
      <c r="F452" s="208"/>
    </row>
    <row r="453" spans="1:6" x14ac:dyDescent="0.2">
      <c r="A453" s="208" t="s">
        <v>5972</v>
      </c>
      <c r="B453" s="208" t="str">
        <f>IF(ISBLANK(GlobBerMedDisc!$BG$14),"",GlobBerMedDisc!$BG$14)</f>
        <v/>
      </c>
      <c r="C453" s="208"/>
      <c r="D453" s="208"/>
      <c r="E453" s="208"/>
      <c r="F453" s="208"/>
    </row>
    <row r="454" spans="1:6" x14ac:dyDescent="0.2">
      <c r="A454" s="208" t="s">
        <v>5974</v>
      </c>
      <c r="B454" s="208" t="str">
        <f>IF(ISBLANK(GlobBerMedDisc!$BG$15),"",GlobBerMedDisc!$BG$15)</f>
        <v/>
      </c>
      <c r="C454" s="208"/>
      <c r="D454" s="208"/>
      <c r="E454" s="208"/>
    </row>
    <row r="455" spans="1:6" x14ac:dyDescent="0.2">
      <c r="A455" s="208" t="s">
        <v>5976</v>
      </c>
      <c r="B455" t="str">
        <f>IF(ISBLANK(GlobBerMedDisc!$BG$16),"",GlobBerMedDisc!$BG$16)</f>
        <v/>
      </c>
      <c r="C455" s="208"/>
      <c r="D455" s="208"/>
      <c r="E455" s="208"/>
    </row>
    <row r="456" spans="1:6" x14ac:dyDescent="0.2">
      <c r="A456" s="208" t="s">
        <v>5978</v>
      </c>
      <c r="B456" t="str">
        <f>IF(ISBLANK(GlobBerMedDisc!$BG$17),"",GlobBerMedDisc!$BG$17)</f>
        <v/>
      </c>
      <c r="C456" s="208"/>
    </row>
    <row r="457" spans="1:6" x14ac:dyDescent="0.2">
      <c r="A457" s="208" t="s">
        <v>5980</v>
      </c>
      <c r="B457" t="str">
        <f>IF(ISBLANK(GlobBerMedDisc!$BG$18),"",GlobBerMedDisc!$BG$18)</f>
        <v/>
      </c>
      <c r="C457" s="208"/>
      <c r="F457" s="208"/>
    </row>
    <row r="458" spans="1:6" x14ac:dyDescent="0.2">
      <c r="A458" s="208" t="s">
        <v>5982</v>
      </c>
      <c r="B458" t="str">
        <f>IF(ISBLANK(GlobBerMedDisc!$BG$19),"",GlobBerMedDisc!$BG$19)</f>
        <v/>
      </c>
      <c r="C458" s="208"/>
      <c r="F458" s="208"/>
    </row>
    <row r="459" spans="1:6" x14ac:dyDescent="0.2">
      <c r="A459" s="208" t="s">
        <v>5984</v>
      </c>
      <c r="B459" t="str">
        <f>IF(ISBLANK(GlobBerMedDisc!$BG$20),"",GlobBerMedDisc!$BG$20)</f>
        <v/>
      </c>
      <c r="C459" s="208"/>
      <c r="F459" s="208"/>
    </row>
    <row r="460" spans="1:6" x14ac:dyDescent="0.2">
      <c r="A460" s="208" t="s">
        <v>5986</v>
      </c>
      <c r="B460" t="str">
        <f>IF(ISBLANK(GlobBerMedDisc!$BG$21),"",GlobBerMedDisc!$BG$21)</f>
        <v/>
      </c>
      <c r="C460" s="208"/>
      <c r="F460" s="208"/>
    </row>
    <row r="461" spans="1:6" x14ac:dyDescent="0.2">
      <c r="A461" s="208" t="s">
        <v>5988</v>
      </c>
      <c r="B461" t="str">
        <f>IF(ISBLANK(GlobBerMedDisc!$BG$22),"",GlobBerMedDisc!$BG$22)</f>
        <v/>
      </c>
      <c r="C461" s="208"/>
      <c r="F461" s="208"/>
    </row>
    <row r="462" spans="1:6" x14ac:dyDescent="0.2">
      <c r="A462" s="208" t="s">
        <v>5990</v>
      </c>
      <c r="B462" t="str">
        <f>IF(ISBLANK(GlobBerMedDisc!$BG$23),"",GlobBerMedDisc!$BG$23)</f>
        <v/>
      </c>
      <c r="C462" s="208"/>
      <c r="F462" s="208"/>
    </row>
    <row r="463" spans="1:6" x14ac:dyDescent="0.2">
      <c r="A463" s="208" t="s">
        <v>5992</v>
      </c>
      <c r="B463" t="str">
        <f>IF(ISBLANK(GlobBerMedDisc!$BG$24),"",GlobBerMedDisc!$BG$24)</f>
        <v/>
      </c>
      <c r="C463" s="208"/>
      <c r="F463" s="208"/>
    </row>
    <row r="464" spans="1:6" x14ac:dyDescent="0.2">
      <c r="A464" s="208" t="s">
        <v>5994</v>
      </c>
      <c r="B464" t="str">
        <f>IF(ISBLANK(GlobBerMedDisc!$BG$25),"",GlobBerMedDisc!$BG$25)</f>
        <v/>
      </c>
      <c r="C464" s="208"/>
      <c r="F464" s="208"/>
    </row>
    <row r="465" spans="1:6" x14ac:dyDescent="0.2">
      <c r="A465" s="208" t="s">
        <v>5996</v>
      </c>
      <c r="B465" t="str">
        <f>IF(ISBLANK(GlobBerMedDisc!$BG$26),"",GlobBerMedDisc!$BG$26)</f>
        <v/>
      </c>
      <c r="C465" s="208"/>
      <c r="F465" s="208"/>
    </row>
    <row r="466" spans="1:6" x14ac:dyDescent="0.2">
      <c r="A466" s="208" t="s">
        <v>5998</v>
      </c>
      <c r="B466" t="str">
        <f>IF(ISBLANK(GlobBerMedDisc!$BG$27),"",GlobBerMedDisc!$BG$27)</f>
        <v/>
      </c>
      <c r="C466" s="208"/>
      <c r="F466" s="208"/>
    </row>
    <row r="467" spans="1:6" x14ac:dyDescent="0.2">
      <c r="A467" s="208" t="s">
        <v>6000</v>
      </c>
      <c r="B467" t="str">
        <f>IF(ISBLANK(GlobBerMedDisc!$BG$28),"",GlobBerMedDisc!$BG$28)</f>
        <v/>
      </c>
      <c r="C467" s="208"/>
      <c r="F467" s="208"/>
    </row>
    <row r="468" spans="1:6" x14ac:dyDescent="0.2">
      <c r="A468" s="208" t="s">
        <v>6002</v>
      </c>
      <c r="B468" t="str">
        <f>IF(ISBLANK(GlobBerMedDisc!$BG$29),"",GlobBerMedDisc!$BG$29)</f>
        <v/>
      </c>
      <c r="C468" s="208"/>
      <c r="F468" s="208"/>
    </row>
    <row r="469" spans="1:6" x14ac:dyDescent="0.2">
      <c r="A469" s="208" t="s">
        <v>6004</v>
      </c>
      <c r="B469" t="str">
        <f>IF(ISBLANK(GlobBerMedDisc!$BG$30),"",GlobBerMedDisc!$BG$30)</f>
        <v/>
      </c>
      <c r="C469" s="208"/>
      <c r="F469" s="208"/>
    </row>
    <row r="470" spans="1:6" x14ac:dyDescent="0.2">
      <c r="A470" s="208" t="s">
        <v>6006</v>
      </c>
      <c r="B470" t="str">
        <f>IF(ISBLANK(GlobBerMedDisc!$BG$31),"",GlobBerMedDisc!$BG$31)</f>
        <v/>
      </c>
      <c r="C470" s="208"/>
      <c r="F470" s="208"/>
    </row>
    <row r="471" spans="1:6" x14ac:dyDescent="0.2">
      <c r="A471" s="208" t="s">
        <v>5660</v>
      </c>
      <c r="B471" t="str">
        <f>IF(ISBLANK(GlobBerMedDisc!$AT$2),"",GlobBerMedDisc!$AT$2)</f>
        <v/>
      </c>
      <c r="C471" s="99"/>
      <c r="F471" s="208"/>
    </row>
    <row r="472" spans="1:6" x14ac:dyDescent="0.2">
      <c r="A472" s="208" t="s">
        <v>5662</v>
      </c>
      <c r="B472" t="str">
        <f>IF(ISBLANK(GlobBerMedDisc!$AT$3),"",GlobBerMedDisc!$AT$3)</f>
        <v/>
      </c>
      <c r="C472" s="99"/>
      <c r="F472" s="208"/>
    </row>
    <row r="473" spans="1:6" x14ac:dyDescent="0.2">
      <c r="A473" s="208" t="s">
        <v>5664</v>
      </c>
      <c r="B473" t="str">
        <f>IF(ISBLANK(GlobBerMedDisc!$AT$4),"",GlobBerMedDisc!$AT$4)</f>
        <v/>
      </c>
      <c r="C473" s="99"/>
      <c r="E473" s="208"/>
      <c r="F473" s="208"/>
    </row>
    <row r="474" spans="1:6" x14ac:dyDescent="0.2">
      <c r="A474" s="208" t="s">
        <v>5666</v>
      </c>
      <c r="B474" t="str">
        <f>IF(ISBLANK(GlobBerMedDisc!$AT$5),"",GlobBerMedDisc!$AT$5)</f>
        <v/>
      </c>
      <c r="C474" s="99"/>
      <c r="E474" s="208"/>
      <c r="F474" s="208"/>
    </row>
    <row r="475" spans="1:6" x14ac:dyDescent="0.2">
      <c r="A475" s="208" t="s">
        <v>5668</v>
      </c>
      <c r="B475" t="str">
        <f>IF(ISBLANK(GlobBerMedDisc!$AT$6),"",GlobBerMedDisc!$AT$6)</f>
        <v/>
      </c>
      <c r="C475" s="99"/>
      <c r="E475" s="208"/>
      <c r="F475" s="208"/>
    </row>
    <row r="476" spans="1:6" x14ac:dyDescent="0.2">
      <c r="A476" s="208" t="s">
        <v>5670</v>
      </c>
      <c r="B476" t="str">
        <f>IF(ISBLANK(GlobBerMedDisc!$AT$7),"",GlobBerMedDisc!$AT$7)</f>
        <v/>
      </c>
      <c r="C476" s="99"/>
      <c r="E476" s="208"/>
      <c r="F476" s="208"/>
    </row>
    <row r="477" spans="1:6" x14ac:dyDescent="0.2">
      <c r="A477" s="208" t="s">
        <v>5672</v>
      </c>
      <c r="B477" t="str">
        <f>IF(ISBLANK(GlobBerMedDisc!$AT$8),"",GlobBerMedDisc!$AT$8)</f>
        <v/>
      </c>
      <c r="C477" s="99"/>
      <c r="E477" s="208"/>
      <c r="F477" s="208"/>
    </row>
    <row r="478" spans="1:6" x14ac:dyDescent="0.2">
      <c r="A478" s="208" t="s">
        <v>5674</v>
      </c>
      <c r="B478" t="str">
        <f>IF(ISBLANK(GlobBerMedDisc!$AT$9),"",GlobBerMedDisc!$AT$9)</f>
        <v/>
      </c>
      <c r="C478" s="99"/>
      <c r="E478" s="208"/>
      <c r="F478" s="208"/>
    </row>
    <row r="479" spans="1:6" x14ac:dyDescent="0.2">
      <c r="A479" s="208" t="s">
        <v>5676</v>
      </c>
      <c r="B479" t="str">
        <f>IF(ISBLANK(GlobBerMedDisc!$AT$10),"",GlobBerMedDisc!$AT$10)</f>
        <v/>
      </c>
      <c r="C479" s="99"/>
      <c r="E479" s="208"/>
      <c r="F479" s="208"/>
    </row>
    <row r="480" spans="1:6" x14ac:dyDescent="0.2">
      <c r="A480" s="208" t="s">
        <v>5678</v>
      </c>
      <c r="B480" t="str">
        <f>IF(ISBLANK(GlobBerMedDisc!$AT$11),"",GlobBerMedDisc!$AT$11)</f>
        <v/>
      </c>
      <c r="C480" s="99"/>
      <c r="E480" s="208"/>
      <c r="F480" s="208"/>
    </row>
    <row r="481" spans="1:6" x14ac:dyDescent="0.2">
      <c r="A481" s="208" t="s">
        <v>5680</v>
      </c>
      <c r="B481" t="str">
        <f>IF(ISBLANK(GlobBerMedDisc!$AT$12),"",GlobBerMedDisc!$AT$12)</f>
        <v/>
      </c>
      <c r="C481" s="99"/>
      <c r="E481" s="208"/>
      <c r="F481" s="208"/>
    </row>
    <row r="482" spans="1:6" x14ac:dyDescent="0.2">
      <c r="A482" s="208" t="s">
        <v>5682</v>
      </c>
      <c r="B482" t="str">
        <f>IF(ISBLANK(GlobBerMedDisc!$AT$13),"",GlobBerMedDisc!$AT$13)</f>
        <v/>
      </c>
      <c r="C482" s="99"/>
      <c r="E482" s="208"/>
      <c r="F482" s="208"/>
    </row>
    <row r="483" spans="1:6" s="208" customFormat="1" x14ac:dyDescent="0.2">
      <c r="A483" s="208" t="s">
        <v>5684</v>
      </c>
      <c r="B483" t="str">
        <f>IF(ISBLANK(GlobBerMedDisc!$AT$14),"",GlobBerMedDisc!$AT$14)</f>
        <v/>
      </c>
      <c r="C483" s="99"/>
      <c r="D483"/>
    </row>
    <row r="484" spans="1:6" x14ac:dyDescent="0.2">
      <c r="A484" s="208" t="s">
        <v>5686</v>
      </c>
      <c r="B484" t="str">
        <f>IF(ISBLANK(GlobBerMedDisc!$AT$15),"",GlobBerMedDisc!$AT$15)</f>
        <v/>
      </c>
      <c r="C484" s="99"/>
      <c r="F484" s="208"/>
    </row>
    <row r="485" spans="1:6" x14ac:dyDescent="0.2">
      <c r="A485" s="208" t="s">
        <v>5688</v>
      </c>
      <c r="B485" t="str">
        <f>IF(ISBLANK(GlobBerMedDisc!$AT$16),"",GlobBerMedDisc!$AT$16)</f>
        <v/>
      </c>
      <c r="C485" s="99"/>
      <c r="F485" s="208"/>
    </row>
    <row r="486" spans="1:6" x14ac:dyDescent="0.2">
      <c r="A486" s="208" t="s">
        <v>5690</v>
      </c>
      <c r="B486" t="str">
        <f>IF(ISBLANK(GlobBerMedDisc!$AT$17),"",GlobBerMedDisc!$AT$17)</f>
        <v/>
      </c>
      <c r="C486" s="99"/>
      <c r="F486" s="208"/>
    </row>
    <row r="487" spans="1:6" x14ac:dyDescent="0.2">
      <c r="A487" s="208" t="s">
        <v>5692</v>
      </c>
      <c r="B487" t="str">
        <f>IF(ISBLANK(GlobBerMedDisc!$AT$18),"",GlobBerMedDisc!$AT$18)</f>
        <v/>
      </c>
      <c r="C487" s="99"/>
      <c r="D487" s="208"/>
      <c r="E487" s="208"/>
      <c r="F487" s="208"/>
    </row>
    <row r="488" spans="1:6" x14ac:dyDescent="0.2">
      <c r="A488" s="208" t="s">
        <v>5694</v>
      </c>
      <c r="B488" t="str">
        <f>IF(ISBLANK(GlobBerMedDisc!$AT$19),"",GlobBerMedDisc!$AT$19)</f>
        <v/>
      </c>
      <c r="C488" s="99"/>
      <c r="D488" s="208"/>
      <c r="E488" s="208"/>
      <c r="F488" s="208"/>
    </row>
    <row r="489" spans="1:6" x14ac:dyDescent="0.2">
      <c r="A489" s="208" t="s">
        <v>5696</v>
      </c>
      <c r="B489" t="str">
        <f>IF(ISBLANK(GlobBerMedDisc!$AT$20),"",GlobBerMedDisc!$AT$20)</f>
        <v/>
      </c>
      <c r="C489" s="99"/>
      <c r="D489" s="208"/>
      <c r="E489" s="208"/>
      <c r="F489" s="208"/>
    </row>
    <row r="490" spans="1:6" x14ac:dyDescent="0.2">
      <c r="A490" s="208" t="s">
        <v>5698</v>
      </c>
      <c r="B490" s="208" t="str">
        <f>IF(ISBLANK(GlobBerMedDisc!$AT$21),"",GlobBerMedDisc!$AT$21)</f>
        <v/>
      </c>
      <c r="C490" s="99"/>
      <c r="D490" s="208"/>
      <c r="E490" s="208"/>
      <c r="F490" s="208"/>
    </row>
    <row r="491" spans="1:6" x14ac:dyDescent="0.2">
      <c r="A491" s="208" t="s">
        <v>5700</v>
      </c>
      <c r="B491" s="208" t="str">
        <f>IF(ISBLANK(GlobBerMedDisc!$AT$22),"",GlobBerMedDisc!$AT$22)</f>
        <v/>
      </c>
      <c r="C491" s="99"/>
      <c r="D491" s="208"/>
      <c r="E491" s="208"/>
      <c r="F491" s="208"/>
    </row>
    <row r="492" spans="1:6" x14ac:dyDescent="0.2">
      <c r="A492" s="208" t="s">
        <v>5702</v>
      </c>
      <c r="B492" s="208" t="str">
        <f>IF(ISBLANK(GlobBerMedDisc!$AT$23),"",GlobBerMedDisc!$AT$23)</f>
        <v/>
      </c>
      <c r="C492" s="99"/>
      <c r="D492" s="208"/>
      <c r="E492" s="208"/>
      <c r="F492" s="208"/>
    </row>
    <row r="493" spans="1:6" x14ac:dyDescent="0.2">
      <c r="A493" s="208" t="s">
        <v>5704</v>
      </c>
      <c r="B493" s="208" t="str">
        <f>IF(ISBLANK(GlobBerMedDisc!$AT$24),"",GlobBerMedDisc!$AT$24)</f>
        <v/>
      </c>
      <c r="C493" s="99"/>
      <c r="D493" s="208"/>
      <c r="E493" s="208"/>
      <c r="F493" s="208"/>
    </row>
    <row r="494" spans="1:6" x14ac:dyDescent="0.2">
      <c r="A494" s="208" t="s">
        <v>5706</v>
      </c>
      <c r="B494" s="208" t="str">
        <f>IF(ISBLANK(GlobBerMedDisc!$AT$25),"",GlobBerMedDisc!$AT$25)</f>
        <v/>
      </c>
      <c r="C494" s="99"/>
      <c r="D494" s="208"/>
      <c r="E494" s="208"/>
      <c r="F494" s="208"/>
    </row>
    <row r="495" spans="1:6" x14ac:dyDescent="0.2">
      <c r="A495" s="208" t="s">
        <v>5708</v>
      </c>
      <c r="B495" s="208" t="str">
        <f>IF(ISBLANK(GlobBerMedDisc!$AT$26),"",GlobBerMedDisc!$AT$26)</f>
        <v/>
      </c>
      <c r="C495" s="99"/>
      <c r="D495" s="208"/>
      <c r="E495" s="208"/>
      <c r="F495" s="208"/>
    </row>
    <row r="496" spans="1:6" x14ac:dyDescent="0.2">
      <c r="A496" s="208" t="s">
        <v>5710</v>
      </c>
      <c r="B496" s="208" t="str">
        <f>IF(ISBLANK(GlobBerMedDisc!$AT$27),"",GlobBerMedDisc!$AT$27)</f>
        <v/>
      </c>
      <c r="C496" s="99"/>
      <c r="D496" s="208"/>
      <c r="E496" s="208"/>
      <c r="F496" s="208"/>
    </row>
    <row r="497" spans="1:6" x14ac:dyDescent="0.2">
      <c r="A497" s="208" t="s">
        <v>5712</v>
      </c>
      <c r="B497" s="208" t="str">
        <f>IF(ISBLANK(GlobBerMedDisc!$AT$28),"",GlobBerMedDisc!$AT$28)</f>
        <v/>
      </c>
      <c r="C497" s="99"/>
      <c r="D497" s="208"/>
      <c r="E497" s="208"/>
      <c r="F497" s="208"/>
    </row>
    <row r="498" spans="1:6" x14ac:dyDescent="0.2">
      <c r="A498" s="208" t="s">
        <v>5714</v>
      </c>
      <c r="B498" s="208" t="str">
        <f>IF(ISBLANK(GlobBerMedDisc!$AT$29),"",GlobBerMedDisc!$AT$29)</f>
        <v/>
      </c>
      <c r="C498" s="99"/>
      <c r="D498" s="208"/>
      <c r="E498" s="208"/>
      <c r="F498" s="208"/>
    </row>
    <row r="499" spans="1:6" x14ac:dyDescent="0.2">
      <c r="A499" s="208" t="s">
        <v>5716</v>
      </c>
      <c r="B499" s="208" t="str">
        <f>IF(ISBLANK(GlobBerMedDisc!$AT$30),"",GlobBerMedDisc!$AT$30)</f>
        <v/>
      </c>
      <c r="C499" s="99"/>
      <c r="D499" s="208"/>
      <c r="E499" s="208"/>
      <c r="F499" s="208"/>
    </row>
    <row r="500" spans="1:6" x14ac:dyDescent="0.2">
      <c r="A500" s="208" t="s">
        <v>5718</v>
      </c>
      <c r="B500" t="str">
        <f>IF(ISBLANK(GlobBerMedDisc!$AT$31),"",GlobBerMedDisc!$AT$31)</f>
        <v/>
      </c>
      <c r="C500" s="99"/>
      <c r="D500" s="208"/>
      <c r="E500" s="208"/>
      <c r="F500" s="208"/>
    </row>
    <row r="501" spans="1:6" x14ac:dyDescent="0.2">
      <c r="A501" s="208" t="s">
        <v>2000</v>
      </c>
      <c r="B501" s="208">
        <f>IF(ISBLANK(GlobBerMedDisc!$P$2),"",GlobBerMedDisc!$P$2)</f>
        <v>1</v>
      </c>
      <c r="C501" s="7">
        <v>1</v>
      </c>
      <c r="D501" s="208"/>
      <c r="E501" s="208"/>
      <c r="F501" s="208"/>
    </row>
    <row r="502" spans="1:6" x14ac:dyDescent="0.2">
      <c r="A502" s="208" t="s">
        <v>2001</v>
      </c>
      <c r="B502" s="208">
        <f>IF(ISBLANK(GlobBerMedDisc!$P$3),"",GlobBerMedDisc!$P$3)</f>
        <v>1</v>
      </c>
      <c r="C502" s="7">
        <v>1</v>
      </c>
      <c r="D502" s="208"/>
      <c r="E502" s="208"/>
      <c r="F502" s="208"/>
    </row>
    <row r="503" spans="1:6" x14ac:dyDescent="0.2">
      <c r="A503" s="208" t="s">
        <v>2002</v>
      </c>
      <c r="B503" s="208">
        <f>IF(ISBLANK(GlobBerMedDisc!$P$4),"",GlobBerMedDisc!$P$4)</f>
        <v>1</v>
      </c>
      <c r="C503" s="7">
        <v>1</v>
      </c>
      <c r="D503" s="208"/>
      <c r="E503" s="208"/>
      <c r="F503" s="208"/>
    </row>
    <row r="504" spans="1:6" x14ac:dyDescent="0.2">
      <c r="A504" s="208" t="s">
        <v>2003</v>
      </c>
      <c r="B504" s="208">
        <f>IF(ISBLANK(GlobBerMedDisc!$P$5),"",GlobBerMedDisc!$P$5)</f>
        <v>1</v>
      </c>
      <c r="C504" s="7">
        <v>1</v>
      </c>
      <c r="D504" s="208"/>
      <c r="E504" s="208"/>
      <c r="F504" s="208"/>
    </row>
    <row r="505" spans="1:6" x14ac:dyDescent="0.2">
      <c r="A505" s="208" t="s">
        <v>2004</v>
      </c>
      <c r="B505" s="208">
        <f>IF(ISBLANK(GlobBerMedDisc!$P$6),"",GlobBerMedDisc!$P$6)</f>
        <v>1</v>
      </c>
      <c r="C505" s="7">
        <v>1</v>
      </c>
      <c r="D505" s="208"/>
      <c r="E505" s="208"/>
      <c r="F505" s="208"/>
    </row>
    <row r="506" spans="1:6" x14ac:dyDescent="0.2">
      <c r="A506" s="208" t="s">
        <v>2005</v>
      </c>
      <c r="B506" s="208">
        <f>IF(ISBLANK(GlobBerMedDisc!$P$7),"",GlobBerMedDisc!$P$7)</f>
        <v>1</v>
      </c>
      <c r="C506" s="7">
        <v>1</v>
      </c>
      <c r="D506" s="208"/>
      <c r="E506" s="208"/>
      <c r="F506" s="208"/>
    </row>
    <row r="507" spans="1:6" x14ac:dyDescent="0.2">
      <c r="A507" s="208" t="s">
        <v>2006</v>
      </c>
      <c r="B507" s="208">
        <f>IF(ISBLANK(GlobBerMedDisc!$P$8),"",GlobBerMedDisc!$P$8)</f>
        <v>1</v>
      </c>
      <c r="C507" s="7">
        <v>1</v>
      </c>
      <c r="D507" s="208"/>
      <c r="E507" s="208"/>
      <c r="F507" s="208"/>
    </row>
    <row r="508" spans="1:6" x14ac:dyDescent="0.2">
      <c r="A508" s="208" t="s">
        <v>2007</v>
      </c>
      <c r="B508" s="208">
        <f>IF(ISBLANK(GlobBerMedDisc!$P$9),"",GlobBerMedDisc!$P$9)</f>
        <v>1</v>
      </c>
      <c r="C508" s="7">
        <v>1</v>
      </c>
      <c r="D508" s="208"/>
      <c r="E508" s="208"/>
      <c r="F508" s="208"/>
    </row>
    <row r="509" spans="1:6" x14ac:dyDescent="0.2">
      <c r="A509" s="208" t="s">
        <v>2008</v>
      </c>
      <c r="B509" s="208">
        <f>IF(ISBLANK(GlobBerMedDisc!$P$10),"",GlobBerMedDisc!$P$10)</f>
        <v>1</v>
      </c>
      <c r="C509" s="7">
        <v>1</v>
      </c>
      <c r="D509" s="208"/>
      <c r="E509" s="208"/>
      <c r="F509" s="208"/>
    </row>
    <row r="510" spans="1:6" x14ac:dyDescent="0.2">
      <c r="A510" s="208" t="s">
        <v>2009</v>
      </c>
      <c r="B510" s="208">
        <f>IF(ISBLANK(GlobBerMedDisc!$P$11),"",GlobBerMedDisc!$P$11)</f>
        <v>1</v>
      </c>
      <c r="C510" s="7">
        <v>1</v>
      </c>
      <c r="D510" s="208"/>
      <c r="E510" s="208"/>
      <c r="F510" s="208"/>
    </row>
    <row r="511" spans="1:6" x14ac:dyDescent="0.2">
      <c r="A511" s="208" t="s">
        <v>2010</v>
      </c>
      <c r="B511" s="208">
        <f>IF(ISBLANK(GlobBerMedDisc!$P$12),"",GlobBerMedDisc!$P$12)</f>
        <v>1</v>
      </c>
      <c r="C511" s="7">
        <v>1</v>
      </c>
      <c r="D511" s="208"/>
      <c r="E511" s="208"/>
      <c r="F511" s="208"/>
    </row>
    <row r="512" spans="1:6" x14ac:dyDescent="0.2">
      <c r="A512" s="208" t="s">
        <v>2011</v>
      </c>
      <c r="B512" s="208">
        <f>IF(ISBLANK(GlobBerMedDisc!$P$13),"",GlobBerMedDisc!$P$13)</f>
        <v>1</v>
      </c>
      <c r="C512" s="7">
        <v>1</v>
      </c>
      <c r="D512" s="208"/>
      <c r="E512" s="208"/>
      <c r="F512" s="208"/>
    </row>
    <row r="513" spans="1:6" x14ac:dyDescent="0.2">
      <c r="A513" s="208" t="s">
        <v>2012</v>
      </c>
      <c r="B513" s="208">
        <f>IF(ISBLANK(GlobBerMedDisc!$P$14),"",GlobBerMedDisc!$P$14)</f>
        <v>1</v>
      </c>
      <c r="C513" s="7">
        <v>1</v>
      </c>
      <c r="D513" s="208"/>
      <c r="E513" s="208"/>
      <c r="F513" s="208"/>
    </row>
    <row r="514" spans="1:6" x14ac:dyDescent="0.2">
      <c r="A514" s="208" t="s">
        <v>2013</v>
      </c>
      <c r="B514" s="208">
        <f>IF(ISBLANK(GlobBerMedDisc!$P$15),"",GlobBerMedDisc!$P$15)</f>
        <v>1</v>
      </c>
      <c r="C514" s="7">
        <v>1</v>
      </c>
      <c r="D514" s="208"/>
      <c r="E514" s="208"/>
      <c r="F514" s="208"/>
    </row>
    <row r="515" spans="1:6" x14ac:dyDescent="0.2">
      <c r="A515" s="208" t="s">
        <v>2014</v>
      </c>
      <c r="B515" s="208">
        <f>IF(ISBLANK(GlobBerMedDisc!$P$16),"",GlobBerMedDisc!$P$16)</f>
        <v>1</v>
      </c>
      <c r="C515" s="7">
        <v>1</v>
      </c>
      <c r="D515" s="208"/>
      <c r="E515" s="208"/>
      <c r="F515" s="208"/>
    </row>
    <row r="516" spans="1:6" x14ac:dyDescent="0.2">
      <c r="A516" s="208" t="s">
        <v>2015</v>
      </c>
      <c r="B516" s="208">
        <f>IF(ISBLANK(GlobBerMedDisc!$P$17),"",GlobBerMedDisc!$P$17)</f>
        <v>1</v>
      </c>
      <c r="C516" s="7">
        <v>1</v>
      </c>
      <c r="D516" s="208"/>
      <c r="E516" s="208"/>
      <c r="F516" s="208"/>
    </row>
    <row r="517" spans="1:6" x14ac:dyDescent="0.2">
      <c r="A517" s="208" t="s">
        <v>2016</v>
      </c>
      <c r="B517" s="208">
        <f>IF(ISBLANK(GlobBerMedDisc!$P$18),"",GlobBerMedDisc!$P$18)</f>
        <v>1</v>
      </c>
      <c r="C517" s="7">
        <v>1</v>
      </c>
      <c r="D517" s="208"/>
      <c r="E517" s="208"/>
    </row>
    <row r="518" spans="1:6" x14ac:dyDescent="0.2">
      <c r="A518" s="208" t="s">
        <v>2017</v>
      </c>
      <c r="B518" s="208">
        <f>IF(ISBLANK(GlobBerMedDisc!$P$19),"",GlobBerMedDisc!$P$19)</f>
        <v>1</v>
      </c>
      <c r="C518" s="7">
        <v>1</v>
      </c>
      <c r="D518" s="208"/>
      <c r="E518" s="208"/>
    </row>
    <row r="519" spans="1:6" x14ac:dyDescent="0.2">
      <c r="A519" s="208" t="s">
        <v>2018</v>
      </c>
      <c r="B519" s="208">
        <f>IF(ISBLANK(GlobBerMedDisc!$P$20),"",GlobBerMedDisc!$P$20)</f>
        <v>1</v>
      </c>
      <c r="C519" s="7">
        <v>1</v>
      </c>
      <c r="D519" s="208"/>
      <c r="E519" s="208"/>
    </row>
    <row r="520" spans="1:6" x14ac:dyDescent="0.2">
      <c r="A520" s="208" t="s">
        <v>2019</v>
      </c>
      <c r="B520" s="208">
        <f>IF(ISBLANK(GlobBerMedDisc!$P$21),"",GlobBerMedDisc!$P$21)</f>
        <v>1</v>
      </c>
      <c r="C520" s="7">
        <v>1</v>
      </c>
      <c r="D520" s="208"/>
      <c r="E520" s="208"/>
    </row>
    <row r="521" spans="1:6" x14ac:dyDescent="0.2">
      <c r="A521" s="208" t="s">
        <v>2020</v>
      </c>
      <c r="B521" s="208">
        <f>IF(ISBLANK(GlobBerMedDisc!$P$22),"",GlobBerMedDisc!$P$22)</f>
        <v>1</v>
      </c>
      <c r="C521" s="7">
        <v>1</v>
      </c>
      <c r="D521" s="208"/>
      <c r="E521" s="208"/>
    </row>
    <row r="522" spans="1:6" x14ac:dyDescent="0.2">
      <c r="A522" s="208" t="s">
        <v>2021</v>
      </c>
      <c r="B522" s="208">
        <f>IF(ISBLANK(GlobBerMedDisc!$P$23),"",GlobBerMedDisc!$P$23)</f>
        <v>1</v>
      </c>
      <c r="C522" s="7">
        <v>1</v>
      </c>
      <c r="D522" s="208"/>
      <c r="E522" s="208"/>
    </row>
    <row r="523" spans="1:6" x14ac:dyDescent="0.2">
      <c r="A523" s="208" t="s">
        <v>2022</v>
      </c>
      <c r="B523" s="208">
        <f>IF(ISBLANK(GlobBerMedDisc!$P$24),"",GlobBerMedDisc!$P$24)</f>
        <v>1</v>
      </c>
      <c r="C523" s="7">
        <v>1</v>
      </c>
      <c r="D523" s="208"/>
      <c r="E523" s="208"/>
    </row>
    <row r="524" spans="1:6" x14ac:dyDescent="0.2">
      <c r="A524" s="208" t="s">
        <v>2023</v>
      </c>
      <c r="B524" s="208">
        <f>IF(ISBLANK(GlobBerMedDisc!$P$25),"",GlobBerMedDisc!$P$25)</f>
        <v>1</v>
      </c>
      <c r="C524" s="7">
        <v>1</v>
      </c>
      <c r="D524" s="208"/>
      <c r="E524" s="208"/>
    </row>
    <row r="525" spans="1:6" x14ac:dyDescent="0.2">
      <c r="A525" s="208" t="s">
        <v>2024</v>
      </c>
      <c r="B525" s="208">
        <f>IF(ISBLANK(GlobBerMedDisc!$P$26),"",GlobBerMedDisc!$P$26)</f>
        <v>1</v>
      </c>
      <c r="C525" s="7">
        <v>1</v>
      </c>
      <c r="D525" s="208"/>
      <c r="E525" s="208"/>
    </row>
    <row r="526" spans="1:6" x14ac:dyDescent="0.2">
      <c r="A526" s="208" t="s">
        <v>2025</v>
      </c>
      <c r="B526" s="208">
        <f>IF(ISBLANK(GlobBerMedDisc!$P$27),"",GlobBerMedDisc!$P$27)</f>
        <v>1</v>
      </c>
      <c r="C526" s="7">
        <v>1</v>
      </c>
      <c r="D526" s="208"/>
      <c r="E526" s="208"/>
    </row>
    <row r="527" spans="1:6" x14ac:dyDescent="0.2">
      <c r="A527" s="208" t="s">
        <v>2026</v>
      </c>
      <c r="B527" s="208">
        <f>IF(ISBLANK(GlobBerMedDisc!$P$28),"",GlobBerMedDisc!$P$28)</f>
        <v>1</v>
      </c>
      <c r="C527" s="7">
        <v>1</v>
      </c>
      <c r="D527" s="208"/>
      <c r="E527" s="208"/>
    </row>
    <row r="528" spans="1:6" x14ac:dyDescent="0.2">
      <c r="A528" s="208" t="s">
        <v>2027</v>
      </c>
      <c r="B528" s="208">
        <f>IF(ISBLANK(GlobBerMedDisc!$P$29),"",GlobBerMedDisc!$P$29)</f>
        <v>1</v>
      </c>
      <c r="C528" s="7">
        <v>1</v>
      </c>
      <c r="D528" s="208"/>
      <c r="E528" s="208"/>
    </row>
    <row r="529" spans="1:6" x14ac:dyDescent="0.2">
      <c r="A529" s="208" t="s">
        <v>2028</v>
      </c>
      <c r="B529" s="208">
        <f>IF(ISBLANK(GlobBerMedDisc!$P$30),"",GlobBerMedDisc!$P$30)</f>
        <v>1</v>
      </c>
      <c r="C529" s="7">
        <v>1</v>
      </c>
      <c r="D529" s="208"/>
      <c r="E529" s="208"/>
    </row>
    <row r="530" spans="1:6" x14ac:dyDescent="0.2">
      <c r="A530" s="208" t="s">
        <v>2029</v>
      </c>
      <c r="B530" s="208">
        <f>IF(ISBLANK(GlobBerMedDisc!$P$31),"",GlobBerMedDisc!$P$31)</f>
        <v>1</v>
      </c>
      <c r="C530" s="7">
        <v>1</v>
      </c>
      <c r="D530" s="208"/>
      <c r="E530" s="208"/>
    </row>
    <row r="531" spans="1:6" x14ac:dyDescent="0.2">
      <c r="A531" s="208" t="s">
        <v>5720</v>
      </c>
      <c r="B531" s="208" t="str">
        <f>IF(ISBLANK(GlobBerMedDisc!$AY$2),"",GlobBerMedDisc!$AY$2)</f>
        <v/>
      </c>
      <c r="C531" s="7"/>
      <c r="D531" s="208"/>
      <c r="E531" s="208"/>
    </row>
    <row r="532" spans="1:6" x14ac:dyDescent="0.2">
      <c r="A532" s="208" t="s">
        <v>5722</v>
      </c>
      <c r="B532" s="208" t="str">
        <f>IF(ISBLANK(GlobBerMedDisc!$AY$3),"",GlobBerMedDisc!$AY$3)</f>
        <v/>
      </c>
      <c r="C532" s="7"/>
      <c r="D532" s="208"/>
      <c r="E532" s="208"/>
    </row>
    <row r="533" spans="1:6" x14ac:dyDescent="0.2">
      <c r="A533" s="208" t="s">
        <v>5724</v>
      </c>
      <c r="B533" s="208" t="str">
        <f>IF(ISBLANK(GlobBerMedDisc!$AY$4),"",GlobBerMedDisc!$AY$4)</f>
        <v/>
      </c>
      <c r="C533" s="7"/>
      <c r="D533" s="208"/>
      <c r="E533" s="208"/>
    </row>
    <row r="534" spans="1:6" x14ac:dyDescent="0.2">
      <c r="A534" s="208" t="s">
        <v>5726</v>
      </c>
      <c r="B534" s="208" t="str">
        <f>IF(ISBLANK(GlobBerMedDisc!$AY$5),"",GlobBerMedDisc!$AY$5)</f>
        <v/>
      </c>
      <c r="C534" s="7"/>
      <c r="D534" s="208"/>
      <c r="E534" s="208"/>
    </row>
    <row r="535" spans="1:6" x14ac:dyDescent="0.2">
      <c r="A535" s="208" t="s">
        <v>5728</v>
      </c>
      <c r="B535" s="208" t="str">
        <f>IF(ISBLANK(GlobBerMedDisc!$AY$6),"",GlobBerMedDisc!$AY$6)</f>
        <v/>
      </c>
      <c r="C535" s="7"/>
      <c r="D535" s="208"/>
      <c r="E535" s="208"/>
    </row>
    <row r="536" spans="1:6" x14ac:dyDescent="0.2">
      <c r="A536" s="208" t="s">
        <v>5730</v>
      </c>
      <c r="B536" s="208" t="str">
        <f>IF(ISBLANK(GlobBerMedDisc!$AY$7),"",GlobBerMedDisc!$AY$7)</f>
        <v/>
      </c>
      <c r="C536" s="7"/>
      <c r="D536" s="208"/>
      <c r="E536" s="208"/>
      <c r="F536" s="208"/>
    </row>
    <row r="537" spans="1:6" x14ac:dyDescent="0.2">
      <c r="A537" s="208" t="s">
        <v>5732</v>
      </c>
      <c r="B537" s="208" t="str">
        <f>IF(ISBLANK(GlobBerMedDisc!$AY$8),"",GlobBerMedDisc!$AY$8)</f>
        <v/>
      </c>
      <c r="C537" s="7"/>
      <c r="D537" s="208"/>
      <c r="E537" s="208"/>
    </row>
    <row r="538" spans="1:6" x14ac:dyDescent="0.2">
      <c r="A538" s="208" t="s">
        <v>5734</v>
      </c>
      <c r="B538" s="208" t="str">
        <f>IF(ISBLANK(GlobBerMedDisc!$AY$9),"",GlobBerMedDisc!$AY$9)</f>
        <v/>
      </c>
      <c r="C538" s="7"/>
      <c r="D538" s="208"/>
      <c r="E538" s="208"/>
    </row>
    <row r="539" spans="1:6" x14ac:dyDescent="0.2">
      <c r="A539" s="208" t="s">
        <v>5736</v>
      </c>
      <c r="B539" s="208" t="str">
        <f>IF(ISBLANK(GlobBerMedDisc!$AY$10),"",GlobBerMedDisc!$AY$10)</f>
        <v/>
      </c>
      <c r="C539" s="7"/>
      <c r="D539" s="208"/>
      <c r="E539" s="208"/>
    </row>
    <row r="540" spans="1:6" x14ac:dyDescent="0.2">
      <c r="A540" s="208" t="s">
        <v>5738</v>
      </c>
      <c r="B540" s="208" t="str">
        <f>IF(ISBLANK(GlobBerMedDisc!$AY$11),"",GlobBerMedDisc!$AY$11)</f>
        <v/>
      </c>
      <c r="C540" s="7"/>
      <c r="D540" s="208"/>
      <c r="E540" s="208"/>
    </row>
    <row r="541" spans="1:6" x14ac:dyDescent="0.2">
      <c r="A541" s="208" t="s">
        <v>5740</v>
      </c>
      <c r="B541" s="208" t="str">
        <f>IF(ISBLANK(GlobBerMedDisc!$AY$12),"",GlobBerMedDisc!$AY$12)</f>
        <v/>
      </c>
      <c r="C541" s="7"/>
      <c r="D541" s="208"/>
      <c r="E541" s="208"/>
    </row>
    <row r="542" spans="1:6" x14ac:dyDescent="0.2">
      <c r="A542" s="208" t="s">
        <v>5742</v>
      </c>
      <c r="B542" s="208" t="str">
        <f>IF(ISBLANK(GlobBerMedDisc!$AY$13),"",GlobBerMedDisc!$AY$13)</f>
        <v/>
      </c>
      <c r="C542" s="7"/>
      <c r="D542" s="208"/>
      <c r="E542" s="208"/>
    </row>
    <row r="543" spans="1:6" x14ac:dyDescent="0.2">
      <c r="A543" s="208" t="s">
        <v>5744</v>
      </c>
      <c r="B543" s="208" t="str">
        <f>IF(ISBLANK(GlobBerMedDisc!$AY$14),"",GlobBerMedDisc!$AY$14)</f>
        <v/>
      </c>
      <c r="C543" s="7"/>
      <c r="D543" s="208"/>
      <c r="E543" s="208"/>
    </row>
    <row r="544" spans="1:6" x14ac:dyDescent="0.2">
      <c r="A544" s="208" t="s">
        <v>5746</v>
      </c>
      <c r="B544" s="208" t="str">
        <f>IF(ISBLANK(GlobBerMedDisc!$AY$15),"",GlobBerMedDisc!$AY$15)</f>
        <v/>
      </c>
      <c r="C544" s="7"/>
      <c r="D544" s="208"/>
      <c r="E544" s="208"/>
    </row>
    <row r="545" spans="1:6" x14ac:dyDescent="0.2">
      <c r="A545" s="208" t="s">
        <v>5748</v>
      </c>
      <c r="B545" s="208" t="str">
        <f>IF(ISBLANK(GlobBerMedDisc!$AY$16),"",GlobBerMedDisc!$AY$16)</f>
        <v/>
      </c>
      <c r="C545" s="7"/>
      <c r="D545" s="208"/>
      <c r="E545" s="208"/>
    </row>
    <row r="546" spans="1:6" x14ac:dyDescent="0.2">
      <c r="A546" s="208" t="s">
        <v>5750</v>
      </c>
      <c r="B546" s="208" t="str">
        <f>IF(ISBLANK(GlobBerMedDisc!$AY$17),"",GlobBerMedDisc!$AY$17)</f>
        <v/>
      </c>
      <c r="C546" s="7"/>
      <c r="D546" s="208"/>
      <c r="E546" s="208"/>
    </row>
    <row r="547" spans="1:6" s="208" customFormat="1" x14ac:dyDescent="0.2">
      <c r="A547" s="208" t="s">
        <v>5752</v>
      </c>
      <c r="B547" s="208" t="str">
        <f>IF(ISBLANK(GlobBerMedDisc!$AY$18),"",GlobBerMedDisc!$AY$18)</f>
        <v/>
      </c>
      <c r="C547" s="7"/>
      <c r="D547"/>
      <c r="E547"/>
      <c r="F547"/>
    </row>
    <row r="548" spans="1:6" s="208" customFormat="1" x14ac:dyDescent="0.2">
      <c r="A548" s="208" t="s">
        <v>5754</v>
      </c>
      <c r="B548" s="208" t="str">
        <f>IF(ISBLANK(GlobBerMedDisc!$AY$19),"",GlobBerMedDisc!$AY$19)</f>
        <v/>
      </c>
      <c r="C548" s="7"/>
      <c r="D548"/>
      <c r="E548"/>
      <c r="F548"/>
    </row>
    <row r="549" spans="1:6" s="208" customFormat="1" x14ac:dyDescent="0.2">
      <c r="A549" s="208" t="s">
        <v>5756</v>
      </c>
      <c r="B549" s="208" t="str">
        <f>IF(ISBLANK(GlobBerMedDisc!$AY$20),"",GlobBerMedDisc!$AY$20)</f>
        <v/>
      </c>
      <c r="C549" s="7"/>
      <c r="D549"/>
      <c r="E549"/>
      <c r="F549"/>
    </row>
    <row r="550" spans="1:6" s="208" customFormat="1" x14ac:dyDescent="0.2">
      <c r="A550" s="208" t="s">
        <v>5758</v>
      </c>
      <c r="B550" s="208" t="str">
        <f>IF(ISBLANK(GlobBerMedDisc!$AY$21),"",GlobBerMedDisc!$AY$21)</f>
        <v/>
      </c>
      <c r="C550" s="7"/>
      <c r="D550"/>
      <c r="E550"/>
      <c r="F550"/>
    </row>
    <row r="551" spans="1:6" s="208" customFormat="1" x14ac:dyDescent="0.2">
      <c r="A551" s="208" t="s">
        <v>5760</v>
      </c>
      <c r="B551" s="208" t="str">
        <f>IF(ISBLANK(GlobBerMedDisc!$AY$22),"",GlobBerMedDisc!$AY$22)</f>
        <v/>
      </c>
      <c r="C551" s="7"/>
      <c r="D551"/>
      <c r="E551"/>
      <c r="F551"/>
    </row>
    <row r="552" spans="1:6" s="208" customFormat="1" x14ac:dyDescent="0.2">
      <c r="A552" s="208" t="s">
        <v>5762</v>
      </c>
      <c r="B552" s="208" t="str">
        <f>IF(ISBLANK(GlobBerMedDisc!$AY$23),"",GlobBerMedDisc!$AY$23)</f>
        <v/>
      </c>
      <c r="C552" s="7"/>
      <c r="D552"/>
      <c r="E552"/>
      <c r="F552"/>
    </row>
    <row r="553" spans="1:6" s="208" customFormat="1" x14ac:dyDescent="0.2">
      <c r="A553" s="208" t="s">
        <v>5764</v>
      </c>
      <c r="B553" s="208" t="str">
        <f>IF(ISBLANK(GlobBerMedDisc!$AY$24),"",GlobBerMedDisc!$AY$24)</f>
        <v/>
      </c>
      <c r="C553" s="7"/>
      <c r="D553"/>
      <c r="E553"/>
      <c r="F553"/>
    </row>
    <row r="554" spans="1:6" s="208" customFormat="1" x14ac:dyDescent="0.2">
      <c r="A554" s="208" t="s">
        <v>5766</v>
      </c>
      <c r="B554" s="208" t="str">
        <f>IF(ISBLANK(GlobBerMedDisc!$AY$25),"",GlobBerMedDisc!$AY$25)</f>
        <v/>
      </c>
      <c r="C554" s="7"/>
      <c r="D554"/>
      <c r="E554"/>
      <c r="F554"/>
    </row>
    <row r="555" spans="1:6" s="208" customFormat="1" x14ac:dyDescent="0.2">
      <c r="A555" s="208" t="s">
        <v>5768</v>
      </c>
      <c r="B555" s="208" t="str">
        <f>IF(ISBLANK(GlobBerMedDisc!$AY$26),"",GlobBerMedDisc!$AY$26)</f>
        <v/>
      </c>
      <c r="C555" s="7"/>
      <c r="D555"/>
      <c r="E555"/>
      <c r="F555"/>
    </row>
    <row r="556" spans="1:6" s="208" customFormat="1" x14ac:dyDescent="0.2">
      <c r="A556" s="208" t="s">
        <v>5770</v>
      </c>
      <c r="B556" s="208" t="str">
        <f>IF(ISBLANK(GlobBerMedDisc!$AY$27),"",GlobBerMedDisc!$AY$27)</f>
        <v/>
      </c>
      <c r="C556" s="7"/>
      <c r="D556"/>
      <c r="E556"/>
      <c r="F556"/>
    </row>
    <row r="557" spans="1:6" s="208" customFormat="1" x14ac:dyDescent="0.2">
      <c r="A557" s="208" t="s">
        <v>5772</v>
      </c>
      <c r="B557" s="208" t="str">
        <f>IF(ISBLANK(GlobBerMedDisc!$AY$28),"",GlobBerMedDisc!$AY$28)</f>
        <v/>
      </c>
      <c r="C557" s="7"/>
      <c r="D557"/>
      <c r="E557"/>
      <c r="F557"/>
    </row>
    <row r="558" spans="1:6" s="208" customFormat="1" x14ac:dyDescent="0.2">
      <c r="A558" s="208" t="s">
        <v>5774</v>
      </c>
      <c r="B558" s="208" t="str">
        <f>IF(ISBLANK(GlobBerMedDisc!$AY$29),"",GlobBerMedDisc!$AY$29)</f>
        <v/>
      </c>
      <c r="C558" s="7"/>
      <c r="D558"/>
      <c r="E558"/>
      <c r="F558"/>
    </row>
    <row r="559" spans="1:6" s="208" customFormat="1" x14ac:dyDescent="0.2">
      <c r="A559" s="208" t="s">
        <v>5776</v>
      </c>
      <c r="B559" s="208" t="str">
        <f>IF(ISBLANK(GlobBerMedDisc!$AY$30),"",GlobBerMedDisc!$AY$30)</f>
        <v/>
      </c>
      <c r="C559" s="7"/>
      <c r="D559"/>
      <c r="E559"/>
      <c r="F559"/>
    </row>
    <row r="560" spans="1:6" s="208" customFormat="1" x14ac:dyDescent="0.2">
      <c r="A560" s="208" t="s">
        <v>5778</v>
      </c>
      <c r="B560" s="208" t="str">
        <f>IF(ISBLANK(GlobBerMedDisc!$AY$31),"",GlobBerMedDisc!$AY$31)</f>
        <v/>
      </c>
      <c r="C560" s="7"/>
      <c r="D560"/>
      <c r="E560"/>
      <c r="F560"/>
    </row>
    <row r="561" spans="1:6" s="208" customFormat="1" x14ac:dyDescent="0.2">
      <c r="A561" s="208" t="s">
        <v>2030</v>
      </c>
      <c r="B561" s="208">
        <f>IF(ISBLANK(GlobBerMedDisc!$O$2),"",GlobBerMedDisc!$O$2)</f>
        <v>0</v>
      </c>
      <c r="C561" s="210">
        <v>0</v>
      </c>
      <c r="D561"/>
      <c r="E561"/>
      <c r="F561"/>
    </row>
    <row r="562" spans="1:6" s="208" customFormat="1" x14ac:dyDescent="0.2">
      <c r="A562" s="208" t="s">
        <v>2031</v>
      </c>
      <c r="B562" s="208">
        <f>IF(ISBLANK(GlobBerMedDisc!$O$3),"",GlobBerMedDisc!$O$3)</f>
        <v>0</v>
      </c>
      <c r="C562" s="210">
        <v>0</v>
      </c>
      <c r="D562"/>
      <c r="E562"/>
      <c r="F562"/>
    </row>
    <row r="563" spans="1:6" s="208" customFormat="1" x14ac:dyDescent="0.2">
      <c r="A563" s="208" t="s">
        <v>2032</v>
      </c>
      <c r="B563" s="208">
        <f>IF(ISBLANK(GlobBerMedDisc!$O$4),"",GlobBerMedDisc!$O$4)</f>
        <v>0</v>
      </c>
      <c r="C563" s="210">
        <v>0</v>
      </c>
      <c r="D563"/>
      <c r="E563"/>
      <c r="F563"/>
    </row>
    <row r="564" spans="1:6" s="208" customFormat="1" x14ac:dyDescent="0.2">
      <c r="A564" s="208" t="s">
        <v>2033</v>
      </c>
      <c r="B564" s="208">
        <f>IF(ISBLANK(GlobBerMedDisc!$O$5),"",GlobBerMedDisc!$O$5)</f>
        <v>0</v>
      </c>
      <c r="C564" s="210">
        <v>0</v>
      </c>
      <c r="D564"/>
      <c r="E564"/>
      <c r="F564"/>
    </row>
    <row r="565" spans="1:6" s="208" customFormat="1" x14ac:dyDescent="0.2">
      <c r="A565" s="208" t="s">
        <v>2034</v>
      </c>
      <c r="B565" s="208">
        <f>IF(ISBLANK(GlobBerMedDisc!$O$6),"",GlobBerMedDisc!$O$6)</f>
        <v>0</v>
      </c>
      <c r="C565" s="210">
        <v>0</v>
      </c>
      <c r="D565"/>
      <c r="E565"/>
      <c r="F565"/>
    </row>
    <row r="566" spans="1:6" s="208" customFormat="1" x14ac:dyDescent="0.2">
      <c r="A566" s="208" t="s">
        <v>2035</v>
      </c>
      <c r="B566" s="208">
        <f>IF(ISBLANK(GlobBerMedDisc!$O$7),"",GlobBerMedDisc!$O$7)</f>
        <v>0</v>
      </c>
      <c r="C566" s="210">
        <v>0</v>
      </c>
      <c r="D566"/>
      <c r="E566"/>
      <c r="F566"/>
    </row>
    <row r="567" spans="1:6" s="208" customFormat="1" x14ac:dyDescent="0.2">
      <c r="A567" s="208" t="s">
        <v>2036</v>
      </c>
      <c r="B567" s="208">
        <f>IF(ISBLANK(GlobBerMedDisc!$O$8),"",GlobBerMedDisc!$O$8)</f>
        <v>0</v>
      </c>
      <c r="C567" s="210">
        <v>0</v>
      </c>
      <c r="D567"/>
      <c r="E567"/>
      <c r="F567"/>
    </row>
    <row r="568" spans="1:6" s="208" customFormat="1" x14ac:dyDescent="0.2">
      <c r="A568" s="208" t="s">
        <v>2037</v>
      </c>
      <c r="B568" s="208">
        <f>IF(ISBLANK(GlobBerMedDisc!$O$9),"",GlobBerMedDisc!$O$9)</f>
        <v>0</v>
      </c>
      <c r="C568" s="210">
        <v>0</v>
      </c>
      <c r="D568"/>
      <c r="E568"/>
      <c r="F568"/>
    </row>
    <row r="569" spans="1:6" s="208" customFormat="1" x14ac:dyDescent="0.2">
      <c r="A569" s="208" t="s">
        <v>2038</v>
      </c>
      <c r="B569" s="208">
        <f>IF(ISBLANK(GlobBerMedDisc!$O$10),"",GlobBerMedDisc!$O$10)</f>
        <v>0</v>
      </c>
      <c r="C569" s="210">
        <v>0</v>
      </c>
      <c r="D569"/>
      <c r="E569"/>
      <c r="F569"/>
    </row>
    <row r="570" spans="1:6" s="208" customFormat="1" x14ac:dyDescent="0.2">
      <c r="A570" s="208" t="s">
        <v>2039</v>
      </c>
      <c r="B570" s="208">
        <f>IF(ISBLANK(GlobBerMedDisc!$O$11),"",GlobBerMedDisc!$O$11)</f>
        <v>0</v>
      </c>
      <c r="C570" s="210">
        <v>0</v>
      </c>
      <c r="D570"/>
      <c r="E570"/>
      <c r="F570"/>
    </row>
    <row r="571" spans="1:6" s="208" customFormat="1" x14ac:dyDescent="0.2">
      <c r="A571" s="208" t="s">
        <v>2040</v>
      </c>
      <c r="B571" s="208">
        <f>IF(ISBLANK(GlobBerMedDisc!$O$12),"",GlobBerMedDisc!$O$12)</f>
        <v>0</v>
      </c>
      <c r="C571" s="210">
        <v>0</v>
      </c>
      <c r="D571"/>
      <c r="E571"/>
      <c r="F571"/>
    </row>
    <row r="572" spans="1:6" s="208" customFormat="1" x14ac:dyDescent="0.2">
      <c r="A572" s="208" t="s">
        <v>2041</v>
      </c>
      <c r="B572" s="208">
        <f>IF(ISBLANK(GlobBerMedDisc!$O$13),"",GlobBerMedDisc!$O$13)</f>
        <v>0</v>
      </c>
      <c r="C572" s="210">
        <v>0</v>
      </c>
      <c r="D572"/>
      <c r="E572"/>
      <c r="F572"/>
    </row>
    <row r="573" spans="1:6" s="208" customFormat="1" x14ac:dyDescent="0.2">
      <c r="A573" s="208" t="s">
        <v>2042</v>
      </c>
      <c r="B573" s="208">
        <f>IF(ISBLANK(GlobBerMedDisc!$O$14),"",GlobBerMedDisc!$O$14)</f>
        <v>0</v>
      </c>
      <c r="C573" s="210">
        <v>0</v>
      </c>
      <c r="D573"/>
      <c r="E573"/>
      <c r="F573"/>
    </row>
    <row r="574" spans="1:6" s="208" customFormat="1" x14ac:dyDescent="0.2">
      <c r="A574" s="208" t="s">
        <v>2043</v>
      </c>
      <c r="B574" s="208">
        <f>IF(ISBLANK(GlobBerMedDisc!$O$15),"",GlobBerMedDisc!$O$15)</f>
        <v>0</v>
      </c>
      <c r="C574" s="210">
        <v>0</v>
      </c>
      <c r="D574"/>
      <c r="E574"/>
      <c r="F574"/>
    </row>
    <row r="575" spans="1:6" s="208" customFormat="1" x14ac:dyDescent="0.2">
      <c r="A575" s="208" t="s">
        <v>2044</v>
      </c>
      <c r="B575" s="208">
        <f>IF(ISBLANK(GlobBerMedDisc!$O$16),"",GlobBerMedDisc!$O$16)</f>
        <v>0</v>
      </c>
      <c r="C575" s="210">
        <v>0</v>
      </c>
      <c r="D575"/>
      <c r="E575"/>
      <c r="F575"/>
    </row>
    <row r="576" spans="1:6" s="208" customFormat="1" x14ac:dyDescent="0.2">
      <c r="A576" s="208" t="s">
        <v>2045</v>
      </c>
      <c r="B576" s="208">
        <f>IF(ISBLANK(GlobBerMedDisc!$O$17),"",GlobBerMedDisc!$O$17)</f>
        <v>0</v>
      </c>
      <c r="C576" s="210">
        <v>0</v>
      </c>
      <c r="D576"/>
      <c r="E576"/>
      <c r="F576"/>
    </row>
    <row r="577" spans="1:6" s="208" customFormat="1" x14ac:dyDescent="0.2">
      <c r="A577" s="208" t="s">
        <v>2046</v>
      </c>
      <c r="B577" s="208">
        <f>IF(ISBLANK(GlobBerMedDisc!$O$18),"",GlobBerMedDisc!$O$18)</f>
        <v>0</v>
      </c>
      <c r="C577" s="210">
        <v>0</v>
      </c>
      <c r="D577"/>
      <c r="E577"/>
      <c r="F577"/>
    </row>
    <row r="578" spans="1:6" s="208" customFormat="1" x14ac:dyDescent="0.2">
      <c r="A578" s="208" t="s">
        <v>2047</v>
      </c>
      <c r="B578" s="208">
        <f>IF(ISBLANK(GlobBerMedDisc!$O$19),"",GlobBerMedDisc!$O$19)</f>
        <v>0</v>
      </c>
      <c r="C578" s="210">
        <v>0</v>
      </c>
      <c r="D578"/>
      <c r="E578"/>
      <c r="F578"/>
    </row>
    <row r="579" spans="1:6" s="208" customFormat="1" x14ac:dyDescent="0.2">
      <c r="A579" s="208" t="s">
        <v>2048</v>
      </c>
      <c r="B579" s="208">
        <f>IF(ISBLANK(GlobBerMedDisc!$O$20),"",GlobBerMedDisc!$O$20)</f>
        <v>0</v>
      </c>
      <c r="C579" s="210">
        <v>0</v>
      </c>
      <c r="D579"/>
      <c r="E579"/>
      <c r="F579"/>
    </row>
    <row r="580" spans="1:6" s="208" customFormat="1" x14ac:dyDescent="0.2">
      <c r="A580" s="208" t="s">
        <v>2049</v>
      </c>
      <c r="B580" s="208">
        <f>IF(ISBLANK(GlobBerMedDisc!$O$21),"",GlobBerMedDisc!$O$21)</f>
        <v>0</v>
      </c>
      <c r="C580" s="210">
        <v>0</v>
      </c>
      <c r="D580"/>
      <c r="E580"/>
      <c r="F580"/>
    </row>
    <row r="581" spans="1:6" s="208" customFormat="1" x14ac:dyDescent="0.2">
      <c r="A581" s="208" t="s">
        <v>2050</v>
      </c>
      <c r="B581" s="208">
        <f>IF(ISBLANK(GlobBerMedDisc!$O$22),"",GlobBerMedDisc!$O$22)</f>
        <v>0</v>
      </c>
      <c r="C581" s="210">
        <v>0</v>
      </c>
      <c r="D581"/>
      <c r="E581"/>
      <c r="F581"/>
    </row>
    <row r="582" spans="1:6" s="208" customFormat="1" x14ac:dyDescent="0.2">
      <c r="A582" s="208" t="s">
        <v>2051</v>
      </c>
      <c r="B582" s="208">
        <f>IF(ISBLANK(GlobBerMedDisc!$O$23),"",GlobBerMedDisc!$O$23)</f>
        <v>0</v>
      </c>
      <c r="C582" s="210">
        <v>0</v>
      </c>
      <c r="D582"/>
      <c r="E582"/>
    </row>
    <row r="583" spans="1:6" s="208" customFormat="1" x14ac:dyDescent="0.2">
      <c r="A583" s="208" t="s">
        <v>2052</v>
      </c>
      <c r="B583" s="208">
        <f>IF(ISBLANK(GlobBerMedDisc!$O$24),"",GlobBerMedDisc!$O$24)</f>
        <v>0</v>
      </c>
      <c r="C583" s="210">
        <v>0</v>
      </c>
      <c r="D583"/>
      <c r="E583"/>
      <c r="F583"/>
    </row>
    <row r="584" spans="1:6" s="208" customFormat="1" x14ac:dyDescent="0.2">
      <c r="A584" s="208" t="s">
        <v>2053</v>
      </c>
      <c r="B584" s="208">
        <f>IF(ISBLANK(GlobBerMedDisc!$O$25),"",GlobBerMedDisc!$O$25)</f>
        <v>0</v>
      </c>
      <c r="C584" s="210">
        <v>0</v>
      </c>
      <c r="D584"/>
      <c r="E584"/>
      <c r="F584"/>
    </row>
    <row r="585" spans="1:6" s="208" customFormat="1" x14ac:dyDescent="0.2">
      <c r="A585" s="208" t="s">
        <v>2054</v>
      </c>
      <c r="B585" s="208">
        <f>IF(ISBLANK(GlobBerMedDisc!$O$26),"",GlobBerMedDisc!$O$26)</f>
        <v>0</v>
      </c>
      <c r="C585" s="210">
        <v>0</v>
      </c>
      <c r="D585"/>
      <c r="E585"/>
      <c r="F585"/>
    </row>
    <row r="586" spans="1:6" s="208" customFormat="1" x14ac:dyDescent="0.2">
      <c r="A586" s="208" t="s">
        <v>2055</v>
      </c>
      <c r="B586" s="208">
        <f>IF(ISBLANK(GlobBerMedDisc!$O$27),"",GlobBerMedDisc!$O$27)</f>
        <v>0</v>
      </c>
      <c r="C586" s="210">
        <v>0</v>
      </c>
      <c r="D586"/>
      <c r="E586"/>
      <c r="F586"/>
    </row>
    <row r="587" spans="1:6" s="208" customFormat="1" x14ac:dyDescent="0.2">
      <c r="A587" s="208" t="s">
        <v>2056</v>
      </c>
      <c r="B587" s="208">
        <f>IF(ISBLANK(GlobBerMedDisc!$O$28),"",GlobBerMedDisc!$O$28)</f>
        <v>0</v>
      </c>
      <c r="C587" s="210">
        <v>0</v>
      </c>
      <c r="D587"/>
      <c r="E587"/>
    </row>
    <row r="588" spans="1:6" s="208" customFormat="1" x14ac:dyDescent="0.2">
      <c r="A588" s="208" t="s">
        <v>2057</v>
      </c>
      <c r="B588" s="208">
        <f>IF(ISBLANK(GlobBerMedDisc!$O$29),"",GlobBerMedDisc!$O$29)</f>
        <v>0</v>
      </c>
      <c r="C588" s="210">
        <v>0</v>
      </c>
      <c r="D588"/>
      <c r="E588"/>
      <c r="F588"/>
    </row>
    <row r="589" spans="1:6" x14ac:dyDescent="0.2">
      <c r="A589" s="208" t="s">
        <v>2058</v>
      </c>
      <c r="B589" s="208">
        <f>IF(ISBLANK(GlobBerMedDisc!$O$30),"",GlobBerMedDisc!$O$30)</f>
        <v>0</v>
      </c>
      <c r="C589" s="210">
        <v>0</v>
      </c>
    </row>
    <row r="590" spans="1:6" x14ac:dyDescent="0.2">
      <c r="A590" s="208" t="s">
        <v>2059</v>
      </c>
      <c r="B590" s="208">
        <f>IF(ISBLANK(GlobBerMedDisc!$O$31),"",GlobBerMedDisc!$O$31)</f>
        <v>0</v>
      </c>
      <c r="C590" s="210">
        <v>0</v>
      </c>
    </row>
    <row r="591" spans="1:6" x14ac:dyDescent="0.2">
      <c r="A591" s="208" t="s">
        <v>2060</v>
      </c>
      <c r="B591" t="str">
        <f>IF(ISBLANK(GlobBerMedDisc!$AD$2),"",GlobBerMedDisc!$AD$2)</f>
        <v/>
      </c>
      <c r="C591" s="99"/>
    </row>
    <row r="592" spans="1:6" x14ac:dyDescent="0.2">
      <c r="A592" s="208" t="s">
        <v>2061</v>
      </c>
      <c r="B592" t="str">
        <f>IF(ISBLANK(GlobBerMedDisc!$AD$3),"",GlobBerMedDisc!$AD$3)</f>
        <v/>
      </c>
      <c r="C592" s="99"/>
    </row>
    <row r="593" spans="1:6" x14ac:dyDescent="0.2">
      <c r="A593" s="208" t="s">
        <v>2062</v>
      </c>
      <c r="B593" t="str">
        <f>IF(ISBLANK(GlobBerMedDisc!$AD$4),"",GlobBerMedDisc!$AD$4)</f>
        <v/>
      </c>
      <c r="C593" s="99"/>
    </row>
    <row r="594" spans="1:6" x14ac:dyDescent="0.2">
      <c r="A594" s="208" t="s">
        <v>2063</v>
      </c>
      <c r="B594" t="str">
        <f>IF(ISBLANK(GlobBerMedDisc!$AD$5),"",GlobBerMedDisc!$AD$5)</f>
        <v/>
      </c>
      <c r="C594" s="99"/>
    </row>
    <row r="595" spans="1:6" x14ac:dyDescent="0.2">
      <c r="A595" s="208" t="s">
        <v>2064</v>
      </c>
      <c r="B595" t="str">
        <f>IF(ISBLANK(GlobBerMedDisc!$AD$6),"",GlobBerMedDisc!$AD$6)</f>
        <v/>
      </c>
      <c r="C595" s="99"/>
    </row>
    <row r="596" spans="1:6" x14ac:dyDescent="0.2">
      <c r="A596" s="208" t="s">
        <v>2065</v>
      </c>
      <c r="B596" t="str">
        <f>IF(ISBLANK(GlobBerMedDisc!$AD$7),"",GlobBerMedDisc!$AD$7)</f>
        <v/>
      </c>
      <c r="C596" s="99"/>
    </row>
    <row r="597" spans="1:6" x14ac:dyDescent="0.2">
      <c r="A597" s="208" t="s">
        <v>2066</v>
      </c>
      <c r="B597" t="str">
        <f>IF(ISBLANK(GlobBerMedDisc!$AD$8),"",GlobBerMedDisc!$AD$8)</f>
        <v/>
      </c>
      <c r="C597" s="99"/>
    </row>
    <row r="598" spans="1:6" x14ac:dyDescent="0.2">
      <c r="A598" s="208" t="s">
        <v>2067</v>
      </c>
      <c r="B598" t="str">
        <f>IF(ISBLANK(GlobBerMedDisc!$AD$9),"",GlobBerMedDisc!$AD$9)</f>
        <v/>
      </c>
      <c r="C598" s="99"/>
    </row>
    <row r="599" spans="1:6" x14ac:dyDescent="0.2">
      <c r="A599" s="208" t="s">
        <v>2068</v>
      </c>
      <c r="B599" t="str">
        <f>IF(ISBLANK(GlobBerMedDisc!$AD$10),"",GlobBerMedDisc!$AD$10)</f>
        <v/>
      </c>
      <c r="C599" s="99"/>
    </row>
    <row r="600" spans="1:6" x14ac:dyDescent="0.2">
      <c r="A600" s="208" t="s">
        <v>2069</v>
      </c>
      <c r="B600" t="str">
        <f>IF(ISBLANK(GlobBerMedDisc!$AD$11),"",GlobBerMedDisc!$AD$11)</f>
        <v/>
      </c>
      <c r="C600" s="99"/>
    </row>
    <row r="601" spans="1:6" x14ac:dyDescent="0.2">
      <c r="A601" s="208" t="s">
        <v>2070</v>
      </c>
      <c r="B601" t="str">
        <f>IF(ISBLANK(GlobBerMedDisc!$AD$12),"",GlobBerMedDisc!$AD$12)</f>
        <v/>
      </c>
      <c r="C601" s="99"/>
    </row>
    <row r="602" spans="1:6" x14ac:dyDescent="0.2">
      <c r="A602" s="208" t="s">
        <v>2071</v>
      </c>
      <c r="B602" t="str">
        <f>IF(ISBLANK(GlobBerMedDisc!$AD$13),"",GlobBerMedDisc!$AD$13)</f>
        <v/>
      </c>
      <c r="C602" s="99"/>
    </row>
    <row r="603" spans="1:6" x14ac:dyDescent="0.2">
      <c r="A603" s="208" t="s">
        <v>2072</v>
      </c>
      <c r="B603" t="str">
        <f>IF(ISBLANK(GlobBerMedDisc!$AD$14),"",GlobBerMedDisc!$AD$14)</f>
        <v/>
      </c>
      <c r="C603" s="99"/>
      <c r="F603" s="208"/>
    </row>
    <row r="604" spans="1:6" x14ac:dyDescent="0.2">
      <c r="A604" s="208" t="s">
        <v>2073</v>
      </c>
      <c r="B604" t="str">
        <f>IF(ISBLANK(GlobBerMedDisc!$AD$15),"",GlobBerMedDisc!$AD$15)</f>
        <v/>
      </c>
      <c r="C604" s="99"/>
    </row>
    <row r="605" spans="1:6" x14ac:dyDescent="0.2">
      <c r="A605" s="208" t="s">
        <v>2074</v>
      </c>
      <c r="B605" t="str">
        <f>IF(ISBLANK(GlobBerMedDisc!$AD$16),"",GlobBerMedDisc!$AD$16)</f>
        <v/>
      </c>
      <c r="C605" s="99"/>
    </row>
    <row r="606" spans="1:6" x14ac:dyDescent="0.2">
      <c r="A606" s="208" t="s">
        <v>2075</v>
      </c>
      <c r="B606" t="str">
        <f>IF(ISBLANK(GlobBerMedDisc!$AD$17),"",GlobBerMedDisc!$AD$17)</f>
        <v/>
      </c>
      <c r="C606" s="99"/>
    </row>
    <row r="607" spans="1:6" x14ac:dyDescent="0.2">
      <c r="A607" s="208" t="s">
        <v>2076</v>
      </c>
      <c r="B607" t="str">
        <f>IF(ISBLANK(GlobBerMedDisc!$AD$18),"",GlobBerMedDisc!$AD$18)</f>
        <v/>
      </c>
      <c r="C607" s="99"/>
    </row>
    <row r="608" spans="1:6" x14ac:dyDescent="0.2">
      <c r="A608" s="208" t="s">
        <v>2077</v>
      </c>
      <c r="B608" t="str">
        <f>IF(ISBLANK(GlobBerMedDisc!$AD$19),"",GlobBerMedDisc!$AD$19)</f>
        <v/>
      </c>
      <c r="C608" s="99"/>
    </row>
    <row r="609" spans="1:6" x14ac:dyDescent="0.2">
      <c r="A609" s="208" t="s">
        <v>2078</v>
      </c>
      <c r="B609" t="str">
        <f>IF(ISBLANK(GlobBerMedDisc!$AD$20),"",GlobBerMedDisc!$AD$20)</f>
        <v/>
      </c>
      <c r="C609" s="99"/>
    </row>
    <row r="610" spans="1:6" x14ac:dyDescent="0.2">
      <c r="A610" s="208" t="s">
        <v>2079</v>
      </c>
      <c r="B610" t="str">
        <f>IF(ISBLANK(GlobBerMedDisc!$AD$21),"",GlobBerMedDisc!$AD$21)</f>
        <v/>
      </c>
      <c r="C610" s="99"/>
    </row>
    <row r="611" spans="1:6" x14ac:dyDescent="0.2">
      <c r="A611" s="208" t="s">
        <v>2080</v>
      </c>
      <c r="B611" t="str">
        <f>IF(ISBLANK(GlobBerMedDisc!$AD$22),"",GlobBerMedDisc!$AD$22)</f>
        <v/>
      </c>
      <c r="C611" s="99"/>
    </row>
    <row r="612" spans="1:6" x14ac:dyDescent="0.2">
      <c r="A612" s="208" t="s">
        <v>2081</v>
      </c>
      <c r="B612" t="str">
        <f>IF(ISBLANK(GlobBerMedDisc!$AD$23),"",GlobBerMedDisc!$AD$23)</f>
        <v/>
      </c>
      <c r="C612" s="99"/>
    </row>
    <row r="613" spans="1:6" x14ac:dyDescent="0.2">
      <c r="A613" s="208" t="s">
        <v>2082</v>
      </c>
      <c r="B613" t="str">
        <f>IF(ISBLANK(GlobBerMedDisc!$AD$24),"",GlobBerMedDisc!$AD$24)</f>
        <v/>
      </c>
      <c r="C613" s="99"/>
    </row>
    <row r="614" spans="1:6" x14ac:dyDescent="0.2">
      <c r="A614" s="208" t="s">
        <v>2083</v>
      </c>
      <c r="B614" t="str">
        <f>IF(ISBLANK(GlobBerMedDisc!$AD$25),"",GlobBerMedDisc!$AD$25)</f>
        <v/>
      </c>
      <c r="C614" s="99"/>
    </row>
    <row r="615" spans="1:6" x14ac:dyDescent="0.2">
      <c r="A615" s="208" t="s">
        <v>2084</v>
      </c>
      <c r="B615" t="str">
        <f>IF(ISBLANK(GlobBerMedDisc!$AD$26),"",GlobBerMedDisc!$AD$26)</f>
        <v/>
      </c>
      <c r="C615" s="99"/>
      <c r="F615" s="208"/>
    </row>
    <row r="616" spans="1:6" x14ac:dyDescent="0.2">
      <c r="A616" s="208" t="s">
        <v>2085</v>
      </c>
      <c r="B616" t="str">
        <f>IF(ISBLANK(GlobBerMedDisc!$AD$27),"",GlobBerMedDisc!$AD$27)</f>
        <v/>
      </c>
      <c r="C616" s="99"/>
    </row>
    <row r="617" spans="1:6" x14ac:dyDescent="0.2">
      <c r="A617" s="208" t="s">
        <v>2086</v>
      </c>
      <c r="B617" t="str">
        <f>IF(ISBLANK(GlobBerMedDisc!$AD$28),"",GlobBerMedDisc!$AD$28)</f>
        <v/>
      </c>
      <c r="C617" s="99"/>
    </row>
    <row r="618" spans="1:6" x14ac:dyDescent="0.2">
      <c r="A618" s="208" t="s">
        <v>2087</v>
      </c>
      <c r="B618" t="str">
        <f>IF(ISBLANK(GlobBerMedDisc!$AD$29),"",GlobBerMedDisc!$AD$29)</f>
        <v/>
      </c>
      <c r="C618" s="99"/>
    </row>
    <row r="619" spans="1:6" x14ac:dyDescent="0.2">
      <c r="A619" s="208" t="s">
        <v>2088</v>
      </c>
      <c r="B619" t="str">
        <f>IF(ISBLANK(GlobBerMedDisc!$AD$30),"",GlobBerMedDisc!$AD$30)</f>
        <v/>
      </c>
      <c r="C619" s="99"/>
    </row>
    <row r="620" spans="1:6" x14ac:dyDescent="0.2">
      <c r="A620" s="208" t="s">
        <v>2089</v>
      </c>
      <c r="B620" t="str">
        <f>IF(ISBLANK(GlobBerMedDisc!$AD$31),"",GlobBerMedDisc!$AD$31)</f>
        <v/>
      </c>
      <c r="C620" s="99"/>
    </row>
    <row r="621" spans="1:6" x14ac:dyDescent="0.2">
      <c r="A621" s="208" t="s">
        <v>3369</v>
      </c>
      <c r="B621" t="b">
        <f>IF(ISBLANK(GlobBerMedDisc!$AH$2),"",GlobBerMedDisc!$AH$2)</f>
        <v>0</v>
      </c>
      <c r="C621" s="208" t="b">
        <v>0</v>
      </c>
    </row>
    <row r="622" spans="1:6" x14ac:dyDescent="0.2">
      <c r="A622" s="208" t="s">
        <v>3370</v>
      </c>
      <c r="B622" t="b">
        <f>IF(ISBLANK(GlobBerMedDisc!$AH$3),"",GlobBerMedDisc!$AH$3)</f>
        <v>0</v>
      </c>
      <c r="C622" s="208" t="b">
        <v>0</v>
      </c>
    </row>
    <row r="623" spans="1:6" x14ac:dyDescent="0.2">
      <c r="A623" s="208" t="s">
        <v>3371</v>
      </c>
      <c r="B623" t="b">
        <f>IF(ISBLANK(GlobBerMedDisc!$AH$4),"",GlobBerMedDisc!$AH$4)</f>
        <v>0</v>
      </c>
      <c r="C623" s="208" t="b">
        <v>0</v>
      </c>
    </row>
    <row r="624" spans="1:6" x14ac:dyDescent="0.2">
      <c r="A624" s="208" t="s">
        <v>3372</v>
      </c>
      <c r="B624" t="b">
        <f>IF(ISBLANK(GlobBerMedDisc!$AH$5),"",GlobBerMedDisc!$AH$5)</f>
        <v>0</v>
      </c>
      <c r="C624" s="208" t="b">
        <v>0</v>
      </c>
    </row>
    <row r="625" spans="1:5" x14ac:dyDescent="0.2">
      <c r="A625" s="208" t="s">
        <v>3373</v>
      </c>
      <c r="B625" t="b">
        <f>IF(ISBLANK(GlobBerMedDisc!$AH$6),"",GlobBerMedDisc!$AH$6)</f>
        <v>0</v>
      </c>
      <c r="C625" s="208" t="b">
        <v>0</v>
      </c>
    </row>
    <row r="626" spans="1:5" x14ac:dyDescent="0.2">
      <c r="A626" s="208" t="s">
        <v>3374</v>
      </c>
      <c r="B626" t="b">
        <f>IF(ISBLANK(GlobBerMedDisc!$AH$7),"",GlobBerMedDisc!$AH$7)</f>
        <v>0</v>
      </c>
      <c r="C626" s="208" t="b">
        <v>0</v>
      </c>
    </row>
    <row r="627" spans="1:5" x14ac:dyDescent="0.2">
      <c r="A627" s="208" t="s">
        <v>3375</v>
      </c>
      <c r="B627" t="b">
        <f>IF(ISBLANK(GlobBerMedDisc!$AH$8),"",GlobBerMedDisc!$AH$8)</f>
        <v>0</v>
      </c>
      <c r="C627" s="208" t="b">
        <v>0</v>
      </c>
    </row>
    <row r="628" spans="1:5" x14ac:dyDescent="0.2">
      <c r="A628" s="208" t="s">
        <v>3376</v>
      </c>
      <c r="B628" t="b">
        <f>IF(ISBLANK(GlobBerMedDisc!$AH$9),"",GlobBerMedDisc!$AH$9)</f>
        <v>0</v>
      </c>
      <c r="C628" s="208" t="b">
        <v>0</v>
      </c>
    </row>
    <row r="629" spans="1:5" x14ac:dyDescent="0.2">
      <c r="A629" s="208" t="s">
        <v>3377</v>
      </c>
      <c r="B629" t="b">
        <f>IF(ISBLANK(GlobBerMedDisc!$AH$10),"",GlobBerMedDisc!$AH$10)</f>
        <v>0</v>
      </c>
      <c r="C629" s="208" t="b">
        <v>0</v>
      </c>
    </row>
    <row r="630" spans="1:5" x14ac:dyDescent="0.2">
      <c r="A630" s="208" t="s">
        <v>3378</v>
      </c>
      <c r="B630" t="b">
        <f>IF(ISBLANK(GlobBerMedDisc!$AH$11),"",GlobBerMedDisc!$AH$11)</f>
        <v>0</v>
      </c>
      <c r="C630" s="208" t="b">
        <v>0</v>
      </c>
    </row>
    <row r="631" spans="1:5" x14ac:dyDescent="0.2">
      <c r="A631" s="208" t="s">
        <v>3379</v>
      </c>
      <c r="B631" t="b">
        <f>IF(ISBLANK(GlobBerMedDisc!$AH$12),"",GlobBerMedDisc!$AH$12)</f>
        <v>0</v>
      </c>
      <c r="C631" s="208" t="b">
        <v>0</v>
      </c>
    </row>
    <row r="632" spans="1:5" x14ac:dyDescent="0.2">
      <c r="A632" s="208" t="s">
        <v>3380</v>
      </c>
      <c r="B632" t="b">
        <f>IF(ISBLANK(GlobBerMedDisc!$AH$13),"",GlobBerMedDisc!$AH$13)</f>
        <v>0</v>
      </c>
      <c r="C632" s="208" t="b">
        <v>0</v>
      </c>
    </row>
    <row r="633" spans="1:5" x14ac:dyDescent="0.2">
      <c r="A633" s="208" t="s">
        <v>3381</v>
      </c>
      <c r="B633" t="b">
        <f>IF(ISBLANK(GlobBerMedDisc!$AH$14),"",GlobBerMedDisc!$AH$14)</f>
        <v>0</v>
      </c>
      <c r="C633" s="208" t="b">
        <v>0</v>
      </c>
      <c r="D633" s="208"/>
      <c r="E633" s="208"/>
    </row>
    <row r="634" spans="1:5" x14ac:dyDescent="0.2">
      <c r="A634" s="208" t="s">
        <v>3382</v>
      </c>
      <c r="B634" t="b">
        <f>IF(ISBLANK(GlobBerMedDisc!$AH$15),"",GlobBerMedDisc!$AH$15)</f>
        <v>0</v>
      </c>
      <c r="C634" s="208" t="b">
        <v>0</v>
      </c>
    </row>
    <row r="635" spans="1:5" x14ac:dyDescent="0.2">
      <c r="A635" s="208" t="s">
        <v>3383</v>
      </c>
      <c r="B635" t="b">
        <f>IF(ISBLANK(GlobBerMedDisc!$AH$16),"",GlobBerMedDisc!$AH$16)</f>
        <v>0</v>
      </c>
      <c r="C635" s="208" t="b">
        <v>0</v>
      </c>
    </row>
    <row r="636" spans="1:5" x14ac:dyDescent="0.2">
      <c r="A636" s="208" t="s">
        <v>3384</v>
      </c>
      <c r="B636" t="b">
        <f>IF(ISBLANK(GlobBerMedDisc!$AH$17),"",GlobBerMedDisc!$AH$17)</f>
        <v>0</v>
      </c>
      <c r="C636" s="208" t="b">
        <v>0</v>
      </c>
    </row>
    <row r="637" spans="1:5" x14ac:dyDescent="0.2">
      <c r="A637" s="208" t="s">
        <v>3385</v>
      </c>
      <c r="B637" t="b">
        <f>IF(ISBLANK(GlobBerMedDisc!$AH$18),"",GlobBerMedDisc!$AH$18)</f>
        <v>0</v>
      </c>
      <c r="C637" s="208" t="b">
        <v>0</v>
      </c>
    </row>
    <row r="638" spans="1:5" x14ac:dyDescent="0.2">
      <c r="A638" s="208" t="s">
        <v>3386</v>
      </c>
      <c r="B638" t="b">
        <f>IF(ISBLANK(GlobBerMedDisc!$AH$19),"",GlobBerMedDisc!$AH$19)</f>
        <v>0</v>
      </c>
      <c r="C638" s="208" t="b">
        <v>0</v>
      </c>
    </row>
    <row r="639" spans="1:5" x14ac:dyDescent="0.2">
      <c r="A639" s="208" t="s">
        <v>3387</v>
      </c>
      <c r="B639" t="b">
        <f>IF(ISBLANK(GlobBerMedDisc!$AH$20),"",GlobBerMedDisc!$AH$20)</f>
        <v>0</v>
      </c>
      <c r="C639" s="208" t="b">
        <v>0</v>
      </c>
    </row>
    <row r="640" spans="1:5" x14ac:dyDescent="0.2">
      <c r="A640" s="208" t="s">
        <v>3388</v>
      </c>
      <c r="B640" t="b">
        <f>IF(ISBLANK(GlobBerMedDisc!$AH$21),"",GlobBerMedDisc!$AH$21)</f>
        <v>0</v>
      </c>
      <c r="C640" s="208" t="b">
        <v>0</v>
      </c>
    </row>
    <row r="641" spans="1:3" x14ac:dyDescent="0.2">
      <c r="A641" s="208" t="s">
        <v>3389</v>
      </c>
      <c r="B641" t="b">
        <f>IF(ISBLANK(GlobBerMedDisc!$AH$22),"",GlobBerMedDisc!$AH$22)</f>
        <v>0</v>
      </c>
      <c r="C641" s="208" t="b">
        <v>0</v>
      </c>
    </row>
    <row r="642" spans="1:3" x14ac:dyDescent="0.2">
      <c r="A642" s="208" t="s">
        <v>3390</v>
      </c>
      <c r="B642" t="b">
        <f>IF(ISBLANK(GlobBerMedDisc!$AH$23),"",GlobBerMedDisc!$AH$23)</f>
        <v>0</v>
      </c>
      <c r="C642" s="208" t="b">
        <v>0</v>
      </c>
    </row>
    <row r="643" spans="1:3" x14ac:dyDescent="0.2">
      <c r="A643" s="208" t="s">
        <v>3391</v>
      </c>
      <c r="B643" t="b">
        <f>IF(ISBLANK(GlobBerMedDisc!$AH$24),"",GlobBerMedDisc!$AH$24)</f>
        <v>0</v>
      </c>
      <c r="C643" s="208" t="b">
        <v>0</v>
      </c>
    </row>
    <row r="644" spans="1:3" x14ac:dyDescent="0.2">
      <c r="A644" s="208" t="s">
        <v>3392</v>
      </c>
      <c r="B644" t="b">
        <f>IF(ISBLANK(GlobBerMedDisc!$AH$25),"",GlobBerMedDisc!$AH$25)</f>
        <v>0</v>
      </c>
      <c r="C644" s="208" t="b">
        <v>0</v>
      </c>
    </row>
    <row r="645" spans="1:3" x14ac:dyDescent="0.2">
      <c r="A645" s="208" t="s">
        <v>3393</v>
      </c>
      <c r="B645" t="b">
        <f>IF(ISBLANK(GlobBerMedDisc!$AH$26),"",GlobBerMedDisc!$AH$26)</f>
        <v>0</v>
      </c>
      <c r="C645" s="208" t="b">
        <v>0</v>
      </c>
    </row>
    <row r="646" spans="1:3" x14ac:dyDescent="0.2">
      <c r="A646" s="208" t="s">
        <v>3394</v>
      </c>
      <c r="B646" t="b">
        <f>IF(ISBLANK(GlobBerMedDisc!$AH$27),"",GlobBerMedDisc!$AH$27)</f>
        <v>0</v>
      </c>
      <c r="C646" s="208" t="b">
        <v>0</v>
      </c>
    </row>
    <row r="647" spans="1:3" x14ac:dyDescent="0.2">
      <c r="A647" s="208" t="s">
        <v>3395</v>
      </c>
      <c r="B647" t="b">
        <f>IF(ISBLANK(GlobBerMedDisc!$AH$28),"",GlobBerMedDisc!$AH$28)</f>
        <v>0</v>
      </c>
      <c r="C647" s="208" t="b">
        <v>0</v>
      </c>
    </row>
    <row r="648" spans="1:3" x14ac:dyDescent="0.2">
      <c r="A648" s="208" t="s">
        <v>3396</v>
      </c>
      <c r="B648" t="b">
        <f>IF(ISBLANK(GlobBerMedDisc!$AH$29),"",GlobBerMedDisc!$AH$29)</f>
        <v>0</v>
      </c>
      <c r="C648" s="208" t="b">
        <v>0</v>
      </c>
    </row>
    <row r="649" spans="1:3" x14ac:dyDescent="0.2">
      <c r="A649" s="208" t="s">
        <v>3397</v>
      </c>
      <c r="B649" t="b">
        <f>IF(ISBLANK(GlobBerMedDisc!$AH$30),"",GlobBerMedDisc!$AH$30)</f>
        <v>0</v>
      </c>
      <c r="C649" s="208" t="b">
        <v>0</v>
      </c>
    </row>
    <row r="650" spans="1:3" x14ac:dyDescent="0.2">
      <c r="A650" s="208" t="s">
        <v>3398</v>
      </c>
      <c r="B650" t="b">
        <f>IF(ISBLANK(GlobBerMedDisc!$AH$31),"",GlobBerMedDisc!$AH$31)</f>
        <v>0</v>
      </c>
      <c r="C650" s="208" t="b">
        <v>0</v>
      </c>
    </row>
    <row r="651" spans="1:3" x14ac:dyDescent="0.2">
      <c r="A651" s="208" t="s">
        <v>3399</v>
      </c>
      <c r="B651" s="208" t="str">
        <f>IF(ISBLANK(GlobBerMedDisc!$AI$2),"",GlobBerMedDisc!$AI$2)</f>
        <v/>
      </c>
      <c r="C651" s="99"/>
    </row>
    <row r="652" spans="1:3" x14ac:dyDescent="0.2">
      <c r="A652" s="208" t="s">
        <v>3400</v>
      </c>
      <c r="B652" s="208" t="str">
        <f>IF(ISBLANK(GlobBerMedDisc!$AI$3),"",GlobBerMedDisc!$AI$3)</f>
        <v/>
      </c>
      <c r="C652" s="99"/>
    </row>
    <row r="653" spans="1:3" x14ac:dyDescent="0.2">
      <c r="A653" s="208" t="s">
        <v>3401</v>
      </c>
      <c r="B653" s="208" t="str">
        <f>IF(ISBLANK(GlobBerMedDisc!$AI$4),"",GlobBerMedDisc!$AI$4)</f>
        <v/>
      </c>
      <c r="C653" s="99"/>
    </row>
    <row r="654" spans="1:3" x14ac:dyDescent="0.2">
      <c r="A654" s="208" t="s">
        <v>3402</v>
      </c>
      <c r="B654" s="208" t="str">
        <f>IF(ISBLANK(GlobBerMedDisc!$AI$5),"",GlobBerMedDisc!$AI$5)</f>
        <v/>
      </c>
      <c r="C654" s="99"/>
    </row>
    <row r="655" spans="1:3" x14ac:dyDescent="0.2">
      <c r="A655" s="208" t="s">
        <v>3403</v>
      </c>
      <c r="B655" s="208" t="str">
        <f>IF(ISBLANK(GlobBerMedDisc!$AI$6),"",GlobBerMedDisc!$AI$6)</f>
        <v/>
      </c>
      <c r="C655" s="99"/>
    </row>
    <row r="656" spans="1:3" x14ac:dyDescent="0.2">
      <c r="A656" s="208" t="s">
        <v>3404</v>
      </c>
      <c r="B656" s="208" t="str">
        <f>IF(ISBLANK(GlobBerMedDisc!$AI$7),"",GlobBerMedDisc!$AI$7)</f>
        <v/>
      </c>
      <c r="C656" s="99"/>
    </row>
    <row r="657" spans="1:6" x14ac:dyDescent="0.2">
      <c r="A657" s="208" t="s">
        <v>3405</v>
      </c>
      <c r="B657" s="208" t="str">
        <f>IF(ISBLANK(GlobBerMedDisc!$AI$8),"",GlobBerMedDisc!$AI$8)</f>
        <v/>
      </c>
      <c r="C657" s="99"/>
    </row>
    <row r="658" spans="1:6" x14ac:dyDescent="0.2">
      <c r="A658" s="208" t="s">
        <v>3406</v>
      </c>
      <c r="B658" s="208" t="str">
        <f>IF(ISBLANK(GlobBerMedDisc!$AI$9),"",GlobBerMedDisc!$AI$9)</f>
        <v/>
      </c>
      <c r="C658" s="99"/>
    </row>
    <row r="659" spans="1:6" x14ac:dyDescent="0.2">
      <c r="A659" s="208" t="s">
        <v>3407</v>
      </c>
      <c r="B659" s="208" t="str">
        <f>IF(ISBLANK(GlobBerMedDisc!$AI$10),"",GlobBerMedDisc!$AI$10)</f>
        <v/>
      </c>
      <c r="C659" s="99"/>
    </row>
    <row r="660" spans="1:6" x14ac:dyDescent="0.2">
      <c r="A660" s="208" t="s">
        <v>3408</v>
      </c>
      <c r="B660" s="208" t="str">
        <f>IF(ISBLANK(GlobBerMedDisc!$AI$11),"",GlobBerMedDisc!$AI$11)</f>
        <v/>
      </c>
      <c r="C660" s="99"/>
    </row>
    <row r="661" spans="1:6" x14ac:dyDescent="0.2">
      <c r="A661" s="208" t="s">
        <v>3409</v>
      </c>
      <c r="B661" s="208" t="str">
        <f>IF(ISBLANK(GlobBerMedDisc!$AI$12),"",GlobBerMedDisc!$AI$12)</f>
        <v/>
      </c>
      <c r="C661" s="99"/>
    </row>
    <row r="662" spans="1:6" s="208" customFormat="1" x14ac:dyDescent="0.2">
      <c r="A662" s="208" t="s">
        <v>3410</v>
      </c>
      <c r="B662" s="208" t="str">
        <f>IF(ISBLANK(GlobBerMedDisc!$AI$13),"",GlobBerMedDisc!$AI$13)</f>
        <v/>
      </c>
      <c r="C662" s="99"/>
      <c r="D662"/>
      <c r="E662"/>
      <c r="F662"/>
    </row>
    <row r="663" spans="1:6" x14ac:dyDescent="0.2">
      <c r="A663" s="208" t="s">
        <v>3411</v>
      </c>
      <c r="B663" s="208" t="str">
        <f>IF(ISBLANK(GlobBerMedDisc!$AI$14),"",GlobBerMedDisc!$AI$14)</f>
        <v/>
      </c>
      <c r="C663" s="99"/>
    </row>
    <row r="664" spans="1:6" x14ac:dyDescent="0.2">
      <c r="A664" s="208" t="s">
        <v>3412</v>
      </c>
      <c r="B664" s="208" t="str">
        <f>IF(ISBLANK(GlobBerMedDisc!$AI$15),"",GlobBerMedDisc!$AI$15)</f>
        <v/>
      </c>
      <c r="C664" s="99"/>
    </row>
    <row r="665" spans="1:6" x14ac:dyDescent="0.2">
      <c r="A665" s="208" t="s">
        <v>3413</v>
      </c>
      <c r="B665" s="208" t="str">
        <f>IF(ISBLANK(GlobBerMedDisc!$AI$16),"",GlobBerMedDisc!$AI$16)</f>
        <v/>
      </c>
      <c r="C665" s="99"/>
    </row>
    <row r="666" spans="1:6" x14ac:dyDescent="0.2">
      <c r="A666" s="208" t="s">
        <v>3414</v>
      </c>
      <c r="B666" s="208" t="str">
        <f>IF(ISBLANK(GlobBerMedDisc!$AI$17),"",GlobBerMedDisc!$AI$17)</f>
        <v/>
      </c>
      <c r="C666" s="99"/>
    </row>
    <row r="667" spans="1:6" x14ac:dyDescent="0.2">
      <c r="A667" s="208" t="s">
        <v>3415</v>
      </c>
      <c r="B667" s="208" t="str">
        <f>IF(ISBLANK(GlobBerMedDisc!$AI$18),"",GlobBerMedDisc!$AI$18)</f>
        <v/>
      </c>
      <c r="C667" s="99"/>
      <c r="F667" s="208"/>
    </row>
    <row r="668" spans="1:6" x14ac:dyDescent="0.2">
      <c r="A668" s="208" t="s">
        <v>3416</v>
      </c>
      <c r="B668" s="208" t="str">
        <f>IF(ISBLANK(GlobBerMedDisc!$AI$19),"",GlobBerMedDisc!$AI$19)</f>
        <v/>
      </c>
      <c r="C668" s="99"/>
      <c r="F668" s="208"/>
    </row>
    <row r="669" spans="1:6" x14ac:dyDescent="0.2">
      <c r="A669" s="208" t="s">
        <v>3417</v>
      </c>
      <c r="B669" s="208" t="str">
        <f>IF(ISBLANK(GlobBerMedDisc!$AI$20),"",GlobBerMedDisc!$AI$20)</f>
        <v/>
      </c>
      <c r="C669" s="99"/>
      <c r="F669" s="208"/>
    </row>
    <row r="670" spans="1:6" x14ac:dyDescent="0.2">
      <c r="A670" s="208" t="s">
        <v>3418</v>
      </c>
      <c r="B670" s="208" t="str">
        <f>IF(ISBLANK(GlobBerMedDisc!$AI$21),"",GlobBerMedDisc!$AI$21)</f>
        <v/>
      </c>
      <c r="C670" s="99"/>
      <c r="F670" s="208"/>
    </row>
    <row r="671" spans="1:6" x14ac:dyDescent="0.2">
      <c r="A671" s="208" t="s">
        <v>3419</v>
      </c>
      <c r="B671" s="208" t="str">
        <f>IF(ISBLANK(GlobBerMedDisc!$AI$22),"",GlobBerMedDisc!$AI$22)</f>
        <v/>
      </c>
      <c r="C671" s="99"/>
      <c r="F671" s="208"/>
    </row>
    <row r="672" spans="1:6" x14ac:dyDescent="0.2">
      <c r="A672" s="208" t="s">
        <v>3420</v>
      </c>
      <c r="B672" s="208" t="str">
        <f>IF(ISBLANK(GlobBerMedDisc!$AI$23),"",GlobBerMedDisc!$AI$23)</f>
        <v/>
      </c>
      <c r="C672" s="99"/>
      <c r="F672" s="208"/>
    </row>
    <row r="673" spans="1:6" x14ac:dyDescent="0.2">
      <c r="A673" s="208" t="s">
        <v>3421</v>
      </c>
      <c r="B673" s="208" t="str">
        <f>IF(ISBLANK(GlobBerMedDisc!$AI$24),"",GlobBerMedDisc!$AI$24)</f>
        <v/>
      </c>
      <c r="C673" s="99"/>
      <c r="F673" s="208"/>
    </row>
    <row r="674" spans="1:6" x14ac:dyDescent="0.2">
      <c r="A674" s="208" t="s">
        <v>3422</v>
      </c>
      <c r="B674" s="208" t="str">
        <f>IF(ISBLANK(GlobBerMedDisc!$AI$25),"",GlobBerMedDisc!$AI$25)</f>
        <v/>
      </c>
      <c r="C674" s="99"/>
      <c r="F674" s="208"/>
    </row>
    <row r="675" spans="1:6" x14ac:dyDescent="0.2">
      <c r="A675" s="208" t="s">
        <v>3423</v>
      </c>
      <c r="B675" s="208" t="str">
        <f>IF(ISBLANK(GlobBerMedDisc!$AI$26),"",GlobBerMedDisc!$AI$26)</f>
        <v/>
      </c>
      <c r="C675" s="99"/>
      <c r="F675" s="208"/>
    </row>
    <row r="676" spans="1:6" x14ac:dyDescent="0.2">
      <c r="A676" s="208" t="s">
        <v>3424</v>
      </c>
      <c r="B676" s="208" t="str">
        <f>IF(ISBLANK(GlobBerMedDisc!$AI$27),"",GlobBerMedDisc!$AI$27)</f>
        <v/>
      </c>
      <c r="C676" s="99"/>
      <c r="F676" s="208"/>
    </row>
    <row r="677" spans="1:6" x14ac:dyDescent="0.2">
      <c r="A677" s="208" t="s">
        <v>3425</v>
      </c>
      <c r="B677" s="208" t="str">
        <f>IF(ISBLANK(GlobBerMedDisc!$AI$28),"",GlobBerMedDisc!$AI$28)</f>
        <v/>
      </c>
      <c r="C677" s="99"/>
      <c r="F677" s="208"/>
    </row>
    <row r="678" spans="1:6" s="208" customFormat="1" x14ac:dyDescent="0.2">
      <c r="A678" s="208" t="s">
        <v>3426</v>
      </c>
      <c r="B678" s="208" t="str">
        <f>IF(ISBLANK(GlobBerMedDisc!$AI$29),"",GlobBerMedDisc!$AI$29)</f>
        <v/>
      </c>
      <c r="C678" s="99"/>
      <c r="D678"/>
      <c r="E678"/>
    </row>
    <row r="679" spans="1:6" x14ac:dyDescent="0.2">
      <c r="A679" s="208" t="s">
        <v>3427</v>
      </c>
      <c r="B679" s="208" t="str">
        <f>IF(ISBLANK(GlobBerMedDisc!$AI$30),"",GlobBerMedDisc!$AI$30)</f>
        <v/>
      </c>
      <c r="C679" s="99"/>
      <c r="F679" s="208"/>
    </row>
    <row r="680" spans="1:6" x14ac:dyDescent="0.2">
      <c r="A680" s="208" t="s">
        <v>3428</v>
      </c>
      <c r="B680" s="208" t="str">
        <f>IF(ISBLANK(GlobBerMedDisc!$AI$31),"",GlobBerMedDisc!$AI$31)</f>
        <v/>
      </c>
      <c r="C680" s="99"/>
      <c r="F680" s="208"/>
    </row>
    <row r="681" spans="1:6" x14ac:dyDescent="0.2">
      <c r="A681" s="208" t="s">
        <v>2090</v>
      </c>
      <c r="B681" s="210">
        <f>IF(ISBLANK(GlobBerMedDisc!$E$2),"",GlobBerMedDisc!$E$2)</f>
        <v>0</v>
      </c>
      <c r="C681" s="210">
        <v>0</v>
      </c>
      <c r="F681" s="208"/>
    </row>
    <row r="682" spans="1:6" x14ac:dyDescent="0.2">
      <c r="A682" s="208" t="s">
        <v>2091</v>
      </c>
      <c r="B682" s="210">
        <f>IF(ISBLANK(GlobBerMedDisc!$E$3),"",GlobBerMedDisc!$E$3)</f>
        <v>0</v>
      </c>
      <c r="C682" s="210">
        <v>0</v>
      </c>
      <c r="F682" s="208"/>
    </row>
    <row r="683" spans="1:6" x14ac:dyDescent="0.2">
      <c r="A683" s="208" t="s">
        <v>2092</v>
      </c>
      <c r="B683" s="210">
        <f>IF(ISBLANK(GlobBerMedDisc!$E$4),"",GlobBerMedDisc!$E$4)</f>
        <v>0</v>
      </c>
      <c r="C683" s="210">
        <v>0</v>
      </c>
      <c r="F683" s="208"/>
    </row>
    <row r="684" spans="1:6" x14ac:dyDescent="0.2">
      <c r="A684" s="208" t="s">
        <v>2093</v>
      </c>
      <c r="B684" s="210">
        <f>IF(ISBLANK(GlobBerMedDisc!$E$5),"",GlobBerMedDisc!$E$5)</f>
        <v>0</v>
      </c>
      <c r="C684" s="210">
        <v>0</v>
      </c>
      <c r="F684" s="208"/>
    </row>
    <row r="685" spans="1:6" x14ac:dyDescent="0.2">
      <c r="A685" s="208" t="s">
        <v>2094</v>
      </c>
      <c r="B685" s="210">
        <f>IF(ISBLANK(GlobBerMedDisc!$E$6),"",GlobBerMedDisc!$E$6)</f>
        <v>0</v>
      </c>
      <c r="C685" s="210">
        <v>0</v>
      </c>
      <c r="F685" s="208"/>
    </row>
    <row r="686" spans="1:6" x14ac:dyDescent="0.2">
      <c r="A686" s="208" t="s">
        <v>2095</v>
      </c>
      <c r="B686" s="210">
        <f>IF(ISBLANK(GlobBerMedDisc!$E$7),"",GlobBerMedDisc!$E$7)</f>
        <v>0</v>
      </c>
      <c r="C686" s="210">
        <v>0</v>
      </c>
      <c r="F686" s="208"/>
    </row>
    <row r="687" spans="1:6" x14ac:dyDescent="0.2">
      <c r="A687" s="208" t="s">
        <v>2096</v>
      </c>
      <c r="B687" s="210">
        <f>IF(ISBLANK(GlobBerMedDisc!$E$8),"",GlobBerMedDisc!$E$8)</f>
        <v>0</v>
      </c>
      <c r="C687" s="210">
        <v>0</v>
      </c>
      <c r="F687" s="208"/>
    </row>
    <row r="688" spans="1:6" x14ac:dyDescent="0.2">
      <c r="A688" s="208" t="s">
        <v>2097</v>
      </c>
      <c r="B688" s="210">
        <f>IF(ISBLANK(GlobBerMedDisc!$E$9),"",GlobBerMedDisc!$E$9)</f>
        <v>0</v>
      </c>
      <c r="C688" s="210">
        <v>0</v>
      </c>
      <c r="F688" s="208"/>
    </row>
    <row r="689" spans="1:6" x14ac:dyDescent="0.2">
      <c r="A689" s="208" t="s">
        <v>2098</v>
      </c>
      <c r="B689" s="210">
        <f>IF(ISBLANK(GlobBerMedDisc!$E$10),"",GlobBerMedDisc!$E$10)</f>
        <v>0</v>
      </c>
      <c r="C689" s="210">
        <v>0</v>
      </c>
      <c r="F689" s="208"/>
    </row>
    <row r="690" spans="1:6" x14ac:dyDescent="0.2">
      <c r="A690" s="208" t="s">
        <v>2099</v>
      </c>
      <c r="B690" s="210">
        <f>IF(ISBLANK(GlobBerMedDisc!$E$11),"",GlobBerMedDisc!$E$11)</f>
        <v>0</v>
      </c>
      <c r="C690" s="210">
        <v>0</v>
      </c>
      <c r="F690" s="208"/>
    </row>
    <row r="691" spans="1:6" x14ac:dyDescent="0.2">
      <c r="A691" s="208" t="s">
        <v>2100</v>
      </c>
      <c r="B691" s="210">
        <f>IF(ISBLANK(GlobBerMedDisc!$E$12),"",GlobBerMedDisc!$E$12)</f>
        <v>0</v>
      </c>
      <c r="C691" s="210">
        <v>0</v>
      </c>
      <c r="F691" s="208"/>
    </row>
    <row r="692" spans="1:6" x14ac:dyDescent="0.2">
      <c r="A692" s="208" t="s">
        <v>2101</v>
      </c>
      <c r="B692" s="210">
        <f>IF(ISBLANK(GlobBerMedDisc!$E$13),"",GlobBerMedDisc!$E$13)</f>
        <v>0</v>
      </c>
      <c r="C692" s="210">
        <v>0</v>
      </c>
      <c r="F692" s="208"/>
    </row>
    <row r="693" spans="1:6" x14ac:dyDescent="0.2">
      <c r="A693" s="208" t="s">
        <v>2102</v>
      </c>
      <c r="B693" s="210">
        <f>IF(ISBLANK(GlobBerMedDisc!$E$14),"",GlobBerMedDisc!$E$14)</f>
        <v>0</v>
      </c>
      <c r="C693" s="210">
        <v>0</v>
      </c>
      <c r="F693" s="208"/>
    </row>
    <row r="694" spans="1:6" x14ac:dyDescent="0.2">
      <c r="A694" s="208" t="s">
        <v>2103</v>
      </c>
      <c r="B694" s="210">
        <f>IF(ISBLANK(GlobBerMedDisc!$E$15),"",GlobBerMedDisc!$E$15)</f>
        <v>0</v>
      </c>
      <c r="C694" s="210">
        <v>0</v>
      </c>
      <c r="F694" s="208"/>
    </row>
    <row r="695" spans="1:6" x14ac:dyDescent="0.2">
      <c r="A695" s="208" t="s">
        <v>2104</v>
      </c>
      <c r="B695" s="210">
        <f>IF(ISBLANK(GlobBerMedDisc!$E$16),"",GlobBerMedDisc!$E$16)</f>
        <v>0</v>
      </c>
      <c r="C695" s="210">
        <v>0</v>
      </c>
      <c r="F695" s="208"/>
    </row>
    <row r="696" spans="1:6" x14ac:dyDescent="0.2">
      <c r="A696" s="208" t="s">
        <v>2105</v>
      </c>
      <c r="B696" s="210">
        <f>IF(ISBLANK(GlobBerMedDisc!$E$17),"",GlobBerMedDisc!$E$17)</f>
        <v>0</v>
      </c>
      <c r="C696" s="210">
        <v>0</v>
      </c>
      <c r="F696" s="208"/>
    </row>
    <row r="697" spans="1:6" x14ac:dyDescent="0.2">
      <c r="A697" s="208" t="s">
        <v>2106</v>
      </c>
      <c r="B697" s="210">
        <f>IF(ISBLANK(GlobBerMedDisc!$E$18),"",GlobBerMedDisc!$E$18)</f>
        <v>0</v>
      </c>
      <c r="C697" s="210">
        <v>0</v>
      </c>
      <c r="D697" s="208"/>
      <c r="E697" s="208"/>
      <c r="F697" s="208"/>
    </row>
    <row r="698" spans="1:6" x14ac:dyDescent="0.2">
      <c r="A698" s="208" t="s">
        <v>2107</v>
      </c>
      <c r="B698" s="210">
        <f>IF(ISBLANK(GlobBerMedDisc!$E$19),"",GlobBerMedDisc!$E$19)</f>
        <v>0</v>
      </c>
      <c r="C698" s="210">
        <v>0</v>
      </c>
      <c r="D698" s="208"/>
      <c r="E698" s="208"/>
      <c r="F698" s="208"/>
    </row>
    <row r="699" spans="1:6" x14ac:dyDescent="0.2">
      <c r="A699" s="208" t="s">
        <v>2108</v>
      </c>
      <c r="B699" s="210">
        <f>IF(ISBLANK(GlobBerMedDisc!$E$20),"",GlobBerMedDisc!$E$20)</f>
        <v>0</v>
      </c>
      <c r="C699" s="210">
        <v>0</v>
      </c>
      <c r="D699" s="208"/>
      <c r="E699" s="208"/>
      <c r="F699" s="208"/>
    </row>
    <row r="700" spans="1:6" x14ac:dyDescent="0.2">
      <c r="A700" s="208" t="s">
        <v>2109</v>
      </c>
      <c r="B700" s="210">
        <f>IF(ISBLANK(GlobBerMedDisc!$E$21),"",GlobBerMedDisc!$E$21)</f>
        <v>0</v>
      </c>
      <c r="C700" s="210">
        <v>0</v>
      </c>
      <c r="D700" s="208"/>
      <c r="E700" s="208"/>
      <c r="F700" s="208"/>
    </row>
    <row r="701" spans="1:6" x14ac:dyDescent="0.2">
      <c r="A701" s="208" t="s">
        <v>2110</v>
      </c>
      <c r="B701" s="210">
        <f>IF(ISBLANK(GlobBerMedDisc!$E$22),"",GlobBerMedDisc!$E$22)</f>
        <v>0</v>
      </c>
      <c r="C701" s="210">
        <v>0</v>
      </c>
      <c r="D701" s="208"/>
      <c r="E701" s="208"/>
      <c r="F701" s="208"/>
    </row>
    <row r="702" spans="1:6" x14ac:dyDescent="0.2">
      <c r="A702" s="208" t="s">
        <v>2111</v>
      </c>
      <c r="B702" s="210">
        <f>IF(ISBLANK(GlobBerMedDisc!$E$23),"",GlobBerMedDisc!$E$23)</f>
        <v>0</v>
      </c>
      <c r="C702" s="210">
        <v>0</v>
      </c>
      <c r="D702" s="208"/>
      <c r="E702" s="208"/>
      <c r="F702" s="208"/>
    </row>
    <row r="703" spans="1:6" x14ac:dyDescent="0.2">
      <c r="A703" s="208" t="s">
        <v>2112</v>
      </c>
      <c r="B703" s="210">
        <f>IF(ISBLANK(GlobBerMedDisc!$E$24),"",GlobBerMedDisc!$E$24)</f>
        <v>0</v>
      </c>
      <c r="C703" s="210">
        <v>0</v>
      </c>
      <c r="D703" s="208"/>
      <c r="E703" s="208"/>
      <c r="F703" s="208"/>
    </row>
    <row r="704" spans="1:6" x14ac:dyDescent="0.2">
      <c r="A704" s="208" t="s">
        <v>2113</v>
      </c>
      <c r="B704" s="210">
        <f>IF(ISBLANK(GlobBerMedDisc!$E$25),"",GlobBerMedDisc!$E$25)</f>
        <v>0</v>
      </c>
      <c r="C704" s="210">
        <v>0</v>
      </c>
      <c r="D704" s="208"/>
      <c r="E704" s="208"/>
      <c r="F704" s="208"/>
    </row>
    <row r="705" spans="1:6" x14ac:dyDescent="0.2">
      <c r="A705" s="208" t="s">
        <v>2114</v>
      </c>
      <c r="B705" s="210">
        <f>IF(ISBLANK(GlobBerMedDisc!$E$26),"",GlobBerMedDisc!$E$26)</f>
        <v>0</v>
      </c>
      <c r="C705" s="210">
        <v>0</v>
      </c>
      <c r="D705" s="208"/>
      <c r="E705" s="208"/>
      <c r="F705" s="208"/>
    </row>
    <row r="706" spans="1:6" x14ac:dyDescent="0.2">
      <c r="A706" s="208" t="s">
        <v>2115</v>
      </c>
      <c r="B706" s="210">
        <f>IF(ISBLANK(GlobBerMedDisc!$E$27),"",GlobBerMedDisc!$E$27)</f>
        <v>0</v>
      </c>
      <c r="C706" s="210">
        <v>0</v>
      </c>
      <c r="D706" s="208"/>
      <c r="E706" s="208"/>
      <c r="F706" s="208"/>
    </row>
    <row r="707" spans="1:6" x14ac:dyDescent="0.2">
      <c r="A707" s="208" t="s">
        <v>2116</v>
      </c>
      <c r="B707" s="210">
        <f>IF(ISBLANK(GlobBerMedDisc!$E$28),"",GlobBerMedDisc!$E$28)</f>
        <v>0</v>
      </c>
      <c r="C707" s="210">
        <v>0</v>
      </c>
      <c r="D707" s="208"/>
      <c r="E707" s="208"/>
      <c r="F707" s="208"/>
    </row>
    <row r="708" spans="1:6" x14ac:dyDescent="0.2">
      <c r="A708" s="208" t="s">
        <v>2117</v>
      </c>
      <c r="B708" s="210">
        <f>IF(ISBLANK(GlobBerMedDisc!$E$29),"",GlobBerMedDisc!$E$29)</f>
        <v>0</v>
      </c>
      <c r="C708" s="210">
        <v>0</v>
      </c>
      <c r="D708" s="208"/>
      <c r="E708" s="208"/>
      <c r="F708" s="208"/>
    </row>
    <row r="709" spans="1:6" x14ac:dyDescent="0.2">
      <c r="A709" s="208" t="s">
        <v>2118</v>
      </c>
      <c r="B709" s="210">
        <f>IF(ISBLANK(GlobBerMedDisc!$E$30),"",GlobBerMedDisc!$E$30)</f>
        <v>0</v>
      </c>
      <c r="C709" s="210">
        <v>0</v>
      </c>
      <c r="D709" s="208"/>
      <c r="E709" s="208"/>
    </row>
    <row r="710" spans="1:6" x14ac:dyDescent="0.2">
      <c r="A710" s="208" t="s">
        <v>2119</v>
      </c>
      <c r="B710" s="210">
        <f>IF(ISBLANK(GlobBerMedDisc!$E$31),"",GlobBerMedDisc!$E$31)</f>
        <v>0</v>
      </c>
      <c r="C710" s="210">
        <v>0</v>
      </c>
      <c r="D710" s="208"/>
      <c r="E710" s="208"/>
    </row>
    <row r="711" spans="1:6" x14ac:dyDescent="0.2">
      <c r="A711" s="208" t="s">
        <v>2120</v>
      </c>
      <c r="B711" s="208">
        <f>IF(ISBLANK(GlobBerMedDisc!$AK$2),"",GlobBerMedDisc!$AK$2)</f>
        <v>0</v>
      </c>
      <c r="C711" s="210">
        <v>0</v>
      </c>
      <c r="D711" s="208"/>
      <c r="E711" s="208"/>
    </row>
    <row r="712" spans="1:6" x14ac:dyDescent="0.2">
      <c r="A712" s="208" t="s">
        <v>2121</v>
      </c>
      <c r="B712" s="208">
        <f>IF(ISBLANK(GlobBerMedDisc!$AK$3),"",GlobBerMedDisc!$AK$3)</f>
        <v>0</v>
      </c>
      <c r="C712" s="210">
        <v>0</v>
      </c>
      <c r="D712" s="208"/>
      <c r="E712" s="208"/>
    </row>
    <row r="713" spans="1:6" x14ac:dyDescent="0.2">
      <c r="A713" s="208" t="s">
        <v>2122</v>
      </c>
      <c r="B713" s="208">
        <f>IF(ISBLANK(GlobBerMedDisc!$AK$4),"",GlobBerMedDisc!$AK$4)</f>
        <v>0</v>
      </c>
      <c r="C713" s="210">
        <v>0</v>
      </c>
      <c r="D713" s="208"/>
      <c r="E713" s="208"/>
    </row>
    <row r="714" spans="1:6" x14ac:dyDescent="0.2">
      <c r="A714" s="208" t="s">
        <v>2123</v>
      </c>
      <c r="B714" s="208">
        <f>IF(ISBLANK(GlobBerMedDisc!$AK$5),"",GlobBerMedDisc!$AK$5)</f>
        <v>0</v>
      </c>
      <c r="C714" s="210">
        <v>0</v>
      </c>
      <c r="D714" s="208"/>
      <c r="E714" s="208"/>
    </row>
    <row r="715" spans="1:6" x14ac:dyDescent="0.2">
      <c r="A715" s="208" t="s">
        <v>2124</v>
      </c>
      <c r="B715" s="208">
        <f>IF(ISBLANK(GlobBerMedDisc!$AK$6),"",GlobBerMedDisc!$AK$6)</f>
        <v>0</v>
      </c>
      <c r="C715" s="210">
        <v>0</v>
      </c>
      <c r="D715" s="208"/>
      <c r="E715" s="208"/>
    </row>
    <row r="716" spans="1:6" s="208" customFormat="1" x14ac:dyDescent="0.2">
      <c r="A716" s="208" t="s">
        <v>2125</v>
      </c>
      <c r="B716" s="208">
        <f>IF(ISBLANK(GlobBerMedDisc!$AK$7),"",GlobBerMedDisc!$AK$7)</f>
        <v>0</v>
      </c>
      <c r="C716" s="210">
        <v>0</v>
      </c>
      <c r="F716"/>
    </row>
    <row r="717" spans="1:6" x14ac:dyDescent="0.2">
      <c r="A717" s="208" t="s">
        <v>2126</v>
      </c>
      <c r="B717" s="208">
        <f>IF(ISBLANK(GlobBerMedDisc!$AK$8),"",GlobBerMedDisc!$AK$8)</f>
        <v>0</v>
      </c>
      <c r="C717" s="210">
        <v>0</v>
      </c>
      <c r="D717" s="208"/>
      <c r="E717" s="208"/>
    </row>
    <row r="718" spans="1:6" x14ac:dyDescent="0.2">
      <c r="A718" s="208" t="s">
        <v>2127</v>
      </c>
      <c r="B718" s="208">
        <f>IF(ISBLANK(GlobBerMedDisc!$AK$9),"",GlobBerMedDisc!$AK$9)</f>
        <v>0</v>
      </c>
      <c r="C718" s="210">
        <v>0</v>
      </c>
      <c r="D718" s="208"/>
      <c r="E718" s="208"/>
    </row>
    <row r="719" spans="1:6" x14ac:dyDescent="0.2">
      <c r="A719" s="208" t="s">
        <v>2128</v>
      </c>
      <c r="B719" s="208">
        <f>IF(ISBLANK(GlobBerMedDisc!$AK$10),"",GlobBerMedDisc!$AK$10)</f>
        <v>0</v>
      </c>
      <c r="C719" s="210">
        <v>0</v>
      </c>
      <c r="D719" s="208"/>
      <c r="E719" s="208"/>
    </row>
    <row r="720" spans="1:6" x14ac:dyDescent="0.2">
      <c r="A720" s="208" t="s">
        <v>2129</v>
      </c>
      <c r="B720" s="208">
        <f>IF(ISBLANK(GlobBerMedDisc!$AK$11),"",GlobBerMedDisc!$AK$11)</f>
        <v>0</v>
      </c>
      <c r="C720" s="210">
        <v>0</v>
      </c>
      <c r="D720" s="208"/>
      <c r="E720" s="208"/>
    </row>
    <row r="721" spans="1:6" s="208" customFormat="1" x14ac:dyDescent="0.2">
      <c r="A721" s="208" t="s">
        <v>2130</v>
      </c>
      <c r="B721" s="208">
        <f>IF(ISBLANK(GlobBerMedDisc!$AK$12),"",GlobBerMedDisc!$AK$12)</f>
        <v>0</v>
      </c>
      <c r="C721" s="210">
        <v>0</v>
      </c>
      <c r="F721"/>
    </row>
    <row r="722" spans="1:6" s="208" customFormat="1" x14ac:dyDescent="0.2">
      <c r="A722" s="208" t="s">
        <v>2131</v>
      </c>
      <c r="B722" s="208">
        <f>IF(ISBLANK(GlobBerMedDisc!$AK$13),"",GlobBerMedDisc!$AK$13)</f>
        <v>0</v>
      </c>
      <c r="C722" s="210">
        <v>0</v>
      </c>
      <c r="F722"/>
    </row>
    <row r="723" spans="1:6" s="208" customFormat="1" x14ac:dyDescent="0.2">
      <c r="A723" s="208" t="s">
        <v>2132</v>
      </c>
      <c r="B723" s="208">
        <f>IF(ISBLANK(GlobBerMedDisc!$AK$14),"",GlobBerMedDisc!$AK$14)</f>
        <v>0</v>
      </c>
      <c r="C723" s="210">
        <v>0</v>
      </c>
      <c r="F723"/>
    </row>
    <row r="724" spans="1:6" s="208" customFormat="1" x14ac:dyDescent="0.2">
      <c r="A724" s="208" t="s">
        <v>2133</v>
      </c>
      <c r="B724" s="208">
        <f>IF(ISBLANK(GlobBerMedDisc!$AK$15),"",GlobBerMedDisc!$AK$15)</f>
        <v>0</v>
      </c>
      <c r="C724" s="210">
        <v>0</v>
      </c>
      <c r="F724"/>
    </row>
    <row r="725" spans="1:6" x14ac:dyDescent="0.2">
      <c r="A725" s="208" t="s">
        <v>2134</v>
      </c>
      <c r="B725" s="208">
        <f>IF(ISBLANK(GlobBerMedDisc!$AK$16),"",GlobBerMedDisc!$AK$16)</f>
        <v>0</v>
      </c>
      <c r="C725" s="210">
        <v>0</v>
      </c>
      <c r="D725" s="208"/>
      <c r="E725" s="208"/>
    </row>
    <row r="726" spans="1:6" x14ac:dyDescent="0.2">
      <c r="A726" s="208" t="s">
        <v>2135</v>
      </c>
      <c r="B726" s="208">
        <f>IF(ISBLANK(GlobBerMedDisc!$AK$17),"",GlobBerMedDisc!$AK$17)</f>
        <v>0</v>
      </c>
      <c r="C726" s="210">
        <v>0</v>
      </c>
      <c r="D726" s="208"/>
      <c r="E726" s="208"/>
    </row>
    <row r="727" spans="1:6" x14ac:dyDescent="0.2">
      <c r="A727" s="208" t="s">
        <v>2136</v>
      </c>
      <c r="B727" s="208">
        <f>IF(ISBLANK(GlobBerMedDisc!$AK$18),"",GlobBerMedDisc!$AK$18)</f>
        <v>0</v>
      </c>
      <c r="C727" s="210">
        <v>0</v>
      </c>
      <c r="D727" s="208"/>
      <c r="E727" s="208"/>
    </row>
    <row r="728" spans="1:6" x14ac:dyDescent="0.2">
      <c r="A728" s="208" t="s">
        <v>2137</v>
      </c>
      <c r="B728" s="208">
        <f>IF(ISBLANK(GlobBerMedDisc!$AK$19),"",GlobBerMedDisc!$AK$19)</f>
        <v>0</v>
      </c>
      <c r="C728" s="210">
        <v>0</v>
      </c>
      <c r="D728" s="208"/>
      <c r="E728" s="208"/>
    </row>
    <row r="729" spans="1:6" x14ac:dyDescent="0.2">
      <c r="A729" s="208" t="s">
        <v>2138</v>
      </c>
      <c r="B729" s="208">
        <f>IF(ISBLANK(GlobBerMedDisc!$AK$20),"",GlobBerMedDisc!$AK$20)</f>
        <v>0</v>
      </c>
      <c r="C729" s="210">
        <v>0</v>
      </c>
      <c r="D729" s="208"/>
      <c r="E729" s="208"/>
    </row>
    <row r="730" spans="1:6" x14ac:dyDescent="0.2">
      <c r="A730" s="208" t="s">
        <v>2139</v>
      </c>
      <c r="B730" s="208">
        <f>IF(ISBLANK(GlobBerMedDisc!$AK$21),"",GlobBerMedDisc!$AK$21)</f>
        <v>0</v>
      </c>
      <c r="C730" s="210">
        <v>0</v>
      </c>
      <c r="D730" s="208"/>
      <c r="E730" s="208"/>
    </row>
    <row r="731" spans="1:6" x14ac:dyDescent="0.2">
      <c r="A731" s="208" t="s">
        <v>2140</v>
      </c>
      <c r="B731" s="208">
        <f>IF(ISBLANK(GlobBerMedDisc!$AK$22),"",GlobBerMedDisc!$AK$22)</f>
        <v>0</v>
      </c>
      <c r="C731" s="210">
        <v>0</v>
      </c>
      <c r="D731" s="208"/>
      <c r="E731" s="208"/>
    </row>
    <row r="732" spans="1:6" x14ac:dyDescent="0.2">
      <c r="A732" s="208" t="s">
        <v>2141</v>
      </c>
      <c r="B732" s="208">
        <f>IF(ISBLANK(GlobBerMedDisc!$AK$23),"",GlobBerMedDisc!$AK$23)</f>
        <v>0</v>
      </c>
      <c r="C732" s="210">
        <v>0</v>
      </c>
      <c r="D732" s="208"/>
      <c r="E732" s="208"/>
      <c r="F732" s="208"/>
    </row>
    <row r="733" spans="1:6" x14ac:dyDescent="0.2">
      <c r="A733" s="208" t="s">
        <v>2142</v>
      </c>
      <c r="B733" s="208">
        <f>IF(ISBLANK(GlobBerMedDisc!$AK$24),"",GlobBerMedDisc!$AK$24)</f>
        <v>0</v>
      </c>
      <c r="C733" s="210">
        <v>0</v>
      </c>
      <c r="D733" s="208"/>
      <c r="E733" s="208"/>
    </row>
    <row r="734" spans="1:6" x14ac:dyDescent="0.2">
      <c r="A734" s="208" t="s">
        <v>2143</v>
      </c>
      <c r="B734" s="208">
        <f>IF(ISBLANK(GlobBerMedDisc!$AK$25),"",GlobBerMedDisc!$AK$25)</f>
        <v>0</v>
      </c>
      <c r="C734" s="210">
        <v>0</v>
      </c>
      <c r="D734" s="208"/>
      <c r="E734" s="208"/>
    </row>
    <row r="735" spans="1:6" x14ac:dyDescent="0.2">
      <c r="A735" s="208" t="s">
        <v>2144</v>
      </c>
      <c r="B735" s="208">
        <f>IF(ISBLANK(GlobBerMedDisc!$AK$26),"",GlobBerMedDisc!$AK$26)</f>
        <v>0</v>
      </c>
      <c r="C735" s="210">
        <v>0</v>
      </c>
      <c r="D735" s="208"/>
      <c r="E735" s="208"/>
    </row>
    <row r="736" spans="1:6" x14ac:dyDescent="0.2">
      <c r="A736" s="208" t="s">
        <v>2145</v>
      </c>
      <c r="B736" s="208">
        <f>IF(ISBLANK(GlobBerMedDisc!$AK$27),"",GlobBerMedDisc!$AK$27)</f>
        <v>0</v>
      </c>
      <c r="C736" s="210">
        <v>0</v>
      </c>
      <c r="D736" s="208"/>
      <c r="E736" s="208"/>
    </row>
    <row r="737" spans="1:6" x14ac:dyDescent="0.2">
      <c r="A737" s="208" t="s">
        <v>2146</v>
      </c>
      <c r="B737" s="208">
        <f>IF(ISBLANK(GlobBerMedDisc!$AK$28),"",GlobBerMedDisc!$AK$28)</f>
        <v>0</v>
      </c>
      <c r="C737" s="210">
        <v>0</v>
      </c>
      <c r="D737" s="208"/>
      <c r="E737" s="208"/>
    </row>
    <row r="738" spans="1:6" x14ac:dyDescent="0.2">
      <c r="A738" s="208" t="s">
        <v>2147</v>
      </c>
      <c r="B738" s="208">
        <f>IF(ISBLANK(GlobBerMedDisc!$AK$29),"",GlobBerMedDisc!$AK$29)</f>
        <v>0</v>
      </c>
      <c r="C738" s="210">
        <v>0</v>
      </c>
      <c r="D738" s="208"/>
      <c r="E738" s="208"/>
    </row>
    <row r="739" spans="1:6" x14ac:dyDescent="0.2">
      <c r="A739" s="208" t="s">
        <v>2148</v>
      </c>
      <c r="B739" s="208">
        <f>IF(ISBLANK(GlobBerMedDisc!$AK$30),"",GlobBerMedDisc!$AK$30)</f>
        <v>0</v>
      </c>
      <c r="C739" s="210">
        <v>0</v>
      </c>
    </row>
    <row r="740" spans="1:6" x14ac:dyDescent="0.2">
      <c r="A740" s="208" t="s">
        <v>2149</v>
      </c>
      <c r="B740" s="208">
        <f>IF(ISBLANK(GlobBerMedDisc!$AK$31),"",GlobBerMedDisc!$AK$31)</f>
        <v>0</v>
      </c>
      <c r="C740" s="210">
        <v>0</v>
      </c>
    </row>
    <row r="741" spans="1:6" x14ac:dyDescent="0.2">
      <c r="A741" s="208" t="s">
        <v>2150</v>
      </c>
      <c r="B741" s="208" t="str">
        <f>IF(ISBLANK(GlobBerMedDisc!$AL$2),"",GlobBerMedDisc!$AL$2)</f>
        <v/>
      </c>
      <c r="C741" s="99"/>
    </row>
    <row r="742" spans="1:6" x14ac:dyDescent="0.2">
      <c r="A742" s="208" t="s">
        <v>2151</v>
      </c>
      <c r="B742" s="208" t="str">
        <f>IF(ISBLANK(GlobBerMedDisc!$AL$3),"",GlobBerMedDisc!$AL$3)</f>
        <v/>
      </c>
      <c r="C742" s="99"/>
      <c r="F742" s="208"/>
    </row>
    <row r="743" spans="1:6" x14ac:dyDescent="0.2">
      <c r="A743" s="208" t="s">
        <v>2152</v>
      </c>
      <c r="B743" s="208" t="str">
        <f>IF(ISBLANK(GlobBerMedDisc!$AL$4),"",GlobBerMedDisc!$AL$4)</f>
        <v/>
      </c>
      <c r="C743" s="99"/>
      <c r="F743" s="208"/>
    </row>
    <row r="744" spans="1:6" x14ac:dyDescent="0.2">
      <c r="A744" s="208" t="s">
        <v>2153</v>
      </c>
      <c r="B744" s="208" t="str">
        <f>IF(ISBLANK(GlobBerMedDisc!$AL$5),"",GlobBerMedDisc!$AL$5)</f>
        <v/>
      </c>
      <c r="C744" s="99"/>
      <c r="F744" s="208"/>
    </row>
    <row r="745" spans="1:6" x14ac:dyDescent="0.2">
      <c r="A745" s="208" t="s">
        <v>2154</v>
      </c>
      <c r="B745" s="208" t="str">
        <f>IF(ISBLANK(GlobBerMedDisc!$AL$6),"",GlobBerMedDisc!$AL$6)</f>
        <v/>
      </c>
      <c r="C745" s="99"/>
      <c r="F745" s="208"/>
    </row>
    <row r="746" spans="1:6" s="208" customFormat="1" x14ac:dyDescent="0.2">
      <c r="A746" s="208" t="s">
        <v>2155</v>
      </c>
      <c r="B746" s="208" t="str">
        <f>IF(ISBLANK(GlobBerMedDisc!$AL$7),"",GlobBerMedDisc!$AL$7)</f>
        <v/>
      </c>
      <c r="C746" s="99"/>
      <c r="D746"/>
      <c r="E746"/>
    </row>
    <row r="747" spans="1:6" x14ac:dyDescent="0.2">
      <c r="A747" s="208" t="s">
        <v>2156</v>
      </c>
      <c r="B747" s="208" t="str">
        <f>IF(ISBLANK(GlobBerMedDisc!$AL$8),"",GlobBerMedDisc!$AL$8)</f>
        <v/>
      </c>
      <c r="C747" s="99"/>
      <c r="F747" s="208"/>
    </row>
    <row r="748" spans="1:6" x14ac:dyDescent="0.2">
      <c r="A748" s="208" t="s">
        <v>2157</v>
      </c>
      <c r="B748" s="208" t="str">
        <f>IF(ISBLANK(GlobBerMedDisc!$AL$9),"",GlobBerMedDisc!$AL$9)</f>
        <v/>
      </c>
      <c r="C748" s="99"/>
      <c r="F748" s="208"/>
    </row>
    <row r="749" spans="1:6" x14ac:dyDescent="0.2">
      <c r="A749" s="208" t="s">
        <v>2158</v>
      </c>
      <c r="B749" s="208" t="str">
        <f>IF(ISBLANK(GlobBerMedDisc!$AL$10),"",GlobBerMedDisc!$AL$10)</f>
        <v/>
      </c>
      <c r="C749" s="99"/>
      <c r="F749" s="208"/>
    </row>
    <row r="750" spans="1:6" x14ac:dyDescent="0.2">
      <c r="A750" s="208" t="s">
        <v>2159</v>
      </c>
      <c r="B750" s="208" t="str">
        <f>IF(ISBLANK(GlobBerMedDisc!$AL$11),"",GlobBerMedDisc!$AL$11)</f>
        <v/>
      </c>
      <c r="C750" s="99"/>
      <c r="F750" s="208"/>
    </row>
    <row r="751" spans="1:6" s="208" customFormat="1" x14ac:dyDescent="0.2">
      <c r="A751" s="208" t="s">
        <v>2160</v>
      </c>
      <c r="B751" s="208" t="str">
        <f>IF(ISBLANK(GlobBerMedDisc!$AL$12),"",GlobBerMedDisc!$AL$12)</f>
        <v/>
      </c>
      <c r="C751" s="99"/>
      <c r="D751"/>
      <c r="E751"/>
      <c r="F751"/>
    </row>
    <row r="752" spans="1:6" s="208" customFormat="1" x14ac:dyDescent="0.2">
      <c r="A752" s="208" t="s">
        <v>2161</v>
      </c>
      <c r="B752" s="208" t="str">
        <f>IF(ISBLANK(GlobBerMedDisc!$AL$13),"",GlobBerMedDisc!$AL$13)</f>
        <v/>
      </c>
      <c r="C752" s="99"/>
      <c r="D752"/>
      <c r="E752"/>
      <c r="F752"/>
    </row>
    <row r="753" spans="1:6" s="208" customFormat="1" x14ac:dyDescent="0.2">
      <c r="A753" s="208" t="s">
        <v>2162</v>
      </c>
      <c r="B753" t="str">
        <f>IF(ISBLANK(GlobBerMedDisc!$AL$14),"",GlobBerMedDisc!$AL$14)</f>
        <v/>
      </c>
      <c r="C753" s="99"/>
      <c r="D753"/>
      <c r="E753"/>
      <c r="F753"/>
    </row>
    <row r="754" spans="1:6" s="208" customFormat="1" x14ac:dyDescent="0.2">
      <c r="A754" s="208" t="s">
        <v>2163</v>
      </c>
      <c r="B754" t="str">
        <f>IF(ISBLANK(GlobBerMedDisc!$AL$15),"",GlobBerMedDisc!$AL$15)</f>
        <v/>
      </c>
      <c r="C754" s="99"/>
      <c r="D754"/>
      <c r="E754"/>
      <c r="F754"/>
    </row>
    <row r="755" spans="1:6" x14ac:dyDescent="0.2">
      <c r="A755" s="208" t="s">
        <v>2164</v>
      </c>
      <c r="B755" t="str">
        <f>IF(ISBLANK(GlobBerMedDisc!$AL$16),"",GlobBerMedDisc!$AL$16)</f>
        <v/>
      </c>
      <c r="C755" s="99"/>
    </row>
    <row r="756" spans="1:6" x14ac:dyDescent="0.2">
      <c r="A756" s="208" t="s">
        <v>2165</v>
      </c>
      <c r="B756" t="str">
        <f>IF(ISBLANK(GlobBerMedDisc!$AL$17),"",GlobBerMedDisc!$AL$17)</f>
        <v/>
      </c>
      <c r="C756" s="99"/>
    </row>
    <row r="757" spans="1:6" x14ac:dyDescent="0.2">
      <c r="A757" s="208" t="s">
        <v>2166</v>
      </c>
      <c r="B757" t="str">
        <f>IF(ISBLANK(GlobBerMedDisc!$AL$18),"",GlobBerMedDisc!$AL$18)</f>
        <v/>
      </c>
      <c r="C757" s="99"/>
    </row>
    <row r="758" spans="1:6" x14ac:dyDescent="0.2">
      <c r="A758" s="208" t="s">
        <v>2167</v>
      </c>
      <c r="B758" t="str">
        <f>IF(ISBLANK(GlobBerMedDisc!$AL$19),"",GlobBerMedDisc!$AL$19)</f>
        <v/>
      </c>
      <c r="C758" s="99"/>
    </row>
    <row r="759" spans="1:6" x14ac:dyDescent="0.2">
      <c r="A759" s="208" t="s">
        <v>2168</v>
      </c>
      <c r="B759" t="str">
        <f>IF(ISBLANK(GlobBerMedDisc!$AL$20),"",GlobBerMedDisc!$AL$20)</f>
        <v/>
      </c>
      <c r="C759" s="99"/>
    </row>
    <row r="760" spans="1:6" x14ac:dyDescent="0.2">
      <c r="A760" s="208" t="s">
        <v>2169</v>
      </c>
      <c r="B760" t="str">
        <f>IF(ISBLANK(GlobBerMedDisc!$AL$21),"",GlobBerMedDisc!$AL$21)</f>
        <v/>
      </c>
      <c r="C760" s="99"/>
    </row>
    <row r="761" spans="1:6" x14ac:dyDescent="0.2">
      <c r="A761" s="208" t="s">
        <v>2170</v>
      </c>
      <c r="B761" t="str">
        <f>IF(ISBLANK(GlobBerMedDisc!$AL$22),"",GlobBerMedDisc!$AL$22)</f>
        <v/>
      </c>
      <c r="C761" s="99"/>
    </row>
    <row r="762" spans="1:6" x14ac:dyDescent="0.2">
      <c r="A762" s="208" t="s">
        <v>2171</v>
      </c>
      <c r="B762" t="str">
        <f>IF(ISBLANK(GlobBerMedDisc!$AL$23),"",GlobBerMedDisc!$AL$23)</f>
        <v/>
      </c>
      <c r="C762" s="99"/>
    </row>
    <row r="763" spans="1:6" x14ac:dyDescent="0.2">
      <c r="A763" s="208" t="s">
        <v>2172</v>
      </c>
      <c r="B763" s="208" t="str">
        <f>IF(ISBLANK(GlobBerMedDisc!$AL$24),"",GlobBerMedDisc!$AL$24)</f>
        <v/>
      </c>
      <c r="C763" s="99"/>
    </row>
    <row r="764" spans="1:6" x14ac:dyDescent="0.2">
      <c r="A764" s="208" t="s">
        <v>2173</v>
      </c>
      <c r="B764" t="str">
        <f>IF(ISBLANK(GlobBerMedDisc!$AL$25),"",GlobBerMedDisc!$AL$25)</f>
        <v/>
      </c>
      <c r="C764" s="99"/>
    </row>
    <row r="765" spans="1:6" x14ac:dyDescent="0.2">
      <c r="A765" s="208" t="s">
        <v>2174</v>
      </c>
      <c r="B765" t="str">
        <f>IF(ISBLANK(GlobBerMedDisc!$AL$26),"",GlobBerMedDisc!$AL$26)</f>
        <v/>
      </c>
      <c r="C765" s="99"/>
    </row>
    <row r="766" spans="1:6" x14ac:dyDescent="0.2">
      <c r="A766" s="208" t="s">
        <v>2175</v>
      </c>
      <c r="B766" s="208" t="str">
        <f>IF(ISBLANK(GlobBerMedDisc!$AL$27),"",GlobBerMedDisc!$AL$27)</f>
        <v/>
      </c>
      <c r="C766" s="99"/>
    </row>
    <row r="767" spans="1:6" x14ac:dyDescent="0.2">
      <c r="A767" s="208" t="s">
        <v>2176</v>
      </c>
      <c r="B767" t="str">
        <f>IF(ISBLANK(GlobBerMedDisc!$AL$28),"",GlobBerMedDisc!$AL$28)</f>
        <v/>
      </c>
      <c r="C767" s="99"/>
    </row>
    <row r="768" spans="1:6" x14ac:dyDescent="0.2">
      <c r="A768" s="208" t="s">
        <v>2177</v>
      </c>
      <c r="B768" t="str">
        <f>IF(ISBLANK(GlobBerMedDisc!$AL$29),"",GlobBerMedDisc!$AL$29)</f>
        <v/>
      </c>
      <c r="C768" s="99"/>
    </row>
    <row r="769" spans="1:6" x14ac:dyDescent="0.2">
      <c r="A769" s="208" t="s">
        <v>2178</v>
      </c>
      <c r="B769" t="str">
        <f>IF(ISBLANK(GlobBerMedDisc!$AL$30),"",GlobBerMedDisc!$AL$30)</f>
        <v/>
      </c>
      <c r="C769" s="99"/>
    </row>
    <row r="770" spans="1:6" x14ac:dyDescent="0.2">
      <c r="A770" s="208" t="s">
        <v>2179</v>
      </c>
      <c r="B770" t="str">
        <f>IF(ISBLANK(GlobBerMedDisc!$AL$31),"",GlobBerMedDisc!$AL$31)</f>
        <v/>
      </c>
      <c r="C770" s="99"/>
    </row>
    <row r="771" spans="1:6" x14ac:dyDescent="0.2">
      <c r="A771" s="208" t="s">
        <v>2180</v>
      </c>
      <c r="B771" t="str">
        <f>IF(ISBLANK(GlobBerMedDisc!$L$2),"",GlobBerMedDisc!$L$2)</f>
        <v/>
      </c>
      <c r="C771" s="99"/>
    </row>
    <row r="772" spans="1:6" x14ac:dyDescent="0.2">
      <c r="A772" s="208" t="s">
        <v>2181</v>
      </c>
      <c r="B772" t="str">
        <f>IF(ISBLANK(GlobBerMedDisc!$L$3),"",GlobBerMedDisc!$L$3)</f>
        <v/>
      </c>
      <c r="C772" s="99"/>
    </row>
    <row r="773" spans="1:6" x14ac:dyDescent="0.2">
      <c r="A773" s="208" t="s">
        <v>2182</v>
      </c>
      <c r="B773" s="208" t="str">
        <f>IF(ISBLANK(GlobBerMedDisc!$L$4),"",GlobBerMedDisc!$L$4)</f>
        <v/>
      </c>
      <c r="C773" s="99"/>
    </row>
    <row r="774" spans="1:6" x14ac:dyDescent="0.2">
      <c r="A774" s="208" t="s">
        <v>2183</v>
      </c>
      <c r="B774" t="str">
        <f>IF(ISBLANK(GlobBerMedDisc!$L$5),"",GlobBerMedDisc!$L$5)</f>
        <v/>
      </c>
      <c r="C774" s="99"/>
    </row>
    <row r="775" spans="1:6" x14ac:dyDescent="0.2">
      <c r="A775" s="208" t="s">
        <v>2184</v>
      </c>
      <c r="B775" t="str">
        <f>IF(ISBLANK(GlobBerMedDisc!$L$6),"",GlobBerMedDisc!$L$6)</f>
        <v/>
      </c>
      <c r="C775" s="99"/>
    </row>
    <row r="776" spans="1:6" x14ac:dyDescent="0.2">
      <c r="A776" s="208" t="s">
        <v>2185</v>
      </c>
      <c r="B776" t="str">
        <f>IF(ISBLANK(GlobBerMedDisc!$L$7),"",GlobBerMedDisc!$L$7)</f>
        <v/>
      </c>
      <c r="C776" s="99"/>
    </row>
    <row r="777" spans="1:6" x14ac:dyDescent="0.2">
      <c r="A777" s="208" t="s">
        <v>2186</v>
      </c>
      <c r="B777" t="str">
        <f>IF(ISBLANK(GlobBerMedDisc!$L$8),"",GlobBerMedDisc!$L$8)</f>
        <v/>
      </c>
      <c r="C777" s="99"/>
    </row>
    <row r="778" spans="1:6" x14ac:dyDescent="0.2">
      <c r="A778" s="208" t="s">
        <v>2187</v>
      </c>
      <c r="B778" t="str">
        <f>IF(ISBLANK(GlobBerMedDisc!$L$9),"",GlobBerMedDisc!$L$9)</f>
        <v/>
      </c>
      <c r="C778" s="99"/>
    </row>
    <row r="779" spans="1:6" x14ac:dyDescent="0.2">
      <c r="A779" s="208" t="s">
        <v>2188</v>
      </c>
      <c r="B779" t="str">
        <f>IF(ISBLANK(GlobBerMedDisc!$L$10),"",GlobBerMedDisc!$L$10)</f>
        <v/>
      </c>
      <c r="C779" s="99"/>
    </row>
    <row r="780" spans="1:6" x14ac:dyDescent="0.2">
      <c r="A780" s="208" t="s">
        <v>2189</v>
      </c>
      <c r="B780" t="str">
        <f>IF(ISBLANK(GlobBerMedDisc!$L$11),"",GlobBerMedDisc!$L$11)</f>
        <v/>
      </c>
      <c r="C780" s="99"/>
    </row>
    <row r="781" spans="1:6" x14ac:dyDescent="0.2">
      <c r="A781" s="208" t="s">
        <v>2190</v>
      </c>
      <c r="B781" t="str">
        <f>IF(ISBLANK(GlobBerMedDisc!$L$12),"",GlobBerMedDisc!$L$12)</f>
        <v/>
      </c>
      <c r="C781" s="99"/>
    </row>
    <row r="782" spans="1:6" x14ac:dyDescent="0.2">
      <c r="A782" s="208" t="s">
        <v>2191</v>
      </c>
      <c r="B782" t="str">
        <f>IF(ISBLANK(GlobBerMedDisc!$L$13),"",GlobBerMedDisc!$L$13)</f>
        <v/>
      </c>
      <c r="C782" s="99"/>
      <c r="F782" s="208"/>
    </row>
    <row r="783" spans="1:6" x14ac:dyDescent="0.2">
      <c r="A783" s="208" t="s">
        <v>2192</v>
      </c>
      <c r="B783" t="str">
        <f>IF(ISBLANK(GlobBerMedDisc!$L$14),"",GlobBerMedDisc!$L$14)</f>
        <v/>
      </c>
      <c r="C783" s="99"/>
    </row>
    <row r="784" spans="1:6" x14ac:dyDescent="0.2">
      <c r="A784" s="208" t="s">
        <v>2193</v>
      </c>
      <c r="B784" t="str">
        <f>IF(ISBLANK(GlobBerMedDisc!$L$15),"",GlobBerMedDisc!$L$15)</f>
        <v/>
      </c>
      <c r="C784" s="99"/>
    </row>
    <row r="785" spans="1:6" x14ac:dyDescent="0.2">
      <c r="A785" s="208" t="s">
        <v>2194</v>
      </c>
      <c r="B785" s="208" t="str">
        <f>IF(ISBLANK(GlobBerMedDisc!$L$16),"",GlobBerMedDisc!$L$16)</f>
        <v/>
      </c>
      <c r="C785" s="99"/>
    </row>
    <row r="786" spans="1:6" x14ac:dyDescent="0.2">
      <c r="A786" s="208" t="s">
        <v>2195</v>
      </c>
      <c r="B786" t="str">
        <f>IF(ISBLANK(GlobBerMedDisc!$L$17),"",GlobBerMedDisc!$L$17)</f>
        <v/>
      </c>
      <c r="C786" s="99"/>
    </row>
    <row r="787" spans="1:6" x14ac:dyDescent="0.2">
      <c r="A787" s="208" t="s">
        <v>2196</v>
      </c>
      <c r="B787" t="str">
        <f>IF(ISBLANK(GlobBerMedDisc!$L$18),"",GlobBerMedDisc!$L$18)</f>
        <v/>
      </c>
      <c r="C787" s="99"/>
    </row>
    <row r="788" spans="1:6" x14ac:dyDescent="0.2">
      <c r="A788" s="208" t="s">
        <v>2197</v>
      </c>
      <c r="B788" t="str">
        <f>IF(ISBLANK(GlobBerMedDisc!$L$19),"",GlobBerMedDisc!$L$19)</f>
        <v/>
      </c>
      <c r="C788" s="99"/>
    </row>
    <row r="789" spans="1:6" x14ac:dyDescent="0.2">
      <c r="A789" s="208" t="s">
        <v>2198</v>
      </c>
      <c r="B789" t="str">
        <f>IF(ISBLANK(GlobBerMedDisc!$L$20),"",GlobBerMedDisc!$L$20)</f>
        <v/>
      </c>
      <c r="C789" s="99"/>
    </row>
    <row r="790" spans="1:6" x14ac:dyDescent="0.2">
      <c r="A790" s="208" t="s">
        <v>2199</v>
      </c>
      <c r="B790" t="str">
        <f>IF(ISBLANK(GlobBerMedDisc!$L$21),"",GlobBerMedDisc!$L$21)</f>
        <v/>
      </c>
      <c r="C790" s="99"/>
    </row>
    <row r="791" spans="1:6" x14ac:dyDescent="0.2">
      <c r="A791" s="208" t="s">
        <v>2200</v>
      </c>
      <c r="B791" t="str">
        <f>IF(ISBLANK(GlobBerMedDisc!$L$22),"",GlobBerMedDisc!$L$22)</f>
        <v/>
      </c>
      <c r="C791" s="99"/>
    </row>
    <row r="792" spans="1:6" x14ac:dyDescent="0.2">
      <c r="A792" s="208" t="s">
        <v>2201</v>
      </c>
      <c r="B792" t="str">
        <f>IF(ISBLANK(GlobBerMedDisc!$L$23),"",GlobBerMedDisc!$L$23)</f>
        <v/>
      </c>
      <c r="C792" s="99"/>
    </row>
    <row r="793" spans="1:6" x14ac:dyDescent="0.2">
      <c r="A793" s="208" t="s">
        <v>2202</v>
      </c>
      <c r="B793" t="str">
        <f>IF(ISBLANK(GlobBerMedDisc!$L$24),"",GlobBerMedDisc!$L$24)</f>
        <v/>
      </c>
      <c r="C793" s="99"/>
    </row>
    <row r="794" spans="1:6" x14ac:dyDescent="0.2">
      <c r="A794" s="208" t="s">
        <v>2203</v>
      </c>
      <c r="B794" t="str">
        <f>IF(ISBLANK(GlobBerMedDisc!$L$25),"",GlobBerMedDisc!$L$25)</f>
        <v/>
      </c>
      <c r="C794" s="99"/>
    </row>
    <row r="795" spans="1:6" x14ac:dyDescent="0.2">
      <c r="A795" s="208" t="s">
        <v>2204</v>
      </c>
      <c r="B795" t="str">
        <f>IF(ISBLANK(GlobBerMedDisc!$L$26),"",GlobBerMedDisc!$L$26)</f>
        <v/>
      </c>
      <c r="C795" s="99"/>
    </row>
    <row r="796" spans="1:6" x14ac:dyDescent="0.2">
      <c r="A796" s="208" t="s">
        <v>2205</v>
      </c>
      <c r="B796" t="str">
        <f>IF(ISBLANK(GlobBerMedDisc!$L$27),"",GlobBerMedDisc!$L$27)</f>
        <v/>
      </c>
      <c r="C796" s="99"/>
    </row>
    <row r="797" spans="1:6" x14ac:dyDescent="0.2">
      <c r="A797" s="208" t="s">
        <v>2206</v>
      </c>
      <c r="B797" t="str">
        <f>IF(ISBLANK(GlobBerMedDisc!$L$28),"",GlobBerMedDisc!$L$28)</f>
        <v/>
      </c>
      <c r="C797" s="99"/>
    </row>
    <row r="798" spans="1:6" x14ac:dyDescent="0.2">
      <c r="A798" s="208" t="s">
        <v>2207</v>
      </c>
      <c r="B798" s="208" t="str">
        <f>IF(ISBLANK(GlobBerMedDisc!$L$29),"",GlobBerMedDisc!$L$29)</f>
        <v/>
      </c>
      <c r="C798" s="99"/>
      <c r="F798" s="208"/>
    </row>
    <row r="799" spans="1:6" x14ac:dyDescent="0.2">
      <c r="A799" s="208" t="s">
        <v>2208</v>
      </c>
      <c r="B799" t="str">
        <f>IF(ISBLANK(GlobBerMedDisc!$L$30),"",GlobBerMedDisc!$L$30)</f>
        <v/>
      </c>
      <c r="C799" s="99"/>
    </row>
    <row r="800" spans="1:6" x14ac:dyDescent="0.2">
      <c r="A800" s="208" t="s">
        <v>2209</v>
      </c>
      <c r="B800" t="str">
        <f>IF(ISBLANK(GlobBerMedDisc!$L$31),"",GlobBerMedDisc!$L$31)</f>
        <v/>
      </c>
      <c r="C800" s="99"/>
    </row>
    <row r="801" spans="1:5" x14ac:dyDescent="0.2">
      <c r="A801" s="208" t="s">
        <v>3461</v>
      </c>
      <c r="B801" t="str">
        <f>IF(ISBLANK(GlobBerMedDisc!$C$2),"",GlobBerMedDisc!$C$2)</f>
        <v/>
      </c>
      <c r="C801" s="99"/>
    </row>
    <row r="802" spans="1:5" x14ac:dyDescent="0.2">
      <c r="A802" s="208" t="s">
        <v>3462</v>
      </c>
      <c r="B802" t="str">
        <f>IF(ISBLANK(GlobBerMedDisc!$C$3),"",GlobBerMedDisc!$C$3)</f>
        <v/>
      </c>
      <c r="C802" s="99"/>
    </row>
    <row r="803" spans="1:5" x14ac:dyDescent="0.2">
      <c r="A803" s="208" t="s">
        <v>3463</v>
      </c>
      <c r="B803" t="str">
        <f>IF(ISBLANK(GlobBerMedDisc!$C$4),"",GlobBerMedDisc!$C$4)</f>
        <v/>
      </c>
      <c r="C803" s="99"/>
    </row>
    <row r="804" spans="1:5" x14ac:dyDescent="0.2">
      <c r="A804" s="208" t="s">
        <v>3464</v>
      </c>
      <c r="B804" t="str">
        <f>IF(ISBLANK(GlobBerMedDisc!$C$5),"",GlobBerMedDisc!$C$5)</f>
        <v/>
      </c>
      <c r="C804" s="99"/>
    </row>
    <row r="805" spans="1:5" x14ac:dyDescent="0.2">
      <c r="A805" s="208" t="s">
        <v>3465</v>
      </c>
      <c r="B805" t="str">
        <f>IF(ISBLANK(GlobBerMedDisc!$C$6),"",GlobBerMedDisc!$C$6)</f>
        <v/>
      </c>
      <c r="C805" s="99"/>
    </row>
    <row r="806" spans="1:5" x14ac:dyDescent="0.2">
      <c r="A806" s="208" t="s">
        <v>3466</v>
      </c>
      <c r="B806" t="str">
        <f>IF(ISBLANK(GlobBerMedDisc!$C$7),"",GlobBerMedDisc!$C$7)</f>
        <v/>
      </c>
      <c r="C806" s="99"/>
    </row>
    <row r="807" spans="1:5" x14ac:dyDescent="0.2">
      <c r="A807" s="208" t="s">
        <v>3467</v>
      </c>
      <c r="B807" s="208" t="str">
        <f>IF(ISBLANK(GlobBerMedDisc!$C$8),"",GlobBerMedDisc!$C$8)</f>
        <v/>
      </c>
      <c r="C807" s="99"/>
    </row>
    <row r="808" spans="1:5" x14ac:dyDescent="0.2">
      <c r="A808" s="208" t="s">
        <v>3468</v>
      </c>
      <c r="B808" t="str">
        <f>IF(ISBLANK(GlobBerMedDisc!$C$9),"",GlobBerMedDisc!$C$9)</f>
        <v/>
      </c>
      <c r="C808" s="99"/>
    </row>
    <row r="809" spans="1:5" x14ac:dyDescent="0.2">
      <c r="A809" s="208" t="s">
        <v>3469</v>
      </c>
      <c r="B809" t="str">
        <f>IF(ISBLANK(GlobBerMedDisc!$C$10),"",GlobBerMedDisc!$C$10)</f>
        <v/>
      </c>
      <c r="C809" s="99"/>
    </row>
    <row r="810" spans="1:5" x14ac:dyDescent="0.2">
      <c r="A810" s="208" t="s">
        <v>3470</v>
      </c>
      <c r="B810" t="str">
        <f>IF(ISBLANK(GlobBerMedDisc!$C$11),"",GlobBerMedDisc!$C$11)</f>
        <v/>
      </c>
      <c r="C810" s="99"/>
    </row>
    <row r="811" spans="1:5" x14ac:dyDescent="0.2">
      <c r="A811" s="208" t="s">
        <v>3471</v>
      </c>
      <c r="B811" s="208" t="str">
        <f>IF(ISBLANK(GlobBerMedDisc!$C$12),"",GlobBerMedDisc!$C$12)</f>
        <v/>
      </c>
      <c r="C811" s="99"/>
    </row>
    <row r="812" spans="1:5" x14ac:dyDescent="0.2">
      <c r="A812" s="208" t="s">
        <v>3472</v>
      </c>
      <c r="B812" t="str">
        <f>IF(ISBLANK(GlobBerMedDisc!$C$13),"",GlobBerMedDisc!$C$13)</f>
        <v/>
      </c>
      <c r="C812" s="99"/>
      <c r="D812" s="208"/>
      <c r="E812" s="208"/>
    </row>
    <row r="813" spans="1:5" x14ac:dyDescent="0.2">
      <c r="A813" s="208" t="s">
        <v>3473</v>
      </c>
      <c r="B813" t="str">
        <f>IF(ISBLANK(GlobBerMedDisc!$C$14),"",GlobBerMedDisc!$C$14)</f>
        <v/>
      </c>
      <c r="C813" s="99"/>
    </row>
    <row r="814" spans="1:5" x14ac:dyDescent="0.2">
      <c r="A814" s="208" t="s">
        <v>3474</v>
      </c>
      <c r="B814" t="str">
        <f>IF(ISBLANK(GlobBerMedDisc!$C$15),"",GlobBerMedDisc!$C$15)</f>
        <v/>
      </c>
      <c r="C814" s="99"/>
    </row>
    <row r="815" spans="1:5" x14ac:dyDescent="0.2">
      <c r="A815" s="208" t="s">
        <v>3475</v>
      </c>
      <c r="B815" t="str">
        <f>IF(ISBLANK(GlobBerMedDisc!$C$16),"",GlobBerMedDisc!$C$16)</f>
        <v/>
      </c>
      <c r="C815" s="99"/>
    </row>
    <row r="816" spans="1:5" x14ac:dyDescent="0.2">
      <c r="A816" s="208" t="s">
        <v>3476</v>
      </c>
      <c r="B816" t="str">
        <f>IF(ISBLANK(GlobBerMedDisc!$C$17),"",GlobBerMedDisc!$C$17)</f>
        <v/>
      </c>
      <c r="C816" s="99"/>
    </row>
    <row r="817" spans="1:5" x14ac:dyDescent="0.2">
      <c r="A817" s="208" t="s">
        <v>3477</v>
      </c>
      <c r="B817" t="str">
        <f>IF(ISBLANK(GlobBerMedDisc!$C$18),"",GlobBerMedDisc!$C$18)</f>
        <v/>
      </c>
      <c r="C817" s="99"/>
    </row>
    <row r="818" spans="1:5" x14ac:dyDescent="0.2">
      <c r="A818" s="208" t="s">
        <v>3478</v>
      </c>
      <c r="B818" t="str">
        <f>IF(ISBLANK(GlobBerMedDisc!$C$19),"",GlobBerMedDisc!$C$19)</f>
        <v/>
      </c>
      <c r="C818" s="99"/>
    </row>
    <row r="819" spans="1:5" x14ac:dyDescent="0.2">
      <c r="A819" s="208" t="s">
        <v>3479</v>
      </c>
      <c r="B819" t="str">
        <f>IF(ISBLANK(GlobBerMedDisc!$C$20),"",GlobBerMedDisc!$C$20)</f>
        <v/>
      </c>
      <c r="C819" s="99"/>
    </row>
    <row r="820" spans="1:5" x14ac:dyDescent="0.2">
      <c r="A820" s="208" t="s">
        <v>3480</v>
      </c>
      <c r="B820" t="str">
        <f>IF(ISBLANK(GlobBerMedDisc!$C$21),"",GlobBerMedDisc!$C$21)</f>
        <v/>
      </c>
      <c r="C820" s="99"/>
    </row>
    <row r="821" spans="1:5" x14ac:dyDescent="0.2">
      <c r="A821" s="208" t="s">
        <v>3481</v>
      </c>
      <c r="B821" t="str">
        <f>IF(ISBLANK(GlobBerMedDisc!$C$22),"",GlobBerMedDisc!$C$22)</f>
        <v/>
      </c>
      <c r="C821" s="99"/>
    </row>
    <row r="822" spans="1:5" x14ac:dyDescent="0.2">
      <c r="A822" s="208" t="s">
        <v>3482</v>
      </c>
      <c r="B822" t="str">
        <f>IF(ISBLANK(GlobBerMedDisc!$C$23),"",GlobBerMedDisc!$C$23)</f>
        <v/>
      </c>
      <c r="C822" s="99"/>
    </row>
    <row r="823" spans="1:5" x14ac:dyDescent="0.2">
      <c r="A823" s="208" t="s">
        <v>3483</v>
      </c>
      <c r="B823" t="str">
        <f>IF(ISBLANK(GlobBerMedDisc!$C$24),"",GlobBerMedDisc!$C$24)</f>
        <v/>
      </c>
      <c r="C823" s="99"/>
    </row>
    <row r="824" spans="1:5" x14ac:dyDescent="0.2">
      <c r="A824" s="208" t="s">
        <v>3484</v>
      </c>
      <c r="B824" t="str">
        <f>IF(ISBLANK(GlobBerMedDisc!$C$25),"",GlobBerMedDisc!$C$25)</f>
        <v/>
      </c>
      <c r="C824" s="99"/>
    </row>
    <row r="825" spans="1:5" x14ac:dyDescent="0.2">
      <c r="A825" s="208" t="s">
        <v>3485</v>
      </c>
      <c r="B825" t="str">
        <f>IF(ISBLANK(GlobBerMedDisc!$C$26),"",GlobBerMedDisc!$C$26)</f>
        <v/>
      </c>
      <c r="C825" s="99"/>
    </row>
    <row r="826" spans="1:5" x14ac:dyDescent="0.2">
      <c r="A826" s="208" t="s">
        <v>3486</v>
      </c>
      <c r="B826" s="208" t="str">
        <f>IF(ISBLANK(GlobBerMedDisc!$C$27),"",GlobBerMedDisc!$C$27)</f>
        <v/>
      </c>
      <c r="C826" s="99"/>
    </row>
    <row r="827" spans="1:5" x14ac:dyDescent="0.2">
      <c r="A827" s="208" t="s">
        <v>3487</v>
      </c>
      <c r="B827" t="str">
        <f>IF(ISBLANK(GlobBerMedDisc!$C$28),"",GlobBerMedDisc!$C$28)</f>
        <v/>
      </c>
      <c r="C827" s="99"/>
    </row>
    <row r="828" spans="1:5" x14ac:dyDescent="0.2">
      <c r="A828" s="208" t="s">
        <v>3488</v>
      </c>
      <c r="B828" t="str">
        <f>IF(ISBLANK(GlobBerMedDisc!$C$29),"",GlobBerMedDisc!$C$29)</f>
        <v/>
      </c>
      <c r="C828" s="99"/>
      <c r="D828" s="208"/>
      <c r="E828" s="208"/>
    </row>
    <row r="829" spans="1:5" x14ac:dyDescent="0.2">
      <c r="A829" s="208" t="s">
        <v>3489</v>
      </c>
      <c r="B829" t="str">
        <f>IF(ISBLANK(GlobBerMedDisc!$C$30),"",GlobBerMedDisc!$C$30)</f>
        <v/>
      </c>
      <c r="C829" s="99"/>
    </row>
    <row r="830" spans="1:5" x14ac:dyDescent="0.2">
      <c r="A830" s="208" t="s">
        <v>3490</v>
      </c>
      <c r="B830" t="str">
        <f>IF(ISBLANK(GlobBerMedDisc!$C$31),"",GlobBerMedDisc!$C$31)</f>
        <v/>
      </c>
      <c r="C830" s="99"/>
    </row>
    <row r="831" spans="1:5" x14ac:dyDescent="0.2">
      <c r="A831" s="208" t="s">
        <v>4130</v>
      </c>
      <c r="B831">
        <f>IF(ISBLANK(GlobTblEnt!$B$39),"",GlobTblEnt!$B$39)</f>
        <v>0</v>
      </c>
      <c r="C831" s="431">
        <v>0</v>
      </c>
    </row>
    <row r="832" spans="1:5" x14ac:dyDescent="0.2">
      <c r="A832" s="208" t="s">
        <v>4132</v>
      </c>
      <c r="B832">
        <f>IF(ISBLANK(GlobTblEnt!$C$39),"",GlobTblEnt!$C$39)</f>
        <v>0</v>
      </c>
      <c r="C832" s="431">
        <v>0</v>
      </c>
    </row>
    <row r="833" spans="1:6" x14ac:dyDescent="0.2">
      <c r="A833" s="208" t="s">
        <v>4134</v>
      </c>
      <c r="B833">
        <f>IF(ISBLANK(GlobTblEnt!$D$39),"",GlobTblEnt!$D$39)</f>
        <v>0</v>
      </c>
      <c r="C833" s="431">
        <v>0</v>
      </c>
    </row>
    <row r="834" spans="1:6" x14ac:dyDescent="0.2">
      <c r="A834" s="208" t="s">
        <v>4136</v>
      </c>
      <c r="B834">
        <f>IF(ISBLANK(GlobTblEnt!$E$39),"",GlobTblEnt!$E$39)</f>
        <v>0</v>
      </c>
      <c r="C834" s="431">
        <v>0</v>
      </c>
    </row>
    <row r="835" spans="1:6" x14ac:dyDescent="0.2">
      <c r="A835" s="208" t="s">
        <v>4138</v>
      </c>
      <c r="B835">
        <f>IF(ISBLANK(GlobTblEnt!$F$39),"",GlobTblEnt!$F$39)</f>
        <v>0</v>
      </c>
      <c r="C835" s="431">
        <v>0</v>
      </c>
    </row>
    <row r="836" spans="1:6" x14ac:dyDescent="0.2">
      <c r="A836" s="208" t="s">
        <v>4140</v>
      </c>
      <c r="B836">
        <f>IF(ISBLANK(GlobTblEnt!$G$39),"",GlobTblEnt!$G$39)</f>
        <v>0</v>
      </c>
      <c r="C836" s="431">
        <v>0</v>
      </c>
      <c r="F836" s="208"/>
    </row>
    <row r="837" spans="1:6" x14ac:dyDescent="0.2">
      <c r="A837" s="208" t="s">
        <v>4142</v>
      </c>
      <c r="B837">
        <f>IF(ISBLANK(GlobTblEnt!$H$39),"",GlobTblEnt!$H$39)</f>
        <v>0</v>
      </c>
      <c r="C837" s="431">
        <v>0</v>
      </c>
    </row>
    <row r="838" spans="1:6" x14ac:dyDescent="0.2">
      <c r="A838" s="208" t="s">
        <v>4144</v>
      </c>
      <c r="B838">
        <f>IF(ISBLANK(GlobTblEnt!$I$39),"",GlobTblEnt!$I$39)</f>
        <v>0</v>
      </c>
      <c r="C838" s="431">
        <v>0</v>
      </c>
    </row>
    <row r="839" spans="1:6" x14ac:dyDescent="0.2">
      <c r="A839" s="208" t="s">
        <v>4146</v>
      </c>
      <c r="B839">
        <f>IF(ISBLANK(GlobTblEnt!$J$39),"",GlobTblEnt!$J$39)</f>
        <v>0</v>
      </c>
      <c r="C839" s="431">
        <v>0</v>
      </c>
    </row>
    <row r="840" spans="1:6" x14ac:dyDescent="0.2">
      <c r="A840" s="208" t="s">
        <v>4148</v>
      </c>
      <c r="B840">
        <f>IF(ISBLANK(GlobTblEnt!$K$39),"",GlobTblEnt!$K$39)</f>
        <v>0</v>
      </c>
      <c r="C840" s="431">
        <v>0</v>
      </c>
    </row>
    <row r="841" spans="1:6" x14ac:dyDescent="0.2">
      <c r="A841" s="208" t="s">
        <v>4150</v>
      </c>
      <c r="B841">
        <f>IF(ISBLANK(GlobTblEnt!$L$39),"",GlobTblEnt!$L$39)</f>
        <v>0</v>
      </c>
      <c r="C841" s="431">
        <v>0</v>
      </c>
      <c r="F841" s="208"/>
    </row>
    <row r="842" spans="1:6" x14ac:dyDescent="0.2">
      <c r="A842" s="208" t="s">
        <v>4152</v>
      </c>
      <c r="B842">
        <f>IF(ISBLANK(GlobTblEnt!$M$39),"",GlobTblEnt!$M$39)</f>
        <v>0</v>
      </c>
      <c r="C842" s="431">
        <v>0</v>
      </c>
      <c r="F842" s="208"/>
    </row>
    <row r="843" spans="1:6" x14ac:dyDescent="0.2">
      <c r="A843" s="208" t="s">
        <v>3844</v>
      </c>
      <c r="B843">
        <f>IF(ISBLANK(NeoDataInfB!$D$2),"",NeoDataInfB!$D$2)</f>
        <v>0</v>
      </c>
      <c r="C843" s="7">
        <v>0</v>
      </c>
      <c r="F843" s="208"/>
    </row>
    <row r="844" spans="1:6" x14ac:dyDescent="0.2">
      <c r="A844" s="208" t="s">
        <v>4491</v>
      </c>
      <c r="B844">
        <f>IF(ISBLANK(NeoDataInfB!$D$3),"",NeoDataInfB!$D$3)</f>
        <v>1</v>
      </c>
      <c r="C844" s="208">
        <v>1</v>
      </c>
      <c r="F844" s="208"/>
    </row>
    <row r="845" spans="1:6" x14ac:dyDescent="0.2">
      <c r="A845" s="208" t="s">
        <v>4492</v>
      </c>
      <c r="B845">
        <f>IF(ISBLANK(NeoDataInfB!$D$4),"",NeoDataInfB!$D$4)</f>
        <v>1</v>
      </c>
      <c r="C845" s="208">
        <v>1</v>
      </c>
    </row>
    <row r="846" spans="1:6" x14ac:dyDescent="0.2">
      <c r="A846" s="208" t="s">
        <v>4493</v>
      </c>
      <c r="B846">
        <f>IF(ISBLANK(NeoDataInfB!$D$5),"",NeoDataInfB!$D$5)</f>
        <v>1</v>
      </c>
      <c r="C846" s="208">
        <v>1</v>
      </c>
    </row>
    <row r="847" spans="1:6" x14ac:dyDescent="0.2">
      <c r="A847" s="208" t="s">
        <v>4494</v>
      </c>
      <c r="B847">
        <f>IF(ISBLANK(NeoDataInfB!$D$6),"",NeoDataInfB!$D$6)</f>
        <v>1</v>
      </c>
      <c r="C847" s="208">
        <v>1</v>
      </c>
    </row>
    <row r="848" spans="1:6" x14ac:dyDescent="0.2">
      <c r="A848" s="208" t="s">
        <v>4495</v>
      </c>
      <c r="B848" s="208">
        <f>IF(ISBLANK(NeoDataInfB!$D$7),"",NeoDataInfB!$D$7)</f>
        <v>1</v>
      </c>
      <c r="C848" s="208">
        <v>1</v>
      </c>
    </row>
    <row r="849" spans="1:3" x14ac:dyDescent="0.2">
      <c r="A849" s="208" t="s">
        <v>4496</v>
      </c>
      <c r="B849">
        <f>IF(ISBLANK(NeoDataInfB!$D$8),"",NeoDataInfB!$D$8)</f>
        <v>1</v>
      </c>
      <c r="C849" s="208">
        <v>1</v>
      </c>
    </row>
    <row r="850" spans="1:3" x14ac:dyDescent="0.2">
      <c r="A850" s="208" t="s">
        <v>4497</v>
      </c>
      <c r="B850">
        <f>IF(ISBLANK(NeoDataInfB!$D$9),"",NeoDataInfB!$D$9)</f>
        <v>1</v>
      </c>
      <c r="C850" s="208">
        <v>1</v>
      </c>
    </row>
    <row r="851" spans="1:3" x14ac:dyDescent="0.2">
      <c r="A851" s="208" t="s">
        <v>4498</v>
      </c>
      <c r="B851">
        <f>IF(ISBLANK(NeoDataInfB!$D$10),"",NeoDataInfB!$D$10)</f>
        <v>1</v>
      </c>
      <c r="C851" s="208">
        <v>1</v>
      </c>
    </row>
    <row r="852" spans="1:3" x14ac:dyDescent="0.2">
      <c r="A852" s="208" t="s">
        <v>4499</v>
      </c>
      <c r="B852">
        <f>IF(ISBLANK(NeoDataInfB!$D$11),"",NeoDataInfB!$D$11)</f>
        <v>1</v>
      </c>
      <c r="C852" s="208">
        <v>1</v>
      </c>
    </row>
    <row r="853" spans="1:3" x14ac:dyDescent="0.2">
      <c r="A853" s="208" t="s">
        <v>4500</v>
      </c>
      <c r="B853">
        <f>IF(ISBLANK(NeoDataInfB!$D$12),"",NeoDataInfB!$D$12)</f>
        <v>1</v>
      </c>
      <c r="C853" s="208">
        <v>1</v>
      </c>
    </row>
    <row r="854" spans="1:3" x14ac:dyDescent="0.2">
      <c r="A854" s="208" t="s">
        <v>4307</v>
      </c>
      <c r="B854">
        <f>IF(ISBLANK(NeoDataInfB!$D$13),"",NeoDataInfB!$D$13)</f>
        <v>0</v>
      </c>
      <c r="C854" s="210">
        <v>0</v>
      </c>
    </row>
    <row r="855" spans="1:3" x14ac:dyDescent="0.2">
      <c r="A855" s="208" t="s">
        <v>4308</v>
      </c>
      <c r="B855">
        <f>IF(ISBLANK(NeoDataInfB!$D$14),"",NeoDataInfB!$D$14)</f>
        <v>0</v>
      </c>
      <c r="C855" s="210">
        <v>0</v>
      </c>
    </row>
    <row r="856" spans="1:3" x14ac:dyDescent="0.2">
      <c r="A856" s="208" t="s">
        <v>4309</v>
      </c>
      <c r="B856">
        <f>IF(ISBLANK(NeoDataInfB!$D$15),"",NeoDataInfB!$D$15)</f>
        <v>0</v>
      </c>
      <c r="C856" s="210">
        <v>0</v>
      </c>
    </row>
    <row r="857" spans="1:3" x14ac:dyDescent="0.2">
      <c r="A857" s="208" t="s">
        <v>4310</v>
      </c>
      <c r="B857">
        <f>IF(ISBLANK(NeoDataInfB!$D$16),"",NeoDataInfB!$D$16)</f>
        <v>0</v>
      </c>
      <c r="C857" s="210">
        <v>0</v>
      </c>
    </row>
    <row r="858" spans="1:3" x14ac:dyDescent="0.2">
      <c r="A858" s="208" t="s">
        <v>4311</v>
      </c>
      <c r="B858">
        <f>IF(ISBLANK(NeoDataInfB!$D$17),"",NeoDataInfB!$D$17)</f>
        <v>0</v>
      </c>
      <c r="C858" s="210">
        <v>0</v>
      </c>
    </row>
    <row r="859" spans="1:3" x14ac:dyDescent="0.2">
      <c r="A859" s="208" t="s">
        <v>4312</v>
      </c>
      <c r="B859">
        <f>IF(ISBLANK(NeoDataInfB!$D$18),"",NeoDataInfB!$D$18)</f>
        <v>0</v>
      </c>
      <c r="C859" s="210">
        <v>0</v>
      </c>
    </row>
    <row r="860" spans="1:3" x14ac:dyDescent="0.2">
      <c r="A860" s="208" t="s">
        <v>4313</v>
      </c>
      <c r="B860">
        <f>IF(ISBLANK(NeoDataInfB!$D$19),"",NeoDataInfB!$D$19)</f>
        <v>0</v>
      </c>
      <c r="C860" s="210">
        <v>0</v>
      </c>
    </row>
    <row r="861" spans="1:3" x14ac:dyDescent="0.2">
      <c r="A861" s="208" t="s">
        <v>4314</v>
      </c>
      <c r="B861">
        <f>IF(ISBLANK(NeoDataInfB!$D$20),"",NeoDataInfB!$D$20)</f>
        <v>0</v>
      </c>
      <c r="C861" s="210">
        <v>0</v>
      </c>
    </row>
    <row r="862" spans="1:3" x14ac:dyDescent="0.2">
      <c r="A862" s="208" t="s">
        <v>4315</v>
      </c>
      <c r="B862">
        <f>IF(ISBLANK(NeoDataInfB!$D$21),"",NeoDataInfB!$D$21)</f>
        <v>0</v>
      </c>
      <c r="C862" s="210">
        <v>0</v>
      </c>
    </row>
    <row r="863" spans="1:3" x14ac:dyDescent="0.2">
      <c r="A863" s="208" t="s">
        <v>4316</v>
      </c>
      <c r="B863">
        <f>IF(ISBLANK(NeoDataInfB!$D$22),"",NeoDataInfB!$D$22)</f>
        <v>0</v>
      </c>
      <c r="C863" s="210">
        <v>0</v>
      </c>
    </row>
    <row r="864" spans="1:3" x14ac:dyDescent="0.2">
      <c r="A864" s="208" t="s">
        <v>3845</v>
      </c>
      <c r="B864" t="str">
        <f>IF(ISBLANK(NeoDataInfB!$D$23),"",NeoDataInfB!$D$23)</f>
        <v/>
      </c>
      <c r="C864" s="99" t="s">
        <v>3513</v>
      </c>
    </row>
    <row r="865" spans="1:6" x14ac:dyDescent="0.2">
      <c r="A865" s="208" t="s">
        <v>3846</v>
      </c>
      <c r="B865" t="str">
        <f>IF(ISBLANK(NeoDataInfB!$D$24),"",NeoDataInfB!$D$24)</f>
        <v/>
      </c>
      <c r="C865" s="99" t="s">
        <v>3513</v>
      </c>
    </row>
    <row r="866" spans="1:6" x14ac:dyDescent="0.2">
      <c r="A866" s="208" t="s">
        <v>4317</v>
      </c>
      <c r="B866">
        <f>IF(ISBLANK(NeoDataInfB!$D$25),"",NeoDataInfB!$D$25)</f>
        <v>0</v>
      </c>
      <c r="C866" s="210">
        <v>0</v>
      </c>
      <c r="D866" s="208"/>
      <c r="E866" s="208"/>
      <c r="F866" s="208"/>
    </row>
    <row r="867" spans="1:6" x14ac:dyDescent="0.2">
      <c r="A867" s="208" t="s">
        <v>4318</v>
      </c>
      <c r="B867">
        <f>IF(ISBLANK(NeoDataInfB!$D$26),"",NeoDataInfB!$D$26)</f>
        <v>0</v>
      </c>
      <c r="C867" s="210">
        <v>0</v>
      </c>
    </row>
    <row r="868" spans="1:6" x14ac:dyDescent="0.2">
      <c r="A868" s="208" t="s">
        <v>4319</v>
      </c>
      <c r="B868">
        <f>IF(ISBLANK(NeoDataInfB!$D$27),"",NeoDataInfB!$D$27)</f>
        <v>0</v>
      </c>
      <c r="C868" s="210">
        <v>0</v>
      </c>
    </row>
    <row r="869" spans="1:6" x14ac:dyDescent="0.2">
      <c r="A869" s="208" t="s">
        <v>4320</v>
      </c>
      <c r="B869">
        <f>IF(ISBLANK(NeoDataInfB!$D$28),"",NeoDataInfB!$D$28)</f>
        <v>0</v>
      </c>
      <c r="C869" s="210">
        <v>0</v>
      </c>
    </row>
    <row r="870" spans="1:6" s="208" customFormat="1" x14ac:dyDescent="0.2">
      <c r="A870" s="208" t="s">
        <v>4321</v>
      </c>
      <c r="B870">
        <f>IF(ISBLANK(NeoDataInfB!$D$29),"",NeoDataInfB!$D$29)</f>
        <v>0</v>
      </c>
      <c r="C870" s="210">
        <v>0</v>
      </c>
      <c r="D870"/>
      <c r="E870"/>
      <c r="F870"/>
    </row>
    <row r="871" spans="1:6" x14ac:dyDescent="0.2">
      <c r="A871" s="208" t="s">
        <v>4322</v>
      </c>
      <c r="B871">
        <f>IF(ISBLANK(NeoDataInfB!$D$30),"",NeoDataInfB!$D$30)</f>
        <v>0</v>
      </c>
      <c r="C871" s="210">
        <v>0</v>
      </c>
      <c r="D871" s="208"/>
      <c r="E871" s="208"/>
      <c r="F871" s="208"/>
    </row>
    <row r="872" spans="1:6" x14ac:dyDescent="0.2">
      <c r="A872" s="208" t="s">
        <v>4323</v>
      </c>
      <c r="B872">
        <f>IF(ISBLANK(NeoDataInfB!$D$31),"",NeoDataInfB!$D$31)</f>
        <v>0</v>
      </c>
      <c r="C872" s="210">
        <v>0</v>
      </c>
      <c r="D872" s="208"/>
      <c r="E872" s="208"/>
      <c r="F872" s="208"/>
    </row>
    <row r="873" spans="1:6" s="208" customFormat="1" x14ac:dyDescent="0.2">
      <c r="A873" s="208" t="s">
        <v>4324</v>
      </c>
      <c r="B873">
        <f>IF(ISBLANK(NeoDataInfB!$D$32),"",NeoDataInfB!$D$32)</f>
        <v>0</v>
      </c>
      <c r="C873" s="210">
        <v>0</v>
      </c>
    </row>
    <row r="874" spans="1:6" s="208" customFormat="1" x14ac:dyDescent="0.2">
      <c r="A874" s="208" t="s">
        <v>4325</v>
      </c>
      <c r="B874">
        <f>IF(ISBLANK(NeoDataInfB!$D$33),"",NeoDataInfB!$D$33)</f>
        <v>0</v>
      </c>
      <c r="C874" s="210">
        <v>0</v>
      </c>
    </row>
    <row r="875" spans="1:6" x14ac:dyDescent="0.2">
      <c r="A875" s="208" t="s">
        <v>4326</v>
      </c>
      <c r="B875">
        <f>IF(ISBLANK(NeoDataInfB!$D$34),"",NeoDataInfB!$D$34)</f>
        <v>0</v>
      </c>
      <c r="C875" s="210">
        <v>0</v>
      </c>
    </row>
    <row r="876" spans="1:6" x14ac:dyDescent="0.2">
      <c r="A876" s="208" t="s">
        <v>3847</v>
      </c>
      <c r="B876">
        <f>IF(ISBLANK(NeoDataInfB!$D$35),"",NeoDataInfB!$D$35)</f>
        <v>1</v>
      </c>
      <c r="C876" s="7">
        <v>1</v>
      </c>
    </row>
    <row r="877" spans="1:6" x14ac:dyDescent="0.2">
      <c r="A877" s="208" t="s">
        <v>3848</v>
      </c>
      <c r="B877">
        <f>IF(ISBLANK(NeoDataInfB!$D$36),"",NeoDataInfB!$D$36)</f>
        <v>1</v>
      </c>
      <c r="C877" s="7">
        <v>1</v>
      </c>
    </row>
    <row r="878" spans="1:6" x14ac:dyDescent="0.2">
      <c r="A878" s="208" t="s">
        <v>3849</v>
      </c>
      <c r="B878">
        <f>IF(ISBLANK(NeoDataInfB!$D$37),"",NeoDataInfB!$D$37)</f>
        <v>1</v>
      </c>
      <c r="C878" s="7">
        <v>1</v>
      </c>
    </row>
    <row r="879" spans="1:6" s="208" customFormat="1" x14ac:dyDescent="0.2">
      <c r="A879" s="208" t="s">
        <v>3850</v>
      </c>
      <c r="B879">
        <f>IF(ISBLANK(NeoDataInfB!$D$38),"",NeoDataInfB!$D$38)</f>
        <v>1</v>
      </c>
      <c r="C879" s="7">
        <v>1</v>
      </c>
      <c r="D879"/>
      <c r="E879"/>
      <c r="F879"/>
    </row>
    <row r="880" spans="1:6" s="208" customFormat="1" x14ac:dyDescent="0.2">
      <c r="A880" s="208" t="s">
        <v>3851</v>
      </c>
      <c r="B880">
        <f>IF(ISBLANK(NeoDataInfB!$D$39),"",NeoDataInfB!$D$39)</f>
        <v>1</v>
      </c>
      <c r="C880" s="7">
        <v>1</v>
      </c>
      <c r="D880"/>
      <c r="E880"/>
      <c r="F880"/>
    </row>
    <row r="881" spans="1:6" x14ac:dyDescent="0.2">
      <c r="A881" s="208" t="s">
        <v>3852</v>
      </c>
      <c r="B881">
        <f>IF(ISBLANK(NeoDataInfB!$D$40),"",NeoDataInfB!$D$40)</f>
        <v>1</v>
      </c>
      <c r="C881" s="7">
        <v>1</v>
      </c>
    </row>
    <row r="882" spans="1:6" x14ac:dyDescent="0.2">
      <c r="A882" s="208" t="s">
        <v>3853</v>
      </c>
      <c r="B882">
        <f>IF(ISBLANK(NeoDataInfB!$D$41),"",NeoDataInfB!$D$41)</f>
        <v>1</v>
      </c>
      <c r="C882" s="7">
        <v>1</v>
      </c>
    </row>
    <row r="883" spans="1:6" x14ac:dyDescent="0.2">
      <c r="A883" s="208" t="s">
        <v>3854</v>
      </c>
      <c r="B883">
        <f>IF(ISBLANK(NeoDataInfB!$D$42),"",NeoDataInfB!$D$42)</f>
        <v>1</v>
      </c>
      <c r="C883" s="7">
        <v>1</v>
      </c>
    </row>
    <row r="884" spans="1:6" x14ac:dyDescent="0.2">
      <c r="A884" s="208" t="s">
        <v>3855</v>
      </c>
      <c r="B884">
        <f>IF(ISBLANK(NeoDataInfB!$D$43),"",NeoDataInfB!$D$43)</f>
        <v>1</v>
      </c>
      <c r="C884" s="7">
        <v>1</v>
      </c>
    </row>
    <row r="885" spans="1:6" x14ac:dyDescent="0.2">
      <c r="A885" s="208" t="s">
        <v>3856</v>
      </c>
      <c r="B885">
        <f>IF(ISBLANK(NeoDataInfB!$D$44),"",NeoDataInfB!$D$44)</f>
        <v>1</v>
      </c>
      <c r="C885" s="7">
        <v>1</v>
      </c>
    </row>
    <row r="886" spans="1:6" x14ac:dyDescent="0.2">
      <c r="A886" s="208" t="s">
        <v>3857</v>
      </c>
      <c r="B886">
        <f>IF(ISBLANK(NeoDataInfB!$D$45),"",NeoDataInfB!$D$45)</f>
        <v>1</v>
      </c>
      <c r="C886" s="7">
        <v>1</v>
      </c>
    </row>
    <row r="887" spans="1:6" x14ac:dyDescent="0.2">
      <c r="A887" s="208" t="s">
        <v>3858</v>
      </c>
      <c r="B887">
        <f>IF(ISBLANK(NeoDataInfB!$D$46),"",NeoDataInfB!$D$46)</f>
        <v>1</v>
      </c>
      <c r="C887" s="7">
        <v>1</v>
      </c>
    </row>
    <row r="888" spans="1:6" s="208" customFormat="1" x14ac:dyDescent="0.2">
      <c r="A888" s="208" t="s">
        <v>4327</v>
      </c>
      <c r="B888">
        <f>IF(ISBLANK(NeoDataInfB!$D$47),"",NeoDataInfB!$D$47)</f>
        <v>1</v>
      </c>
      <c r="C888" s="7">
        <v>1</v>
      </c>
      <c r="D888"/>
      <c r="E888"/>
      <c r="F888"/>
    </row>
    <row r="889" spans="1:6" x14ac:dyDescent="0.2">
      <c r="A889" s="208" t="s">
        <v>3859</v>
      </c>
      <c r="B889">
        <f>IF(ISBLANK(NeoDataInfB!$D$48),"",NeoDataInfB!$D$48)</f>
        <v>0</v>
      </c>
      <c r="C889" s="210">
        <v>0</v>
      </c>
    </row>
    <row r="890" spans="1:6" x14ac:dyDescent="0.2">
      <c r="A890" s="208" t="s">
        <v>3860</v>
      </c>
      <c r="B890">
        <f>IF(ISBLANK(NeoDataInfB!$D$49),"",NeoDataInfB!$D$49)</f>
        <v>0</v>
      </c>
      <c r="C890" s="210">
        <v>0</v>
      </c>
    </row>
    <row r="891" spans="1:6" x14ac:dyDescent="0.2">
      <c r="A891" s="208" t="s">
        <v>3861</v>
      </c>
      <c r="B891">
        <f>IF(ISBLANK(NeoDataInfB!$D$50),"",NeoDataInfB!$D$50)</f>
        <v>0</v>
      </c>
      <c r="C891" s="210">
        <v>0</v>
      </c>
    </row>
    <row r="892" spans="1:6" x14ac:dyDescent="0.2">
      <c r="A892" s="208" t="s">
        <v>3862</v>
      </c>
      <c r="B892">
        <f>IF(ISBLANK(NeoDataInfB!$D$51),"",NeoDataInfB!$D$51)</f>
        <v>0</v>
      </c>
      <c r="C892" s="210">
        <v>0</v>
      </c>
    </row>
    <row r="893" spans="1:6" x14ac:dyDescent="0.2">
      <c r="A893" s="208" t="s">
        <v>3863</v>
      </c>
      <c r="B893">
        <f>IF(ISBLANK(NeoDataInfB!$D$52),"",NeoDataInfB!$D$52)</f>
        <v>0</v>
      </c>
      <c r="C893" s="210">
        <v>0</v>
      </c>
    </row>
    <row r="894" spans="1:6" x14ac:dyDescent="0.2">
      <c r="A894" s="208" t="s">
        <v>3864</v>
      </c>
      <c r="B894">
        <f>IF(ISBLANK(NeoDataInfB!$D$53),"",NeoDataInfB!$D$53)</f>
        <v>0</v>
      </c>
      <c r="C894" s="210">
        <v>0</v>
      </c>
    </row>
    <row r="895" spans="1:6" x14ac:dyDescent="0.2">
      <c r="A895" s="208" t="s">
        <v>3865</v>
      </c>
      <c r="B895">
        <f>IF(ISBLANK(NeoDataInfB!$D$54),"",NeoDataInfB!$D$54)</f>
        <v>0</v>
      </c>
      <c r="C895" s="210">
        <v>0</v>
      </c>
    </row>
    <row r="896" spans="1:6" x14ac:dyDescent="0.2">
      <c r="A896" s="208" t="s">
        <v>3866</v>
      </c>
      <c r="B896">
        <f>IF(ISBLANK(NeoDataInfB!$D$55),"",NeoDataInfB!$D$55)</f>
        <v>0</v>
      </c>
      <c r="C896" s="210">
        <v>0</v>
      </c>
      <c r="D896" s="208"/>
      <c r="E896" s="208"/>
    </row>
    <row r="897" spans="1:5" x14ac:dyDescent="0.2">
      <c r="A897" s="208" t="s">
        <v>3867</v>
      </c>
      <c r="B897" s="7">
        <f>IF(ISBLANK(NeoDataInfB!$D$56),"",NeoDataInfB!$D$56)</f>
        <v>0</v>
      </c>
      <c r="C897" s="210">
        <v>0</v>
      </c>
    </row>
    <row r="898" spans="1:5" x14ac:dyDescent="0.2">
      <c r="A898" s="208" t="s">
        <v>3868</v>
      </c>
      <c r="B898">
        <f>IF(ISBLANK(NeoDataInfB!$D$57),"",NeoDataInfB!$D$57)</f>
        <v>0</v>
      </c>
      <c r="C898" s="210">
        <v>0</v>
      </c>
    </row>
    <row r="899" spans="1:5" x14ac:dyDescent="0.2">
      <c r="A899" s="208" t="s">
        <v>3869</v>
      </c>
      <c r="B899">
        <f>IF(ISBLANK(NeoDataInfB!$D$58),"",NeoDataInfB!$D$58)</f>
        <v>0</v>
      </c>
      <c r="C899" s="210">
        <v>0</v>
      </c>
    </row>
    <row r="900" spans="1:5" x14ac:dyDescent="0.2">
      <c r="A900" s="208" t="s">
        <v>3870</v>
      </c>
      <c r="B900">
        <f>IF(ISBLANK(NeoDataInfB!$D$59),"",NeoDataInfB!$D$59)</f>
        <v>0</v>
      </c>
      <c r="C900" s="210">
        <v>0</v>
      </c>
    </row>
    <row r="901" spans="1:5" x14ac:dyDescent="0.2">
      <c r="A901" s="208" t="s">
        <v>4328</v>
      </c>
      <c r="B901">
        <f>IF(ISBLANK(NeoDataInfB!$D$60),"",NeoDataInfB!$D$60)</f>
        <v>0</v>
      </c>
      <c r="C901" s="210">
        <v>0</v>
      </c>
      <c r="D901" s="208"/>
      <c r="E901" s="208"/>
    </row>
    <row r="902" spans="1:5" x14ac:dyDescent="0.2">
      <c r="A902" s="208" t="s">
        <v>3871</v>
      </c>
      <c r="B902" t="b">
        <f>IF(ISBLANK(NeoDataInfB!$D$61),"",NeoDataInfB!$D$61)</f>
        <v>0</v>
      </c>
      <c r="C902" s="7" t="b">
        <v>0</v>
      </c>
      <c r="D902" s="208"/>
      <c r="E902" s="208"/>
    </row>
    <row r="903" spans="1:5" x14ac:dyDescent="0.2">
      <c r="A903" s="208" t="s">
        <v>3872</v>
      </c>
      <c r="B903" t="b">
        <f>IF(ISBLANK(NeoDataInfB!$D$62),"",NeoDataInfB!$D$62)</f>
        <v>0</v>
      </c>
      <c r="C903" s="7" t="b">
        <v>0</v>
      </c>
      <c r="D903" s="208"/>
      <c r="E903" s="208"/>
    </row>
    <row r="904" spans="1:5" x14ac:dyDescent="0.2">
      <c r="A904" s="208" t="s">
        <v>3873</v>
      </c>
      <c r="B904" t="b">
        <f>IF(ISBLANK(NeoDataInfB!$D$63),"",NeoDataInfB!$D$63)</f>
        <v>0</v>
      </c>
      <c r="C904" s="7" t="b">
        <v>0</v>
      </c>
      <c r="D904" s="208"/>
      <c r="E904" s="208"/>
    </row>
    <row r="905" spans="1:5" x14ac:dyDescent="0.2">
      <c r="A905" s="208" t="s">
        <v>3874</v>
      </c>
      <c r="B905" s="208" t="b">
        <f>IF(ISBLANK(NeoDataInfB!$D$64),"",NeoDataInfB!$D$64)</f>
        <v>0</v>
      </c>
      <c r="C905" s="7" t="b">
        <v>0</v>
      </c>
    </row>
    <row r="906" spans="1:5" x14ac:dyDescent="0.2">
      <c r="A906" s="208" t="s">
        <v>3875</v>
      </c>
      <c r="B906" s="208" t="b">
        <f>IF(ISBLANK(NeoDataInfB!$D$65),"",NeoDataInfB!$D$65)</f>
        <v>0</v>
      </c>
      <c r="C906" s="7" t="b">
        <v>0</v>
      </c>
    </row>
    <row r="907" spans="1:5" x14ac:dyDescent="0.2">
      <c r="A907" s="208" t="s">
        <v>3876</v>
      </c>
      <c r="B907" s="208" t="b">
        <f>IF(ISBLANK(NeoDataInfB!$D$66),"",NeoDataInfB!$D$66)</f>
        <v>0</v>
      </c>
      <c r="C907" s="7" t="b">
        <v>0</v>
      </c>
    </row>
    <row r="908" spans="1:5" x14ac:dyDescent="0.2">
      <c r="A908" s="208" t="s">
        <v>3877</v>
      </c>
      <c r="B908" s="208" t="b">
        <f>IF(ISBLANK(NeoDataInfB!$D$67),"",NeoDataInfB!$D$67)</f>
        <v>0</v>
      </c>
      <c r="C908" s="7" t="b">
        <v>0</v>
      </c>
    </row>
    <row r="909" spans="1:5" x14ac:dyDescent="0.2">
      <c r="A909" s="208" t="s">
        <v>3878</v>
      </c>
      <c r="B909" s="208" t="b">
        <f>IF(ISBLANK(NeoDataInfB!$D$68),"",NeoDataInfB!$D$68)</f>
        <v>0</v>
      </c>
      <c r="C909" s="7" t="b">
        <v>0</v>
      </c>
    </row>
    <row r="910" spans="1:5" x14ac:dyDescent="0.2">
      <c r="A910" s="208" t="s">
        <v>3879</v>
      </c>
      <c r="B910" s="208" t="b">
        <f>IF(ISBLANK(NeoDataInfB!$D$69),"",NeoDataInfB!$D$69)</f>
        <v>0</v>
      </c>
      <c r="C910" s="7" t="b">
        <v>0</v>
      </c>
    </row>
    <row r="911" spans="1:5" x14ac:dyDescent="0.2">
      <c r="A911" s="208" t="s">
        <v>3880</v>
      </c>
      <c r="B911" s="208" t="b">
        <f>IF(ISBLANK(NeoDataInfB!$D$70),"",NeoDataInfB!$D$70)</f>
        <v>0</v>
      </c>
      <c r="C911" s="7" t="b">
        <v>0</v>
      </c>
    </row>
    <row r="912" spans="1:5" x14ac:dyDescent="0.2">
      <c r="A912" s="208" t="s">
        <v>3881</v>
      </c>
      <c r="B912" s="208" t="b">
        <f>IF(ISBLANK(NeoDataInfB!$D$71),"",NeoDataInfB!$D$71)</f>
        <v>0</v>
      </c>
      <c r="C912" s="208" t="b">
        <v>0</v>
      </c>
    </row>
    <row r="913" spans="1:6" x14ac:dyDescent="0.2">
      <c r="A913" s="208" t="s">
        <v>3882</v>
      </c>
      <c r="B913" s="208" t="b">
        <f>IF(ISBLANK(NeoDataInfB!$D$72),"",NeoDataInfB!$D$72)</f>
        <v>0</v>
      </c>
      <c r="C913" s="208" t="b">
        <v>0</v>
      </c>
    </row>
    <row r="914" spans="1:6" x14ac:dyDescent="0.2">
      <c r="A914" s="208" t="s">
        <v>3883</v>
      </c>
      <c r="B914" s="208" t="b">
        <f>IF(ISBLANK(NeoDataInfB!$D$73),"",NeoDataInfB!$D$73)</f>
        <v>0</v>
      </c>
      <c r="C914" s="208" t="b">
        <v>0</v>
      </c>
    </row>
    <row r="915" spans="1:6" x14ac:dyDescent="0.2">
      <c r="A915" s="208" t="s">
        <v>3884</v>
      </c>
      <c r="B915" t="b">
        <f>IF(ISBLANK(NeoDataInfB!$D$74),"",NeoDataInfB!$D$74)</f>
        <v>0</v>
      </c>
      <c r="C915" s="208" t="b">
        <v>0</v>
      </c>
    </row>
    <row r="916" spans="1:6" x14ac:dyDescent="0.2">
      <c r="A916" s="209" t="s">
        <v>4501</v>
      </c>
      <c r="B916">
        <f>IF(ISBLANK(NeoDataInfB!$D$75),"",NeoDataInfB!$D$75)</f>
        <v>2</v>
      </c>
      <c r="C916" s="208">
        <v>2</v>
      </c>
    </row>
    <row r="917" spans="1:6" x14ac:dyDescent="0.2">
      <c r="A917" s="208" t="s">
        <v>3885</v>
      </c>
      <c r="B917">
        <f>IF(ISBLANK(NeoDataInfB!$D$76),"",NeoDataInfB!$D$76)</f>
        <v>0</v>
      </c>
      <c r="C917" s="7">
        <v>0</v>
      </c>
    </row>
    <row r="918" spans="1:6" x14ac:dyDescent="0.2">
      <c r="A918" s="208" t="s">
        <v>3886</v>
      </c>
      <c r="B918">
        <f>IF(ISBLANK(NeoDataInfB!$D$77),"",NeoDataInfB!$D$77)</f>
        <v>0</v>
      </c>
      <c r="C918" s="7">
        <v>0</v>
      </c>
    </row>
    <row r="919" spans="1:6" x14ac:dyDescent="0.2">
      <c r="A919" s="208" t="s">
        <v>3887</v>
      </c>
      <c r="B919">
        <f>IF(ISBLANK(NeoDataInfB!$D$78),"",NeoDataInfB!$D$78)</f>
        <v>0</v>
      </c>
      <c r="C919" s="210">
        <v>0</v>
      </c>
    </row>
    <row r="920" spans="1:6" x14ac:dyDescent="0.2">
      <c r="A920" s="208" t="s">
        <v>3888</v>
      </c>
      <c r="B920">
        <f>IF(ISBLANK(NeoDataInfB!$D$79),"",NeoDataInfB!$D$79)</f>
        <v>0</v>
      </c>
      <c r="C920" s="210">
        <v>0</v>
      </c>
      <c r="F920" s="208"/>
    </row>
    <row r="921" spans="1:6" s="208" customFormat="1" x14ac:dyDescent="0.2">
      <c r="A921" s="208" t="s">
        <v>3889</v>
      </c>
      <c r="B921">
        <f>IF(ISBLANK(NeoDataInfB!$D$80),"",NeoDataInfB!$D$80)</f>
        <v>1</v>
      </c>
      <c r="C921" s="7">
        <v>1</v>
      </c>
      <c r="D921"/>
      <c r="E921"/>
    </row>
    <row r="922" spans="1:6" x14ac:dyDescent="0.2">
      <c r="A922" s="208" t="s">
        <v>3890</v>
      </c>
      <c r="B922">
        <f>IF(ISBLANK(NeoDataInfB!$D$81),"",NeoDataInfB!$D$81)</f>
        <v>1</v>
      </c>
      <c r="C922" s="7">
        <v>1</v>
      </c>
      <c r="F922" s="208"/>
    </row>
    <row r="923" spans="1:6" x14ac:dyDescent="0.2">
      <c r="A923" s="208" t="s">
        <v>3891</v>
      </c>
      <c r="B923">
        <f>IF(ISBLANK(NeoDataInfB!$D$82),"",NeoDataInfB!$D$82)</f>
        <v>1</v>
      </c>
      <c r="C923" s="7">
        <v>1</v>
      </c>
      <c r="F923" s="208"/>
    </row>
    <row r="924" spans="1:6" x14ac:dyDescent="0.2">
      <c r="A924" s="208" t="s">
        <v>3892</v>
      </c>
      <c r="B924">
        <f>IF(ISBLANK(NeoDataInfB!$D$83),"",NeoDataInfB!$D$83)</f>
        <v>1</v>
      </c>
      <c r="C924" s="7">
        <v>1</v>
      </c>
      <c r="F924" s="208"/>
    </row>
    <row r="925" spans="1:6" x14ac:dyDescent="0.2">
      <c r="A925" s="208" t="s">
        <v>3893</v>
      </c>
      <c r="B925">
        <f>IF(ISBLANK(NeoDataInfB!$D$84),"",NeoDataInfB!$D$84)</f>
        <v>1</v>
      </c>
      <c r="C925" s="7">
        <v>1</v>
      </c>
      <c r="F925" s="208"/>
    </row>
    <row r="926" spans="1:6" x14ac:dyDescent="0.2">
      <c r="A926" s="208" t="s">
        <v>3894</v>
      </c>
      <c r="B926">
        <f>IF(ISBLANK(NeoDataInfB!$D$85),"",NeoDataInfB!$D$85)</f>
        <v>1</v>
      </c>
      <c r="C926" s="7">
        <v>1</v>
      </c>
      <c r="F926" s="208"/>
    </row>
    <row r="927" spans="1:6" x14ac:dyDescent="0.2">
      <c r="A927" s="208" t="s">
        <v>3895</v>
      </c>
      <c r="B927">
        <f>IF(ISBLANK(NeoDataInfB!$D$86),"",NeoDataInfB!$D$86)</f>
        <v>1</v>
      </c>
      <c r="C927" s="7">
        <v>1</v>
      </c>
      <c r="F927" s="208"/>
    </row>
    <row r="928" spans="1:6" x14ac:dyDescent="0.2">
      <c r="A928" s="208" t="s">
        <v>3896</v>
      </c>
      <c r="B928">
        <f>IF(ISBLANK(NeoDataInfB!$D$87),"",NeoDataInfB!$D$87)</f>
        <v>1</v>
      </c>
      <c r="C928" s="7">
        <v>1</v>
      </c>
      <c r="F928" s="208"/>
    </row>
    <row r="929" spans="1:6" x14ac:dyDescent="0.2">
      <c r="A929" s="208" t="s">
        <v>3897</v>
      </c>
      <c r="B929">
        <f>IF(ISBLANK(NeoDataInfB!$D$88),"",NeoDataInfB!$D$88)</f>
        <v>1</v>
      </c>
      <c r="C929" s="7">
        <v>1</v>
      </c>
      <c r="F929" s="208"/>
    </row>
    <row r="930" spans="1:6" x14ac:dyDescent="0.2">
      <c r="A930" s="208" t="s">
        <v>3898</v>
      </c>
      <c r="B930" s="208">
        <f>IF(ISBLANK(NeoDataInfB!$D$89),"",NeoDataInfB!$D$89)</f>
        <v>1</v>
      </c>
      <c r="C930" s="7">
        <v>1</v>
      </c>
    </row>
    <row r="931" spans="1:6" x14ac:dyDescent="0.2">
      <c r="A931" s="208" t="s">
        <v>3899</v>
      </c>
      <c r="B931" s="208">
        <f>IF(ISBLANK(NeoDataInfB!$D$90),"",NeoDataInfB!$D$90)</f>
        <v>1</v>
      </c>
      <c r="C931" s="7">
        <v>1</v>
      </c>
    </row>
    <row r="932" spans="1:6" x14ac:dyDescent="0.2">
      <c r="A932" s="208" t="s">
        <v>3900</v>
      </c>
      <c r="B932" s="208">
        <f>IF(ISBLANK(NeoDataInfB!$D$91),"",NeoDataInfB!$D$91)</f>
        <v>1</v>
      </c>
      <c r="C932" s="7">
        <v>1</v>
      </c>
    </row>
    <row r="933" spans="1:6" s="208" customFormat="1" x14ac:dyDescent="0.2">
      <c r="A933" s="208" t="s">
        <v>3901</v>
      </c>
      <c r="B933" s="208">
        <f>IF(ISBLANK(NeoDataInfB!$D$92),"",NeoDataInfB!$D$92)</f>
        <v>1</v>
      </c>
      <c r="C933" s="7">
        <v>1</v>
      </c>
      <c r="D933"/>
      <c r="E933"/>
      <c r="F933"/>
    </row>
    <row r="934" spans="1:6" x14ac:dyDescent="0.2">
      <c r="A934" s="208" t="s">
        <v>3902</v>
      </c>
      <c r="B934" s="208">
        <f>IF(ISBLANK(NeoDataInfB!$D$93),"",NeoDataInfB!$D$93)</f>
        <v>1</v>
      </c>
      <c r="C934" s="7">
        <v>1</v>
      </c>
    </row>
    <row r="935" spans="1:6" x14ac:dyDescent="0.2">
      <c r="A935" s="208" t="s">
        <v>3903</v>
      </c>
      <c r="B935" s="208">
        <f>IF(ISBLANK(NeoDataInfB!$D$94),"",NeoDataInfB!$D$94)</f>
        <v>1</v>
      </c>
      <c r="C935" s="7">
        <v>1</v>
      </c>
    </row>
    <row r="936" spans="1:6" x14ac:dyDescent="0.2">
      <c r="A936" s="208" t="s">
        <v>3904</v>
      </c>
      <c r="B936" s="208">
        <f>IF(ISBLANK(NeoDataInfB!$D$95),"",NeoDataInfB!$D$95)</f>
        <v>1</v>
      </c>
      <c r="C936" s="7">
        <v>1</v>
      </c>
    </row>
    <row r="937" spans="1:6" x14ac:dyDescent="0.2">
      <c r="A937" s="208" t="s">
        <v>3905</v>
      </c>
      <c r="B937" s="208">
        <f>IF(ISBLANK(NeoDataInfB!$D$96),"",NeoDataInfB!$D$96)</f>
        <v>1</v>
      </c>
      <c r="C937" s="7">
        <v>1</v>
      </c>
    </row>
    <row r="938" spans="1:6" x14ac:dyDescent="0.2">
      <c r="A938" s="208" t="s">
        <v>3906</v>
      </c>
      <c r="B938" s="208">
        <f>IF(ISBLANK(NeoDataInfB!$D$97),"",NeoDataInfB!$D$97)</f>
        <v>1</v>
      </c>
      <c r="C938" s="208">
        <v>1</v>
      </c>
    </row>
    <row r="939" spans="1:6" x14ac:dyDescent="0.2">
      <c r="A939" s="208" t="s">
        <v>3907</v>
      </c>
      <c r="B939" s="208">
        <f>IF(ISBLANK(NeoDataInfB!$D$98),"",NeoDataInfB!$D$98)</f>
        <v>5000</v>
      </c>
      <c r="C939" s="208">
        <v>5000</v>
      </c>
    </row>
    <row r="940" spans="1:6" x14ac:dyDescent="0.2">
      <c r="A940" s="208" t="s">
        <v>3908</v>
      </c>
      <c r="B940" s="208">
        <f>IF(ISBLANK(NeoDataInfB!$D$99),"",NeoDataInfB!$D$99)</f>
        <v>1</v>
      </c>
      <c r="C940" s="208">
        <v>1</v>
      </c>
    </row>
    <row r="941" spans="1:6" x14ac:dyDescent="0.2">
      <c r="A941" s="208" t="s">
        <v>3909</v>
      </c>
      <c r="B941" s="208">
        <f>IF(ISBLANK(NeoDataInfB!$D$100),"",NeoDataInfB!$D$100)</f>
        <v>2</v>
      </c>
      <c r="C941" s="208">
        <v>2</v>
      </c>
    </row>
    <row r="942" spans="1:6" x14ac:dyDescent="0.2">
      <c r="A942" s="208" t="s">
        <v>3910</v>
      </c>
      <c r="B942" s="208">
        <f>IF(ISBLANK(NeoDataInfB!$D$101),"",NeoDataInfB!$D$101)</f>
        <v>2</v>
      </c>
      <c r="C942" s="208">
        <v>2</v>
      </c>
    </row>
    <row r="943" spans="1:6" x14ac:dyDescent="0.2">
      <c r="A943" s="208" t="s">
        <v>3911</v>
      </c>
      <c r="B943" s="208">
        <f>IF(ISBLANK(NeoDataInfB!$D$102),"",NeoDataInfB!$D$102)</f>
        <v>5000</v>
      </c>
      <c r="C943" s="208">
        <v>5000</v>
      </c>
    </row>
    <row r="944" spans="1:6" x14ac:dyDescent="0.2">
      <c r="A944" s="208" t="s">
        <v>3912</v>
      </c>
      <c r="B944" s="208">
        <f>IF(ISBLANK(NeoDataInfB!$D$103),"",NeoDataInfB!$D$103)</f>
        <v>5000</v>
      </c>
      <c r="C944" s="208">
        <v>5000</v>
      </c>
    </row>
    <row r="945" spans="1:3" x14ac:dyDescent="0.2">
      <c r="A945" s="208" t="s">
        <v>3913</v>
      </c>
      <c r="B945" s="208">
        <f>IF(ISBLANK(NeoDataInfB!$D$104),"",NeoDataInfB!$D$104)</f>
        <v>1</v>
      </c>
      <c r="C945" s="208">
        <v>1</v>
      </c>
    </row>
    <row r="946" spans="1:3" x14ac:dyDescent="0.2">
      <c r="A946" s="208" t="s">
        <v>3914</v>
      </c>
      <c r="B946" s="208">
        <f>IF(ISBLANK(NeoDataInfB!$D$105),"",NeoDataInfB!$D$105)</f>
        <v>5000</v>
      </c>
      <c r="C946" s="208">
        <v>5000</v>
      </c>
    </row>
    <row r="947" spans="1:3" x14ac:dyDescent="0.2">
      <c r="A947" s="208" t="s">
        <v>3915</v>
      </c>
      <c r="B947" s="208">
        <f>IF(ISBLANK(NeoDataInfB!$D$106),"",NeoDataInfB!$D$106)</f>
        <v>5000</v>
      </c>
      <c r="C947" s="208">
        <v>5000</v>
      </c>
    </row>
    <row r="948" spans="1:3" x14ac:dyDescent="0.2">
      <c r="A948" s="209" t="s">
        <v>4736</v>
      </c>
      <c r="B948" s="208">
        <f>IF(ISBLANK(NeoDataInfB!$D$107),"",NeoDataInfB!$D$107)</f>
        <v>5000</v>
      </c>
      <c r="C948" s="208">
        <v>5000</v>
      </c>
    </row>
    <row r="949" spans="1:3" x14ac:dyDescent="0.2">
      <c r="A949" s="208" t="s">
        <v>3916</v>
      </c>
      <c r="B949" s="208">
        <f>IF(ISBLANK(NeoDataInfB!$D$108),"",NeoDataInfB!$D$108)</f>
        <v>5000</v>
      </c>
      <c r="C949" s="208">
        <v>5000</v>
      </c>
    </row>
    <row r="950" spans="1:3" x14ac:dyDescent="0.2">
      <c r="A950" s="208" t="s">
        <v>3917</v>
      </c>
      <c r="B950" s="208" t="b">
        <f>IF(ISBLANK(NeoDataInfB!$D$109),"",NeoDataInfB!$D$109)</f>
        <v>0</v>
      </c>
      <c r="C950" s="208" t="b">
        <v>0</v>
      </c>
    </row>
    <row r="951" spans="1:3" x14ac:dyDescent="0.2">
      <c r="A951" s="208" t="s">
        <v>3918</v>
      </c>
      <c r="B951" s="208">
        <f>IF(ISBLANK(NeoDataInfB!$D$110),"",NeoDataInfB!$D$110)</f>
        <v>5000</v>
      </c>
      <c r="C951" s="208">
        <v>5000</v>
      </c>
    </row>
    <row r="952" spans="1:3" x14ac:dyDescent="0.2">
      <c r="A952" s="209" t="s">
        <v>4737</v>
      </c>
      <c r="B952" s="208">
        <f>IF(ISBLANK(NeoDataInfB!$D$111),"",NeoDataInfB!$D$111)</f>
        <v>5000</v>
      </c>
      <c r="C952" s="208">
        <v>5000</v>
      </c>
    </row>
    <row r="953" spans="1:3" x14ac:dyDescent="0.2">
      <c r="A953" s="208" t="s">
        <v>3919</v>
      </c>
      <c r="B953" s="208">
        <f>IF(ISBLANK(NeoDataInfB!$D$112),"",NeoDataInfB!$D$112)</f>
        <v>5000</v>
      </c>
      <c r="C953">
        <v>5000</v>
      </c>
    </row>
    <row r="954" spans="1:3" x14ac:dyDescent="0.2">
      <c r="A954" s="208" t="s">
        <v>1557</v>
      </c>
      <c r="B954" s="208" t="b">
        <f>IF(ISBLANK(NeoBerAfspr!$B$22),"",NeoBerAfspr!$B$22)</f>
        <v>0</v>
      </c>
      <c r="C954" t="b">
        <v>0</v>
      </c>
    </row>
    <row r="955" spans="1:3" x14ac:dyDescent="0.2">
      <c r="A955" s="208" t="s">
        <v>1558</v>
      </c>
      <c r="B955" s="208" t="b">
        <f>IF(ISBLANK(NeoBerAfspr!$D$11),"",NeoBerAfspr!$D$11)</f>
        <v>0</v>
      </c>
      <c r="C955" t="b">
        <v>0</v>
      </c>
    </row>
    <row r="956" spans="1:3" x14ac:dyDescent="0.2">
      <c r="A956" s="208" t="s">
        <v>1559</v>
      </c>
      <c r="B956" s="208" t="b">
        <f>IF(ISBLANK(NeoBerAfspr!$D$12),"",NeoBerAfspr!$D$12)</f>
        <v>0</v>
      </c>
      <c r="C956" t="b">
        <v>0</v>
      </c>
    </row>
    <row r="957" spans="1:3" x14ac:dyDescent="0.2">
      <c r="A957" s="208" t="s">
        <v>1560</v>
      </c>
      <c r="B957" s="208" t="b">
        <f>IF(ISBLANK(NeoBerAfspr!$D$13),"",NeoBerAfspr!$D$13)</f>
        <v>0</v>
      </c>
      <c r="C957" t="b">
        <v>0</v>
      </c>
    </row>
    <row r="958" spans="1:3" x14ac:dyDescent="0.2">
      <c r="A958" s="208" t="s">
        <v>1561</v>
      </c>
      <c r="B958" s="208" t="b">
        <f>IF(ISBLANK(NeoBerAfspr!$D$14),"",NeoBerAfspr!$D$14)</f>
        <v>0</v>
      </c>
      <c r="C958" t="b">
        <v>0</v>
      </c>
    </row>
    <row r="959" spans="1:3" x14ac:dyDescent="0.2">
      <c r="A959" s="208" t="s">
        <v>1562</v>
      </c>
      <c r="B959" s="208" t="b">
        <f>IF(ISBLANK(NeoBerAfspr!$F$7),"",NeoBerAfspr!$F$7)</f>
        <v>0</v>
      </c>
      <c r="C959" t="b">
        <v>0</v>
      </c>
    </row>
    <row r="960" spans="1:3" x14ac:dyDescent="0.2">
      <c r="A960" s="208" t="s">
        <v>1563</v>
      </c>
      <c r="B960" s="208" t="b">
        <f>IF(ISBLANK(NeoBerAfspr!$J$7),"",NeoBerAfspr!$J$7)</f>
        <v>0</v>
      </c>
      <c r="C960" t="b">
        <v>0</v>
      </c>
    </row>
    <row r="961" spans="1:4" x14ac:dyDescent="0.2">
      <c r="A961" s="208" t="s">
        <v>1564</v>
      </c>
      <c r="B961" s="208" t="b">
        <f>IF(ISBLANK(NeoBerAfspr!$B$23),"",NeoBerAfspr!$B$23)</f>
        <v>0</v>
      </c>
      <c r="C961" t="b">
        <v>0</v>
      </c>
    </row>
    <row r="962" spans="1:4" x14ac:dyDescent="0.2">
      <c r="A962" s="208" t="s">
        <v>1565</v>
      </c>
      <c r="B962" s="208" t="b">
        <f>IF(ISBLANK(NeoBerAfspr!$B$24),"",NeoBerAfspr!$B$24)</f>
        <v>0</v>
      </c>
      <c r="C962" t="b">
        <v>0</v>
      </c>
    </row>
    <row r="963" spans="1:4" x14ac:dyDescent="0.2">
      <c r="A963" s="208" t="s">
        <v>1566</v>
      </c>
      <c r="B963" s="208" t="b">
        <f>IF(ISBLANK(NeoBerAfspr!$B$25),"",NeoBerAfspr!$B$25)</f>
        <v>0</v>
      </c>
      <c r="C963" t="b">
        <v>0</v>
      </c>
    </row>
    <row r="964" spans="1:4" x14ac:dyDescent="0.2">
      <c r="A964" s="208" t="s">
        <v>1567</v>
      </c>
      <c r="B964" s="208" t="b">
        <f>IF(ISBLANK(NeoBerAfspr!$B$26),"",NeoBerAfspr!$B$26)</f>
        <v>0</v>
      </c>
      <c r="C964" t="b">
        <v>0</v>
      </c>
    </row>
    <row r="965" spans="1:4" x14ac:dyDescent="0.2">
      <c r="A965" s="208" t="s">
        <v>1568</v>
      </c>
      <c r="B965" s="208" t="b">
        <f>IF(ISBLANK(NeoBerAfspr!$H$8),"",NeoBerAfspr!$H$8)</f>
        <v>0</v>
      </c>
      <c r="C965" t="b">
        <v>0</v>
      </c>
    </row>
    <row r="966" spans="1:4" x14ac:dyDescent="0.2">
      <c r="A966" s="208" t="s">
        <v>1569</v>
      </c>
      <c r="B966" s="208" t="b">
        <f>IF(ISBLANK(NeoBerAfspr!$F$8),"",NeoBerAfspr!$F$8)</f>
        <v>0</v>
      </c>
      <c r="C966" t="b">
        <v>0</v>
      </c>
    </row>
    <row r="967" spans="1:4" x14ac:dyDescent="0.2">
      <c r="A967" s="208" t="s">
        <v>1570</v>
      </c>
      <c r="B967" s="208" t="b">
        <f>IF(ISBLANK(NeoBerAfspr!$H$9),"",NeoBerAfspr!$H$9)</f>
        <v>0</v>
      </c>
      <c r="C967" t="b">
        <v>0</v>
      </c>
    </row>
    <row r="968" spans="1:4" x14ac:dyDescent="0.2">
      <c r="A968" s="208" t="s">
        <v>1571</v>
      </c>
      <c r="B968" s="208" t="b">
        <f>IF(ISBLANK(NeoBerAfspr!$H$10),"",NeoBerAfspr!$H$10)</f>
        <v>0</v>
      </c>
      <c r="C968" t="b">
        <v>0</v>
      </c>
    </row>
    <row r="969" spans="1:4" x14ac:dyDescent="0.2">
      <c r="A969" s="208" t="s">
        <v>1572</v>
      </c>
      <c r="B969" s="208" t="b">
        <f>IF(ISBLANK(NeoBerAfspr!$H$11),"",NeoBerAfspr!$H$11)</f>
        <v>0</v>
      </c>
      <c r="C969" t="b">
        <v>0</v>
      </c>
      <c r="D969" s="208"/>
    </row>
    <row r="970" spans="1:4" x14ac:dyDescent="0.2">
      <c r="A970" s="208" t="s">
        <v>1573</v>
      </c>
      <c r="B970" s="208" t="b">
        <f>IF(ISBLANK(NeoBerAfspr!$B$7),"",NeoBerAfspr!$B$7)</f>
        <v>0</v>
      </c>
      <c r="C970" t="b">
        <v>0</v>
      </c>
    </row>
    <row r="971" spans="1:4" x14ac:dyDescent="0.2">
      <c r="A971" s="208" t="s">
        <v>1574</v>
      </c>
      <c r="B971" s="208" t="b">
        <f>IF(ISBLANK(NeoBerAfspr!$J$29),"",NeoBerAfspr!$J$29)</f>
        <v>0</v>
      </c>
      <c r="C971" t="b">
        <v>0</v>
      </c>
    </row>
    <row r="972" spans="1:4" x14ac:dyDescent="0.2">
      <c r="A972" s="208" t="s">
        <v>1575</v>
      </c>
      <c r="B972" s="208" t="b">
        <f>IF(ISBLANK(NeoBerAfspr!$J$8),"",NeoBerAfspr!$J$8)</f>
        <v>0</v>
      </c>
      <c r="C972" t="b">
        <v>0</v>
      </c>
    </row>
    <row r="973" spans="1:4" x14ac:dyDescent="0.2">
      <c r="A973" s="208" t="s">
        <v>1576</v>
      </c>
      <c r="B973" s="208" t="b">
        <f>IF(ISBLANK(NeoBerAfspr!$J$9),"",NeoBerAfspr!$J$9)</f>
        <v>0</v>
      </c>
      <c r="C973" t="b">
        <v>0</v>
      </c>
    </row>
    <row r="974" spans="1:4" x14ac:dyDescent="0.2">
      <c r="A974" s="208" t="s">
        <v>1577</v>
      </c>
      <c r="B974" s="208" t="b">
        <f>IF(ISBLANK(NeoBerAfspr!$B$8),"",NeoBerAfspr!$B$8)</f>
        <v>0</v>
      </c>
      <c r="C974" t="b">
        <v>0</v>
      </c>
    </row>
    <row r="975" spans="1:4" x14ac:dyDescent="0.2">
      <c r="A975" s="208" t="s">
        <v>1578</v>
      </c>
      <c r="B975" s="208" t="b">
        <f>IF(ISBLANK(NeoBerAfspr!$J$10),"",NeoBerAfspr!$J$10)</f>
        <v>0</v>
      </c>
      <c r="C975" t="b">
        <v>0</v>
      </c>
    </row>
    <row r="976" spans="1:4" x14ac:dyDescent="0.2">
      <c r="A976" s="208" t="s">
        <v>1579</v>
      </c>
      <c r="B976" s="208" t="b">
        <f>IF(ISBLANK(NeoBerAfspr!$J$11),"",NeoBerAfspr!$J$11)</f>
        <v>0</v>
      </c>
      <c r="C976" t="b">
        <v>0</v>
      </c>
    </row>
    <row r="977" spans="1:6" x14ac:dyDescent="0.2">
      <c r="A977" s="208" t="s">
        <v>1580</v>
      </c>
      <c r="B977" s="208" t="b">
        <f>IF(ISBLANK(NeoBerAfspr!$F$12),"",NeoBerAfspr!$F$12)</f>
        <v>0</v>
      </c>
      <c r="C977" s="208" t="b">
        <v>0</v>
      </c>
      <c r="E977" s="208"/>
    </row>
    <row r="978" spans="1:6" x14ac:dyDescent="0.2">
      <c r="A978" s="208" t="s">
        <v>1581</v>
      </c>
      <c r="B978" s="208" t="b">
        <f>IF(ISBLANK(NeoBerAfspr!$B$9),"",NeoBerAfspr!$B$9)</f>
        <v>0</v>
      </c>
      <c r="C978" t="b">
        <v>0</v>
      </c>
      <c r="E978" s="208"/>
    </row>
    <row r="979" spans="1:6" x14ac:dyDescent="0.2">
      <c r="A979" s="208" t="s">
        <v>1582</v>
      </c>
      <c r="B979" s="208" t="b">
        <f>IF(ISBLANK(NeoBerAfspr!$B$46),"",NeoBerAfspr!$B$46)</f>
        <v>0</v>
      </c>
      <c r="C979" s="208" t="b">
        <v>0</v>
      </c>
      <c r="E979" s="208"/>
    </row>
    <row r="980" spans="1:6" x14ac:dyDescent="0.2">
      <c r="A980" s="208" t="s">
        <v>1583</v>
      </c>
      <c r="B980" s="208" t="b">
        <f>IF(ISBLANK(NeoBerAfspr!$J$12),"",NeoBerAfspr!$J$12)</f>
        <v>0</v>
      </c>
      <c r="C980" t="b">
        <v>0</v>
      </c>
      <c r="E980" s="208"/>
    </row>
    <row r="981" spans="1:6" x14ac:dyDescent="0.2">
      <c r="A981" s="208" t="s">
        <v>1584</v>
      </c>
      <c r="B981" s="208" t="b">
        <f>IF(ISBLANK(NeoBerAfspr!$B$10),"",NeoBerAfspr!$B$10)</f>
        <v>0</v>
      </c>
      <c r="C981" t="b">
        <v>0</v>
      </c>
      <c r="E981" s="208"/>
    </row>
    <row r="982" spans="1:6" s="208" customFormat="1" x14ac:dyDescent="0.2">
      <c r="A982" s="208" t="s">
        <v>1585</v>
      </c>
      <c r="B982" s="208" t="b">
        <f>IF(ISBLANK(NeoBerAfspr!$B$27),"",NeoBerAfspr!$B$27)</f>
        <v>0</v>
      </c>
      <c r="C982" t="b">
        <v>0</v>
      </c>
      <c r="D982"/>
      <c r="F982"/>
    </row>
    <row r="983" spans="1:6" x14ac:dyDescent="0.2">
      <c r="A983" s="208" t="s">
        <v>1586</v>
      </c>
      <c r="B983" s="208" t="b">
        <f>IF(ISBLANK(NeoBerAfspr!$F$13),"",NeoBerAfspr!$F$13)</f>
        <v>0</v>
      </c>
      <c r="C983" t="b">
        <v>0</v>
      </c>
      <c r="E983" s="208"/>
    </row>
    <row r="984" spans="1:6" x14ac:dyDescent="0.2">
      <c r="A984" s="208" t="s">
        <v>1587</v>
      </c>
      <c r="B984" s="208" t="b">
        <f>IF(ISBLANK(NeoBerAfspr!$H$13),"",NeoBerAfspr!$H$13)</f>
        <v>0</v>
      </c>
      <c r="C984" t="b">
        <v>0</v>
      </c>
      <c r="E984" s="208"/>
    </row>
    <row r="985" spans="1:6" x14ac:dyDescent="0.2">
      <c r="A985" s="208" t="s">
        <v>1588</v>
      </c>
      <c r="B985" s="208" t="b">
        <f>IF(ISBLANK(NeoBerAfspr!$B$11),"",NeoBerAfspr!$B$11)</f>
        <v>0</v>
      </c>
      <c r="C985" t="b">
        <v>0</v>
      </c>
      <c r="E985" s="208"/>
    </row>
    <row r="986" spans="1:6" x14ac:dyDescent="0.2">
      <c r="A986" s="208" t="s">
        <v>1589</v>
      </c>
      <c r="B986" s="208" t="b">
        <f>IF(ISBLANK(NeoBerAfspr!$B$15),"",NeoBerAfspr!$B$15)</f>
        <v>0</v>
      </c>
      <c r="C986" t="b">
        <v>0</v>
      </c>
    </row>
    <row r="987" spans="1:6" x14ac:dyDescent="0.2">
      <c r="A987" s="208" t="s">
        <v>1590</v>
      </c>
      <c r="B987" s="208" t="b">
        <f>IF(ISBLANK(NeoBerAfspr!$B$28),"",NeoBerAfspr!$B$28)</f>
        <v>0</v>
      </c>
      <c r="C987" t="b">
        <v>0</v>
      </c>
    </row>
    <row r="988" spans="1:6" x14ac:dyDescent="0.2">
      <c r="A988" s="208" t="s">
        <v>1591</v>
      </c>
      <c r="B988" s="208" t="b">
        <f>IF(ISBLANK(NeoBerAfspr!$B$29),"",NeoBerAfspr!$B$29)</f>
        <v>0</v>
      </c>
      <c r="C988" t="b">
        <v>0</v>
      </c>
    </row>
    <row r="989" spans="1:6" x14ac:dyDescent="0.2">
      <c r="A989" s="208" t="s">
        <v>1592</v>
      </c>
      <c r="B989" s="208" t="b">
        <f>IF(ISBLANK(NeoBerAfspr!$B$30),"",NeoBerAfspr!$B$30)</f>
        <v>0</v>
      </c>
      <c r="C989" s="208" t="b">
        <v>0</v>
      </c>
      <c r="E989" s="208"/>
    </row>
    <row r="990" spans="1:6" x14ac:dyDescent="0.2">
      <c r="A990" s="208" t="s">
        <v>1593</v>
      </c>
      <c r="B990" s="208" t="b">
        <f>IF(ISBLANK(NeoBerAfspr!$J$15),"",NeoBerAfspr!$J$15)</f>
        <v>0</v>
      </c>
      <c r="C990" s="208" t="b">
        <v>0</v>
      </c>
      <c r="E990" s="208"/>
      <c r="F990" s="208"/>
    </row>
    <row r="991" spans="1:6" x14ac:dyDescent="0.2">
      <c r="A991" s="208" t="s">
        <v>1594</v>
      </c>
      <c r="B991" s="208" t="b">
        <f>IF(ISBLANK(NeoBerAfspr!$J$13),"",NeoBerAfspr!$J$13)</f>
        <v>0</v>
      </c>
      <c r="C991" s="208" t="b">
        <v>0</v>
      </c>
      <c r="E991" s="208"/>
    </row>
    <row r="992" spans="1:6" x14ac:dyDescent="0.2">
      <c r="A992" s="208" t="s">
        <v>1595</v>
      </c>
      <c r="B992" s="208" t="b">
        <f>IF(ISBLANK(NeoBerAfspr!$J$14),"",NeoBerAfspr!$J$14)</f>
        <v>0</v>
      </c>
      <c r="C992" s="208" t="b">
        <v>0</v>
      </c>
      <c r="E992" s="208"/>
    </row>
    <row r="993" spans="1:6" x14ac:dyDescent="0.2">
      <c r="A993" s="208" t="s">
        <v>1596</v>
      </c>
      <c r="B993" s="208" t="b">
        <f>IF(ISBLANK(NeoBerAfspr!$F$14),"",NeoBerAfspr!$F$14)</f>
        <v>0</v>
      </c>
      <c r="C993" s="208" t="b">
        <v>0</v>
      </c>
      <c r="E993" s="208"/>
      <c r="F993" s="208"/>
    </row>
    <row r="994" spans="1:6" x14ac:dyDescent="0.2">
      <c r="A994" s="208" t="s">
        <v>1597</v>
      </c>
      <c r="B994" s="208" t="b">
        <f>IF(ISBLANK(NeoBerAfspr!$H$16),"",NeoBerAfspr!$H$16)</f>
        <v>0</v>
      </c>
      <c r="C994" s="208" t="b">
        <v>0</v>
      </c>
      <c r="E994" s="208"/>
      <c r="F994" s="208"/>
    </row>
    <row r="995" spans="1:6" x14ac:dyDescent="0.2">
      <c r="A995" s="208" t="s">
        <v>1598</v>
      </c>
      <c r="B995" s="208" t="b">
        <f>IF(ISBLANK(NeoBerAfspr!$F$15),"",NeoBerAfspr!$F$15)</f>
        <v>0</v>
      </c>
      <c r="C995" s="208" t="b">
        <v>0</v>
      </c>
      <c r="E995" s="208"/>
    </row>
    <row r="996" spans="1:6" x14ac:dyDescent="0.2">
      <c r="A996" s="208" t="s">
        <v>1599</v>
      </c>
      <c r="B996" s="208" t="b">
        <f>IF(ISBLANK(NeoBerAfspr!$H$15),"",NeoBerAfspr!$H$15)</f>
        <v>0</v>
      </c>
      <c r="C996" s="208" t="b">
        <v>0</v>
      </c>
      <c r="E996" s="208"/>
    </row>
    <row r="997" spans="1:6" x14ac:dyDescent="0.2">
      <c r="A997" s="208" t="s">
        <v>1600</v>
      </c>
      <c r="B997" s="208" t="b">
        <f>IF(ISBLANK(NeoBerAfspr!$J$16),"",NeoBerAfspr!$J$16)</f>
        <v>0</v>
      </c>
      <c r="C997" s="208" t="b">
        <v>0</v>
      </c>
      <c r="E997" s="208"/>
    </row>
    <row r="998" spans="1:6" x14ac:dyDescent="0.2">
      <c r="A998" s="208" t="s">
        <v>1601</v>
      </c>
      <c r="B998" s="208" t="b">
        <f>IF(ISBLANK(NeoBerAfspr!$B$43),"",NeoBerAfspr!$B$43)</f>
        <v>0</v>
      </c>
      <c r="C998" s="208" t="b">
        <v>0</v>
      </c>
    </row>
    <row r="999" spans="1:6" x14ac:dyDescent="0.2">
      <c r="A999" s="208" t="s">
        <v>1602</v>
      </c>
      <c r="B999" s="208" t="b">
        <f>IF(ISBLANK(NeoBerAfspr!$D$43),"",NeoBerAfspr!$D$43)</f>
        <v>0</v>
      </c>
      <c r="C999" s="208" t="b">
        <v>0</v>
      </c>
      <c r="F999" s="208"/>
    </row>
    <row r="1000" spans="1:6" x14ac:dyDescent="0.2">
      <c r="A1000" s="208" t="s">
        <v>1603</v>
      </c>
      <c r="B1000" s="208" t="b">
        <f>IF(ISBLANK(NeoBerAfspr!$B$44),"",NeoBerAfspr!$B$44)</f>
        <v>0</v>
      </c>
      <c r="C1000" s="208" t="b">
        <v>0</v>
      </c>
      <c r="F1000" s="208"/>
    </row>
    <row r="1001" spans="1:6" x14ac:dyDescent="0.2">
      <c r="A1001" s="208" t="s">
        <v>1604</v>
      </c>
      <c r="B1001" s="208" t="b">
        <f>IF(ISBLANK(NeoBerAfspr!$D$44),"",NeoBerAfspr!$D$44)</f>
        <v>0</v>
      </c>
      <c r="C1001" s="208" t="b">
        <v>0</v>
      </c>
    </row>
    <row r="1002" spans="1:6" x14ac:dyDescent="0.2">
      <c r="A1002" s="208" t="s">
        <v>1605</v>
      </c>
      <c r="B1002" s="208" t="b">
        <f>IF(ISBLANK(NeoBerAfspr!$B$45),"",NeoBerAfspr!$B$45)</f>
        <v>0</v>
      </c>
      <c r="C1002" s="208" t="b">
        <v>0</v>
      </c>
    </row>
    <row r="1003" spans="1:6" x14ac:dyDescent="0.2">
      <c r="A1003" s="208" t="s">
        <v>1606</v>
      </c>
      <c r="B1003" s="208" t="b">
        <f>IF(ISBLANK(NeoBerAfspr!$D$45),"",NeoBerAfspr!$D$45)</f>
        <v>0</v>
      </c>
      <c r="C1003" s="208" t="b">
        <v>0</v>
      </c>
    </row>
    <row r="1004" spans="1:6" x14ac:dyDescent="0.2">
      <c r="A1004" s="208" t="s">
        <v>1607</v>
      </c>
      <c r="B1004" s="208" t="b">
        <f>IF(ISBLANK(NeoBerAfspr!$J$17),"",NeoBerAfspr!$J$17)</f>
        <v>0</v>
      </c>
      <c r="C1004" s="208" t="b">
        <v>0</v>
      </c>
    </row>
    <row r="1005" spans="1:6" x14ac:dyDescent="0.2">
      <c r="A1005" s="208" t="s">
        <v>1608</v>
      </c>
      <c r="B1005" s="208" t="b">
        <f>IF(ISBLANK(NeoBerAfspr!$J$18),"",NeoBerAfspr!$J$18)</f>
        <v>0</v>
      </c>
      <c r="C1005" s="208" t="b">
        <v>0</v>
      </c>
    </row>
    <row r="1006" spans="1:6" x14ac:dyDescent="0.2">
      <c r="A1006" s="208" t="s">
        <v>1609</v>
      </c>
      <c r="B1006" s="208" t="b">
        <f>IF(ISBLANK(NeoBerAfspr!$F$17),"",NeoBerAfspr!$F$17)</f>
        <v>0</v>
      </c>
      <c r="C1006" s="208" t="b">
        <v>0</v>
      </c>
    </row>
    <row r="1007" spans="1:6" x14ac:dyDescent="0.2">
      <c r="A1007" s="208" t="s">
        <v>1610</v>
      </c>
      <c r="B1007" s="208" t="b">
        <f>IF(ISBLANK(NeoBerAfspr!$B$16),"",NeoBerAfspr!$B$16)</f>
        <v>0</v>
      </c>
      <c r="C1007" s="208" t="b">
        <v>0</v>
      </c>
    </row>
    <row r="1008" spans="1:6" x14ac:dyDescent="0.2">
      <c r="A1008" s="208" t="s">
        <v>1611</v>
      </c>
      <c r="B1008" s="208" t="b">
        <f>IF(ISBLANK(NeoBerAfspr!$B$17),"",NeoBerAfspr!$B$17)</f>
        <v>0</v>
      </c>
      <c r="C1008" s="208" t="b">
        <v>0</v>
      </c>
      <c r="F1008" s="208"/>
    </row>
    <row r="1009" spans="1:5" x14ac:dyDescent="0.2">
      <c r="A1009" s="208" t="s">
        <v>1612</v>
      </c>
      <c r="B1009" s="208" t="b">
        <f>IF(ISBLANK(NeoBerAfspr!$B$18),"",NeoBerAfspr!$B$18)</f>
        <v>0</v>
      </c>
      <c r="C1009" s="208" t="b">
        <v>0</v>
      </c>
    </row>
    <row r="1010" spans="1:5" x14ac:dyDescent="0.2">
      <c r="A1010" s="208" t="s">
        <v>1613</v>
      </c>
      <c r="B1010" s="208" t="b">
        <f>IF(ISBLANK(NeoBerAfspr!$H$18),"",NeoBerAfspr!$H$18)</f>
        <v>0</v>
      </c>
      <c r="C1010" s="208" t="b">
        <v>0</v>
      </c>
    </row>
    <row r="1011" spans="1:5" x14ac:dyDescent="0.2">
      <c r="A1011" s="208" t="s">
        <v>1614</v>
      </c>
      <c r="B1011" s="208" t="b">
        <f>IF(ISBLANK(NeoBerAfspr!$F$18),"",NeoBerAfspr!$F$18)</f>
        <v>0</v>
      </c>
      <c r="C1011" s="208" t="b">
        <v>0</v>
      </c>
    </row>
    <row r="1012" spans="1:5" x14ac:dyDescent="0.2">
      <c r="A1012" s="208" t="s">
        <v>1615</v>
      </c>
      <c r="B1012" s="208" t="b">
        <f>IF(ISBLANK(NeoBerAfspr!$H$19),"",NeoBerAfspr!$H$19)</f>
        <v>0</v>
      </c>
      <c r="C1012" s="208" t="b">
        <v>0</v>
      </c>
    </row>
    <row r="1013" spans="1:5" x14ac:dyDescent="0.2">
      <c r="A1013" s="208" t="s">
        <v>1616</v>
      </c>
      <c r="B1013" s="208" t="b">
        <f>IF(ISBLANK(NeoBerAfspr!$H$20),"",NeoBerAfspr!$H$20)</f>
        <v>0</v>
      </c>
      <c r="C1013" s="208" t="b">
        <v>0</v>
      </c>
    </row>
    <row r="1014" spans="1:5" x14ac:dyDescent="0.2">
      <c r="A1014" s="208" t="s">
        <v>1617</v>
      </c>
      <c r="B1014" s="208" t="b">
        <f>IF(ISBLANK(NeoBerAfspr!$B$34),"",NeoBerAfspr!$B$34)</f>
        <v>0</v>
      </c>
      <c r="C1014" s="208" t="b">
        <v>0</v>
      </c>
    </row>
    <row r="1015" spans="1:5" x14ac:dyDescent="0.2">
      <c r="A1015" s="208" t="s">
        <v>1618</v>
      </c>
      <c r="B1015" s="208" t="b">
        <f>IF(ISBLANK(NeoBerAfspr!$B$37),"",NeoBerAfspr!$B$37)</f>
        <v>0</v>
      </c>
      <c r="C1015" s="208" t="b">
        <v>0</v>
      </c>
    </row>
    <row r="1016" spans="1:5" x14ac:dyDescent="0.2">
      <c r="A1016" s="208" t="s">
        <v>1619</v>
      </c>
      <c r="B1016" s="208" t="b">
        <f>IF(ISBLANK(NeoBerAfspr!$B$40),"",NeoBerAfspr!$B$40)</f>
        <v>0</v>
      </c>
      <c r="C1016" s="208" t="b">
        <v>0</v>
      </c>
    </row>
    <row r="1017" spans="1:5" x14ac:dyDescent="0.2">
      <c r="A1017" s="208" t="s">
        <v>1620</v>
      </c>
      <c r="B1017" s="208" t="b">
        <f>IF(ISBLANK(NeoBerAfspr!$F$21),"",NeoBerAfspr!$F$21)</f>
        <v>0</v>
      </c>
      <c r="C1017" s="208" t="b">
        <v>0</v>
      </c>
    </row>
    <row r="1018" spans="1:5" x14ac:dyDescent="0.2">
      <c r="A1018" s="208" t="s">
        <v>1621</v>
      </c>
      <c r="B1018" s="208" t="b">
        <f>IF(ISBLANK(NeoBerAfspr!$F$23),"",NeoBerAfspr!$F$23)</f>
        <v>0</v>
      </c>
      <c r="C1018" s="208" t="b">
        <v>0</v>
      </c>
    </row>
    <row r="1019" spans="1:5" x14ac:dyDescent="0.2">
      <c r="A1019" s="208" t="s">
        <v>1622</v>
      </c>
      <c r="B1019" s="208" t="b">
        <f>IF(ISBLANK(NeoBerAfspr!$H$27),"",NeoBerAfspr!$H$27)</f>
        <v>0</v>
      </c>
      <c r="C1019" s="208" t="b">
        <v>0</v>
      </c>
    </row>
    <row r="1020" spans="1:5" x14ac:dyDescent="0.2">
      <c r="A1020" s="208" t="s">
        <v>1623</v>
      </c>
      <c r="B1020" s="207" t="b">
        <f>IF(ISBLANK(NeoBerAfspr!$H$28),"",NeoBerAfspr!$H$28)</f>
        <v>0</v>
      </c>
      <c r="C1020" s="208" t="b">
        <v>0</v>
      </c>
      <c r="E1020" s="208"/>
    </row>
    <row r="1021" spans="1:5" x14ac:dyDescent="0.2">
      <c r="A1021" s="208" t="s">
        <v>1624</v>
      </c>
      <c r="B1021" s="207" t="b">
        <f>IF(ISBLANK(NeoBerAfspr!$F$22),"",NeoBerAfspr!$F$22)</f>
        <v>0</v>
      </c>
      <c r="C1021" s="208" t="b">
        <v>0</v>
      </c>
      <c r="D1021" s="208"/>
    </row>
    <row r="1022" spans="1:5" x14ac:dyDescent="0.2">
      <c r="A1022" s="208" t="s">
        <v>1625</v>
      </c>
      <c r="B1022" s="207" t="b">
        <f>IF(ISBLANK(NeoBerAfspr!$H$22),"",NeoBerAfspr!$H$22)</f>
        <v>0</v>
      </c>
      <c r="C1022" s="208" t="b">
        <v>0</v>
      </c>
    </row>
    <row r="1023" spans="1:5" x14ac:dyDescent="0.2">
      <c r="A1023" s="208" t="s">
        <v>1626</v>
      </c>
      <c r="B1023" s="207" t="b">
        <f>IF(ISBLANK(NeoBerAfspr!$H$29),"",NeoBerAfspr!$H$29)</f>
        <v>0</v>
      </c>
      <c r="C1023" s="208" t="b">
        <v>0</v>
      </c>
      <c r="E1023" s="208"/>
    </row>
    <row r="1024" spans="1:5" x14ac:dyDescent="0.2">
      <c r="A1024" s="208" t="s">
        <v>1627</v>
      </c>
      <c r="B1024" s="207" t="b">
        <f>IF(ISBLANK(NeoBerAfspr!$H$23),"",NeoBerAfspr!$H$23)</f>
        <v>0</v>
      </c>
      <c r="C1024" s="208" t="b">
        <v>0</v>
      </c>
      <c r="D1024" s="208"/>
      <c r="E1024" s="208"/>
    </row>
    <row r="1025" spans="1:5" x14ac:dyDescent="0.2">
      <c r="A1025" s="208" t="s">
        <v>1628</v>
      </c>
      <c r="B1025" s="207" t="b">
        <f>IF(ISBLANK(NeoBerAfspr!$H$30),"",NeoBerAfspr!$H$30)</f>
        <v>0</v>
      </c>
      <c r="C1025" s="208" t="b">
        <v>0</v>
      </c>
      <c r="D1025" s="208"/>
    </row>
    <row r="1026" spans="1:5" x14ac:dyDescent="0.2">
      <c r="A1026" s="208" t="s">
        <v>1629</v>
      </c>
      <c r="B1026" s="207" t="b">
        <f>IF(ISBLANK(NeoBerAfspr!$H$24),"",NeoBerAfspr!$H$24)</f>
        <v>0</v>
      </c>
      <c r="C1026" s="208" t="b">
        <v>0</v>
      </c>
    </row>
    <row r="1027" spans="1:5" x14ac:dyDescent="0.2">
      <c r="A1027" s="208" t="s">
        <v>1630</v>
      </c>
      <c r="B1027" s="207" t="b">
        <f>IF(ISBLANK(NeoBerAfspr!$H$25),"",NeoBerAfspr!$H$25)</f>
        <v>0</v>
      </c>
      <c r="C1027" s="208" t="b">
        <v>0</v>
      </c>
    </row>
    <row r="1028" spans="1:5" x14ac:dyDescent="0.2">
      <c r="A1028" s="208" t="s">
        <v>1631</v>
      </c>
      <c r="B1028" s="207" t="b">
        <f>IF(ISBLANK(NeoBerAfspr!$H$26),"",NeoBerAfspr!$H$26)</f>
        <v>0</v>
      </c>
      <c r="C1028" s="208" t="b">
        <v>0</v>
      </c>
    </row>
    <row r="1029" spans="1:5" x14ac:dyDescent="0.2">
      <c r="A1029" s="208" t="s">
        <v>1632</v>
      </c>
      <c r="B1029" s="207" t="b">
        <f>IF(ISBLANK(NeoBerAfspr!$J$19),"",NeoBerAfspr!$J$19)</f>
        <v>0</v>
      </c>
      <c r="C1029" s="208" t="b">
        <v>0</v>
      </c>
      <c r="E1029" s="208"/>
    </row>
    <row r="1030" spans="1:5" x14ac:dyDescent="0.2">
      <c r="A1030" s="208" t="s">
        <v>1633</v>
      </c>
      <c r="B1030" s="207" t="b">
        <f>IF(ISBLANK(NeoBerAfspr!$J$20),"",NeoBerAfspr!$J$20)</f>
        <v>0</v>
      </c>
      <c r="C1030" s="208" t="b">
        <v>0</v>
      </c>
      <c r="D1030" s="208"/>
      <c r="E1030" s="208"/>
    </row>
    <row r="1031" spans="1:5" x14ac:dyDescent="0.2">
      <c r="A1031" s="208" t="s">
        <v>1634</v>
      </c>
      <c r="B1031" s="207" t="b">
        <f>IF(ISBLANK(NeoBerAfspr!$L$23),"",NeoBerAfspr!$L$23)</f>
        <v>0</v>
      </c>
      <c r="C1031" s="208" t="b">
        <v>0</v>
      </c>
      <c r="D1031" s="208"/>
    </row>
    <row r="1032" spans="1:5" x14ac:dyDescent="0.2">
      <c r="A1032" s="208" t="s">
        <v>1635</v>
      </c>
      <c r="B1032" s="207" t="b">
        <f>IF(ISBLANK(NeoBerAfspr!$L$22),"",NeoBerAfspr!$L$22)</f>
        <v>0</v>
      </c>
      <c r="C1032" s="208" t="b">
        <v>0</v>
      </c>
    </row>
    <row r="1033" spans="1:5" x14ac:dyDescent="0.2">
      <c r="A1033" s="208" t="s">
        <v>1636</v>
      </c>
      <c r="B1033" s="207" t="b">
        <f>IF(ISBLANK(NeoBerAfspr!$L$21),"",NeoBerAfspr!$L$21)</f>
        <v>0</v>
      </c>
      <c r="C1033" s="208" t="b">
        <v>0</v>
      </c>
    </row>
    <row r="1034" spans="1:5" x14ac:dyDescent="0.2">
      <c r="A1034" s="208" t="s">
        <v>1637</v>
      </c>
      <c r="B1034" s="207" t="b">
        <f>IF(ISBLANK(NeoBerAfspr!$J$24),"",NeoBerAfspr!$J$24)</f>
        <v>0</v>
      </c>
      <c r="C1034" s="208" t="b">
        <v>0</v>
      </c>
    </row>
    <row r="1035" spans="1:5" x14ac:dyDescent="0.2">
      <c r="A1035" s="208" t="s">
        <v>1638</v>
      </c>
      <c r="B1035" s="207" t="b">
        <f>IF(ISBLANK(NeoBerAfspr!$L$24),"",NeoBerAfspr!$L$24)</f>
        <v>0</v>
      </c>
      <c r="C1035" s="208" t="b">
        <v>0</v>
      </c>
    </row>
    <row r="1036" spans="1:5" x14ac:dyDescent="0.2">
      <c r="A1036" s="208" t="s">
        <v>1639</v>
      </c>
      <c r="B1036" s="207" t="b">
        <f>IF(ISBLANK(NeoBerAfspr!$L$25),"",NeoBerAfspr!$L$25)</f>
        <v>0</v>
      </c>
      <c r="C1036" s="208" t="b">
        <v>0</v>
      </c>
    </row>
    <row r="1037" spans="1:5" x14ac:dyDescent="0.2">
      <c r="A1037" s="208" t="s">
        <v>1640</v>
      </c>
      <c r="B1037" s="207" t="b">
        <f>IF(ISBLANK(NeoBerAfspr!$L$26),"",NeoBerAfspr!$L$26)</f>
        <v>0</v>
      </c>
      <c r="C1037" s="208" t="b">
        <v>0</v>
      </c>
    </row>
    <row r="1038" spans="1:5" x14ac:dyDescent="0.2">
      <c r="A1038" s="208" t="s">
        <v>1641</v>
      </c>
      <c r="B1038" s="207" t="b">
        <f>IF(ISBLANK(NeoBerAfspr!$L$27),"",NeoBerAfspr!$L$27)</f>
        <v>0</v>
      </c>
      <c r="C1038" s="208" t="b">
        <v>0</v>
      </c>
      <c r="D1038" s="208"/>
      <c r="E1038" s="208"/>
    </row>
    <row r="1039" spans="1:5" x14ac:dyDescent="0.2">
      <c r="A1039" s="208" t="s">
        <v>1642</v>
      </c>
      <c r="B1039" s="207" t="b">
        <f>IF(ISBLANK(NeoBerAfspr!$B$19),"",NeoBerAfspr!$B$19)</f>
        <v>0</v>
      </c>
      <c r="C1039" s="208" t="b">
        <v>0</v>
      </c>
    </row>
    <row r="1040" spans="1:5" x14ac:dyDescent="0.2">
      <c r="A1040" s="209" t="s">
        <v>4817</v>
      </c>
      <c r="B1040" s="207" t="b">
        <f>IF(ISBLANK(NeoBerAfspr!$F$31),"",NeoBerAfspr!$F$31)</f>
        <v>0</v>
      </c>
      <c r="C1040" s="208" t="b">
        <v>0</v>
      </c>
    </row>
    <row r="1041" spans="1:6" x14ac:dyDescent="0.2">
      <c r="A1041" s="208" t="s">
        <v>1643</v>
      </c>
      <c r="B1041" s="207" t="b">
        <f>IF(ISBLANK(NeoBerAfspr!$B$31),"",NeoBerAfspr!$B$31)</f>
        <v>0</v>
      </c>
      <c r="C1041" s="208" t="b">
        <v>0</v>
      </c>
      <c r="F1041" s="208"/>
    </row>
    <row r="1042" spans="1:6" x14ac:dyDescent="0.2">
      <c r="A1042" s="208" t="s">
        <v>1644</v>
      </c>
      <c r="B1042" s="207" t="b">
        <f>IF(ISBLANK(NeoBerAfspr!$B$32),"",NeoBerAfspr!$B$32)</f>
        <v>0</v>
      </c>
      <c r="C1042" s="208" t="b">
        <v>0</v>
      </c>
    </row>
    <row r="1043" spans="1:6" x14ac:dyDescent="0.2">
      <c r="A1043" s="208" t="s">
        <v>1645</v>
      </c>
      <c r="B1043" s="207">
        <f>IF(ISBLANK(NeoBerAfspr!$K$29),"",NeoBerAfspr!$K$29)</f>
        <v>0</v>
      </c>
      <c r="C1043" s="208">
        <v>0</v>
      </c>
    </row>
    <row r="1044" spans="1:6" x14ac:dyDescent="0.2">
      <c r="A1044" s="208" t="s">
        <v>1646</v>
      </c>
      <c r="B1044" s="207">
        <f>IF(ISBLANK(NeoBerAfspr!$D$22),"",NeoBerAfspr!$D$22)</f>
        <v>1</v>
      </c>
      <c r="C1044" s="208">
        <v>1</v>
      </c>
    </row>
    <row r="1045" spans="1:6" x14ac:dyDescent="0.2">
      <c r="A1045" s="208" t="s">
        <v>1647</v>
      </c>
      <c r="B1045" s="207">
        <f>IF(ISBLANK(NeoBerAfspr!$C$8),"",NeoBerAfspr!$C$8)</f>
        <v>0</v>
      </c>
      <c r="C1045" s="208">
        <v>0</v>
      </c>
    </row>
    <row r="1046" spans="1:6" x14ac:dyDescent="0.2">
      <c r="A1046" s="208" t="s">
        <v>1648</v>
      </c>
      <c r="B1046" s="207">
        <f>IF(ISBLANK(NeoBerAfspr!$D$8),"",NeoBerAfspr!$D$8)</f>
        <v>1</v>
      </c>
      <c r="C1046" s="208">
        <v>1</v>
      </c>
    </row>
    <row r="1047" spans="1:6" x14ac:dyDescent="0.2">
      <c r="A1047" s="208" t="s">
        <v>1649</v>
      </c>
      <c r="B1047" s="207">
        <f>IF(ISBLANK(NeoBerAfspr!$C$9),"",NeoBerAfspr!$C$9)</f>
        <v>0</v>
      </c>
      <c r="C1047" s="208">
        <v>0</v>
      </c>
    </row>
    <row r="1048" spans="1:6" x14ac:dyDescent="0.2">
      <c r="A1048" s="208" t="s">
        <v>1650</v>
      </c>
      <c r="B1048" s="207">
        <f>IF(ISBLANK(NeoBerAfspr!$D$9),"",NeoBerAfspr!$D$9)</f>
        <v>1</v>
      </c>
      <c r="C1048" s="208">
        <v>1</v>
      </c>
    </row>
    <row r="1049" spans="1:6" x14ac:dyDescent="0.2">
      <c r="A1049" s="208" t="s">
        <v>1651</v>
      </c>
      <c r="B1049" s="207">
        <f>IF(ISBLANK(NeoBerAfspr!$D$47),"",NeoBerAfspr!$D$47)</f>
        <v>0</v>
      </c>
      <c r="C1049" s="208">
        <v>0</v>
      </c>
    </row>
    <row r="1050" spans="1:6" x14ac:dyDescent="0.2">
      <c r="A1050" s="208" t="s">
        <v>1652</v>
      </c>
      <c r="B1050" s="207">
        <f>IF(ISBLANK(NeoBerAfspr!$D$46),"",NeoBerAfspr!$D$46)</f>
        <v>1</v>
      </c>
      <c r="C1050">
        <v>1</v>
      </c>
    </row>
    <row r="1051" spans="1:6" x14ac:dyDescent="0.2">
      <c r="A1051" s="208" t="s">
        <v>1653</v>
      </c>
      <c r="B1051" s="207">
        <f>IF(ISBLANK(NeoBerAfspr!$B$12),"",NeoBerAfspr!$B$12)</f>
        <v>0</v>
      </c>
      <c r="C1051">
        <v>0</v>
      </c>
    </row>
    <row r="1052" spans="1:6" x14ac:dyDescent="0.2">
      <c r="A1052" s="208" t="s">
        <v>1654</v>
      </c>
      <c r="B1052" s="207">
        <f>IF(ISBLANK(NeoBerAfspr!$K$17),"",NeoBerAfspr!$K$17)</f>
        <v>0</v>
      </c>
      <c r="C1052" s="208">
        <v>0</v>
      </c>
    </row>
    <row r="1053" spans="1:6" x14ac:dyDescent="0.2">
      <c r="A1053" s="208" t="s">
        <v>1655</v>
      </c>
      <c r="B1053" s="207">
        <f>IF(ISBLANK(NeoBerAfspr!$L$17),"",NeoBerAfspr!$L$17)</f>
        <v>0</v>
      </c>
      <c r="C1053" s="208">
        <v>0</v>
      </c>
      <c r="F1053" s="208"/>
    </row>
    <row r="1054" spans="1:6" x14ac:dyDescent="0.2">
      <c r="A1054" s="208" t="s">
        <v>1656</v>
      </c>
      <c r="B1054" s="207">
        <f>IF(ISBLANK(NeoBerAfspr!$C$18),"",NeoBerAfspr!$C$18)</f>
        <v>0</v>
      </c>
      <c r="C1054" s="208">
        <v>0</v>
      </c>
    </row>
    <row r="1055" spans="1:6" x14ac:dyDescent="0.2">
      <c r="A1055" s="208" t="s">
        <v>1657</v>
      </c>
      <c r="B1055" s="207">
        <f>IF(ISBLANK(NeoBerAfspr!$D$18),"",NeoBerAfspr!$D$18)</f>
        <v>1</v>
      </c>
      <c r="C1055" s="208">
        <v>1</v>
      </c>
    </row>
    <row r="1056" spans="1:6" x14ac:dyDescent="0.2">
      <c r="A1056" s="208" t="s">
        <v>1658</v>
      </c>
      <c r="B1056" s="207">
        <f>IF(ISBLANK(NeoBerAfspr!$D$36),"",NeoBerAfspr!$D$36)</f>
        <v>1</v>
      </c>
      <c r="C1056" s="208">
        <v>1</v>
      </c>
    </row>
    <row r="1057" spans="1:5" x14ac:dyDescent="0.2">
      <c r="A1057" s="208" t="s">
        <v>1659</v>
      </c>
      <c r="B1057" s="207">
        <f>IF(ISBLANK(NeoBerAfspr!$D$34),"",NeoBerAfspr!$D$34)</f>
        <v>1</v>
      </c>
      <c r="C1057" s="208">
        <v>1</v>
      </c>
    </row>
    <row r="1058" spans="1:5" x14ac:dyDescent="0.2">
      <c r="A1058" s="208" t="s">
        <v>1660</v>
      </c>
      <c r="B1058" s="207">
        <f>IF(ISBLANK(NeoBerAfspr!$D$35),"",NeoBerAfspr!$D$35)</f>
        <v>1</v>
      </c>
      <c r="C1058" s="208">
        <v>1</v>
      </c>
    </row>
    <row r="1059" spans="1:5" x14ac:dyDescent="0.2">
      <c r="A1059" s="208" t="s">
        <v>1661</v>
      </c>
      <c r="B1059" s="207">
        <f>IF(ISBLANK(NeoBerAfspr!$D$39),"",NeoBerAfspr!$D$39)</f>
        <v>1</v>
      </c>
      <c r="C1059" s="208">
        <v>1</v>
      </c>
    </row>
    <row r="1060" spans="1:5" x14ac:dyDescent="0.2">
      <c r="A1060" s="208" t="s">
        <v>1662</v>
      </c>
      <c r="B1060" s="207">
        <f>IF(ISBLANK(NeoBerAfspr!$D$37),"",NeoBerAfspr!$D$37)</f>
        <v>1</v>
      </c>
      <c r="C1060" s="208">
        <v>1</v>
      </c>
    </row>
    <row r="1061" spans="1:5" x14ac:dyDescent="0.2">
      <c r="A1061" s="208" t="s">
        <v>1663</v>
      </c>
      <c r="B1061" s="207">
        <f>IF(ISBLANK(NeoBerAfspr!$D$38),"",NeoBerAfspr!$D$38)</f>
        <v>1</v>
      </c>
      <c r="C1061" s="208">
        <v>1</v>
      </c>
    </row>
    <row r="1062" spans="1:5" x14ac:dyDescent="0.2">
      <c r="A1062" s="208" t="s">
        <v>1664</v>
      </c>
      <c r="B1062" s="207">
        <f>IF(ISBLANK(NeoBerAfspr!$D$42),"",NeoBerAfspr!$D$42)</f>
        <v>1</v>
      </c>
      <c r="C1062" s="208">
        <v>1</v>
      </c>
    </row>
    <row r="1063" spans="1:5" x14ac:dyDescent="0.2">
      <c r="A1063" s="208" t="s">
        <v>1665</v>
      </c>
      <c r="B1063" s="207">
        <f>IF(ISBLANK(NeoBerAfspr!$D$40),"",NeoBerAfspr!$D$40)</f>
        <v>1</v>
      </c>
      <c r="C1063" s="208">
        <v>1</v>
      </c>
    </row>
    <row r="1064" spans="1:5" x14ac:dyDescent="0.2">
      <c r="A1064" s="208" t="s">
        <v>1666</v>
      </c>
      <c r="B1064" s="207">
        <f>IF(ISBLANK(NeoBerAfspr!$D$41),"",NeoBerAfspr!$D$41)</f>
        <v>1</v>
      </c>
      <c r="C1064" s="208">
        <v>1</v>
      </c>
    </row>
    <row r="1065" spans="1:5" x14ac:dyDescent="0.2">
      <c r="A1065" s="208" t="s">
        <v>1667</v>
      </c>
      <c r="B1065" s="207">
        <f>IF(ISBLANK(NeoBerAfspr!$K$20),"",NeoBerAfspr!$K$20)</f>
        <v>0</v>
      </c>
      <c r="C1065" s="208">
        <v>0</v>
      </c>
    </row>
    <row r="1066" spans="1:5" x14ac:dyDescent="0.2">
      <c r="A1066" s="208" t="s">
        <v>1668</v>
      </c>
      <c r="B1066" s="207">
        <f>IF(ISBLANK(NeoBerAfspr!$D$27),"",NeoBerAfspr!$D$27)</f>
        <v>50</v>
      </c>
      <c r="C1066" s="208">
        <v>50</v>
      </c>
    </row>
    <row r="1067" spans="1:5" x14ac:dyDescent="0.2">
      <c r="A1067" s="209" t="s">
        <v>1669</v>
      </c>
      <c r="B1067" s="207" t="str">
        <f>IF(ISBLANK(NeoBerAfspr!$G$31),"",NeoBerAfspr!$G$31)</f>
        <v/>
      </c>
      <c r="C1067" s="349"/>
    </row>
    <row r="1068" spans="1:5" x14ac:dyDescent="0.2">
      <c r="A1068" s="208" t="s">
        <v>1554</v>
      </c>
      <c r="B1068" s="207">
        <f>IF(ISBLANK(NeoBerAfspr!$D$27),"",NeoBerAfspr!$D$27)</f>
        <v>50</v>
      </c>
      <c r="C1068" s="208">
        <v>50</v>
      </c>
    </row>
    <row r="1069" spans="1:5" x14ac:dyDescent="0.2">
      <c r="A1069" s="208" t="s">
        <v>3920</v>
      </c>
      <c r="B1069" s="207">
        <f>IF(ISBLANK(NeoDataInfB!$B$2),"",NeoDataInfB!$B$2)</f>
        <v>0</v>
      </c>
      <c r="C1069" s="7">
        <v>0</v>
      </c>
    </row>
    <row r="1070" spans="1:5" x14ac:dyDescent="0.2">
      <c r="A1070" s="208" t="s">
        <v>4334</v>
      </c>
      <c r="B1070" s="207">
        <f>IF(ISBLANK(NeoDataInfB!$B$3),"",NeoDataInfB!$B$3)</f>
        <v>1</v>
      </c>
      <c r="C1070" s="208">
        <v>1</v>
      </c>
    </row>
    <row r="1071" spans="1:5" x14ac:dyDescent="0.2">
      <c r="A1071" s="208" t="s">
        <v>4335</v>
      </c>
      <c r="B1071" s="207">
        <f>IF(ISBLANK(NeoDataInfB!$B$4),"",NeoDataInfB!$B$4)</f>
        <v>1</v>
      </c>
      <c r="C1071" s="208">
        <v>1</v>
      </c>
      <c r="E1071" s="208"/>
    </row>
    <row r="1072" spans="1:5" x14ac:dyDescent="0.2">
      <c r="A1072" s="208" t="s">
        <v>4336</v>
      </c>
      <c r="B1072" s="207">
        <f>IF(ISBLANK(NeoDataInfB!$B$5),"",NeoDataInfB!$B$5)</f>
        <v>1</v>
      </c>
      <c r="C1072" s="208">
        <v>1</v>
      </c>
      <c r="D1072" s="208"/>
    </row>
    <row r="1073" spans="1:5" x14ac:dyDescent="0.2">
      <c r="A1073" s="208" t="s">
        <v>4337</v>
      </c>
      <c r="B1073" s="207">
        <f>IF(ISBLANK(NeoDataInfB!$B$6),"",NeoDataInfB!$B$6)</f>
        <v>1</v>
      </c>
      <c r="C1073" s="208">
        <v>1</v>
      </c>
    </row>
    <row r="1074" spans="1:5" x14ac:dyDescent="0.2">
      <c r="A1074" s="208" t="s">
        <v>4338</v>
      </c>
      <c r="B1074" s="207">
        <f>IF(ISBLANK(NeoDataInfB!$B$7),"",NeoDataInfB!$B$7)</f>
        <v>1</v>
      </c>
      <c r="C1074">
        <v>1</v>
      </c>
    </row>
    <row r="1075" spans="1:5" x14ac:dyDescent="0.2">
      <c r="A1075" s="208" t="s">
        <v>4339</v>
      </c>
      <c r="B1075" s="207">
        <f>IF(ISBLANK(NeoDataInfB!$B$8),"",NeoDataInfB!$B$8)</f>
        <v>1</v>
      </c>
      <c r="C1075">
        <v>1</v>
      </c>
    </row>
    <row r="1076" spans="1:5" x14ac:dyDescent="0.2">
      <c r="A1076" s="208" t="s">
        <v>4340</v>
      </c>
      <c r="B1076" s="207">
        <f>IF(ISBLANK(NeoDataInfB!$B$9),"",NeoDataInfB!$B$9)</f>
        <v>1</v>
      </c>
      <c r="C1076">
        <v>1</v>
      </c>
    </row>
    <row r="1077" spans="1:5" x14ac:dyDescent="0.2">
      <c r="A1077" s="208" t="s">
        <v>4341</v>
      </c>
      <c r="B1077" s="207">
        <f>IF(ISBLANK(NeoDataInfB!$B$10),"",NeoDataInfB!$B$10)</f>
        <v>1</v>
      </c>
      <c r="C1077">
        <v>1</v>
      </c>
    </row>
    <row r="1078" spans="1:5" x14ac:dyDescent="0.2">
      <c r="A1078" s="208" t="s">
        <v>4342</v>
      </c>
      <c r="B1078" s="207">
        <f>IF(ISBLANK(NeoDataInfB!$B$11),"",NeoDataInfB!$B$11)</f>
        <v>1</v>
      </c>
      <c r="C1078">
        <v>1</v>
      </c>
    </row>
    <row r="1079" spans="1:5" x14ac:dyDescent="0.2">
      <c r="A1079" s="208" t="s">
        <v>4343</v>
      </c>
      <c r="B1079" s="207">
        <f>IF(ISBLANK(NeoDataInfB!$B$12),"",NeoDataInfB!$B$12)</f>
        <v>1</v>
      </c>
      <c r="C1079">
        <v>1</v>
      </c>
    </row>
    <row r="1080" spans="1:5" x14ac:dyDescent="0.2">
      <c r="A1080" s="208" t="s">
        <v>4344</v>
      </c>
      <c r="B1080" s="207">
        <f>IF(ISBLANK(NeoDataInfB!$B$13),"",NeoDataInfB!$B$13)</f>
        <v>0</v>
      </c>
      <c r="C1080" s="210">
        <v>0</v>
      </c>
    </row>
    <row r="1081" spans="1:5" x14ac:dyDescent="0.2">
      <c r="A1081" s="208" t="s">
        <v>4345</v>
      </c>
      <c r="B1081" s="207">
        <f>IF(ISBLANK(NeoDataInfB!$B$14),"",NeoDataInfB!$B$14)</f>
        <v>0</v>
      </c>
      <c r="C1081" s="210">
        <v>0</v>
      </c>
    </row>
    <row r="1082" spans="1:5" x14ac:dyDescent="0.2">
      <c r="A1082" s="208" t="s">
        <v>4346</v>
      </c>
      <c r="B1082" s="207">
        <f>IF(ISBLANK(NeoDataInfB!$B$15),"",NeoDataInfB!$B$15)</f>
        <v>0</v>
      </c>
      <c r="C1082" s="210">
        <v>0</v>
      </c>
    </row>
    <row r="1083" spans="1:5" x14ac:dyDescent="0.2">
      <c r="A1083" s="208" t="s">
        <v>4347</v>
      </c>
      <c r="B1083" s="207">
        <f>IF(ISBLANK(NeoDataInfB!$B$16),"",NeoDataInfB!$B$16)</f>
        <v>0</v>
      </c>
      <c r="C1083" s="210">
        <v>0</v>
      </c>
      <c r="E1083" s="208"/>
    </row>
    <row r="1084" spans="1:5" x14ac:dyDescent="0.2">
      <c r="A1084" s="208" t="s">
        <v>4348</v>
      </c>
      <c r="B1084" s="207">
        <f>IF(ISBLANK(NeoDataInfB!$B$17),"",NeoDataInfB!$B$17)</f>
        <v>0</v>
      </c>
      <c r="C1084" s="210">
        <v>0</v>
      </c>
      <c r="D1084" s="208"/>
    </row>
    <row r="1085" spans="1:5" x14ac:dyDescent="0.2">
      <c r="A1085" s="208" t="s">
        <v>4349</v>
      </c>
      <c r="B1085" s="207">
        <f>IF(ISBLANK(NeoDataInfB!$B$18),"",NeoDataInfB!$B$18)</f>
        <v>0</v>
      </c>
      <c r="C1085" s="210">
        <v>0</v>
      </c>
    </row>
    <row r="1086" spans="1:5" x14ac:dyDescent="0.2">
      <c r="A1086" s="208" t="s">
        <v>4350</v>
      </c>
      <c r="B1086" s="207">
        <f>IF(ISBLANK(NeoDataInfB!$B$19),"",NeoDataInfB!$B$19)</f>
        <v>0</v>
      </c>
      <c r="C1086" s="210">
        <v>0</v>
      </c>
    </row>
    <row r="1087" spans="1:5" x14ac:dyDescent="0.2">
      <c r="A1087" s="208" t="s">
        <v>4351</v>
      </c>
      <c r="B1087" s="207">
        <f>IF(ISBLANK(NeoDataInfB!$B$20),"",NeoDataInfB!$B$20)</f>
        <v>0</v>
      </c>
      <c r="C1087" s="210">
        <v>0</v>
      </c>
    </row>
    <row r="1088" spans="1:5" x14ac:dyDescent="0.2">
      <c r="A1088" s="208" t="s">
        <v>4352</v>
      </c>
      <c r="B1088" s="207">
        <f>IF(ISBLANK(NeoDataInfB!$B$21),"",NeoDataInfB!$B$21)</f>
        <v>0</v>
      </c>
      <c r="C1088" s="210">
        <v>0</v>
      </c>
    </row>
    <row r="1089" spans="1:6" x14ac:dyDescent="0.2">
      <c r="A1089" s="208" t="s">
        <v>4353</v>
      </c>
      <c r="B1089" s="207">
        <f>IF(ISBLANK(NeoDataInfB!$B$22),"",NeoDataInfB!$B$22)</f>
        <v>0</v>
      </c>
      <c r="C1089" s="210">
        <v>0</v>
      </c>
    </row>
    <row r="1090" spans="1:6" x14ac:dyDescent="0.2">
      <c r="A1090" s="208" t="s">
        <v>3921</v>
      </c>
      <c r="B1090" s="207" t="str">
        <f>IF(ISBLANK(NeoDataInfB!$B$23),"",NeoDataInfB!$B$23)</f>
        <v/>
      </c>
      <c r="C1090" s="99" t="s">
        <v>3513</v>
      </c>
    </row>
    <row r="1091" spans="1:6" x14ac:dyDescent="0.2">
      <c r="A1091" s="208" t="s">
        <v>3922</v>
      </c>
      <c r="B1091" s="207" t="str">
        <f>IF(ISBLANK(NeoDataInfB!$B$24),"",NeoDataInfB!$B$24)</f>
        <v/>
      </c>
      <c r="C1091" s="99" t="s">
        <v>3513</v>
      </c>
    </row>
    <row r="1092" spans="1:6" x14ac:dyDescent="0.2">
      <c r="A1092" s="208" t="s">
        <v>4354</v>
      </c>
      <c r="B1092" s="207">
        <f>IF(ISBLANK(NeoDataInfB!$B$25),"",NeoDataInfB!$B$25)</f>
        <v>0</v>
      </c>
      <c r="C1092" s="210">
        <v>0</v>
      </c>
    </row>
    <row r="1093" spans="1:6" x14ac:dyDescent="0.2">
      <c r="A1093" s="208" t="s">
        <v>4355</v>
      </c>
      <c r="B1093" s="207">
        <f>IF(ISBLANK(NeoDataInfB!$B$26),"",NeoDataInfB!$B$26)</f>
        <v>0</v>
      </c>
      <c r="C1093" s="210">
        <v>0</v>
      </c>
    </row>
    <row r="1094" spans="1:6" x14ac:dyDescent="0.2">
      <c r="A1094" s="208" t="s">
        <v>4356</v>
      </c>
      <c r="B1094" s="207">
        <f>IF(ISBLANK(NeoDataInfB!$B$27),"",NeoDataInfB!$B$27)</f>
        <v>0</v>
      </c>
      <c r="C1094" s="210">
        <v>0</v>
      </c>
    </row>
    <row r="1095" spans="1:6" x14ac:dyDescent="0.2">
      <c r="A1095" s="208" t="s">
        <v>4357</v>
      </c>
      <c r="B1095" s="207">
        <f>IF(ISBLANK(NeoDataInfB!$B$28),"",NeoDataInfB!$B$28)</f>
        <v>0</v>
      </c>
      <c r="C1095" s="210">
        <v>0</v>
      </c>
    </row>
    <row r="1096" spans="1:6" x14ac:dyDescent="0.2">
      <c r="A1096" s="208" t="s">
        <v>4358</v>
      </c>
      <c r="B1096" s="207">
        <f>IF(ISBLANK(NeoDataInfB!$B$29),"",NeoDataInfB!$B$29)</f>
        <v>0</v>
      </c>
      <c r="C1096" s="210">
        <v>0</v>
      </c>
    </row>
    <row r="1097" spans="1:6" x14ac:dyDescent="0.2">
      <c r="A1097" s="208" t="s">
        <v>4359</v>
      </c>
      <c r="B1097" s="207">
        <f>IF(ISBLANK(NeoDataInfB!$B$30),"",NeoDataInfB!$B$30)</f>
        <v>0</v>
      </c>
      <c r="C1097" s="210">
        <v>0</v>
      </c>
    </row>
    <row r="1098" spans="1:6" x14ac:dyDescent="0.2">
      <c r="A1098" s="208" t="s">
        <v>4360</v>
      </c>
      <c r="B1098" s="207">
        <f>IF(ISBLANK(NeoDataInfB!$B$31),"",NeoDataInfB!$B$31)</f>
        <v>0</v>
      </c>
      <c r="C1098" s="210">
        <v>0</v>
      </c>
    </row>
    <row r="1099" spans="1:6" x14ac:dyDescent="0.2">
      <c r="A1099" s="208" t="s">
        <v>4361</v>
      </c>
      <c r="B1099" s="207">
        <f>IF(ISBLANK(NeoDataInfB!$B$32),"",NeoDataInfB!$B$32)</f>
        <v>0</v>
      </c>
      <c r="C1099" s="210">
        <v>0</v>
      </c>
    </row>
    <row r="1100" spans="1:6" x14ac:dyDescent="0.2">
      <c r="A1100" s="208" t="s">
        <v>4362</v>
      </c>
      <c r="B1100" s="207">
        <f>IF(ISBLANK(NeoDataInfB!$B$33),"",NeoDataInfB!$B$33)</f>
        <v>0</v>
      </c>
      <c r="C1100" s="210">
        <v>0</v>
      </c>
    </row>
    <row r="1101" spans="1:6" x14ac:dyDescent="0.2">
      <c r="A1101" s="208" t="s">
        <v>4363</v>
      </c>
      <c r="B1101" s="207">
        <f>IF(ISBLANK(NeoDataInfB!$B$34),"",NeoDataInfB!$B$34)</f>
        <v>0</v>
      </c>
      <c r="C1101" s="210">
        <v>0</v>
      </c>
    </row>
    <row r="1102" spans="1:6" x14ac:dyDescent="0.2">
      <c r="A1102" s="208" t="s">
        <v>3923</v>
      </c>
      <c r="B1102" s="207">
        <f>IF(ISBLANK(NeoDataInfB!$B$35),"",NeoDataInfB!$B$35)</f>
        <v>1</v>
      </c>
      <c r="C1102" s="7">
        <v>1</v>
      </c>
      <c r="F1102" s="208"/>
    </row>
    <row r="1103" spans="1:6" x14ac:dyDescent="0.2">
      <c r="A1103" s="208" t="s">
        <v>3924</v>
      </c>
      <c r="B1103" s="207">
        <f>IF(ISBLANK(NeoDataInfB!$B$36),"",NeoDataInfB!$B$36)</f>
        <v>1</v>
      </c>
      <c r="C1103" s="7">
        <v>1</v>
      </c>
    </row>
    <row r="1104" spans="1:6" x14ac:dyDescent="0.2">
      <c r="A1104" s="208" t="s">
        <v>3925</v>
      </c>
      <c r="B1104" s="207">
        <f>IF(ISBLANK(NeoDataInfB!$B$37),"",NeoDataInfB!$B$37)</f>
        <v>1</v>
      </c>
      <c r="C1104" s="7">
        <v>1</v>
      </c>
    </row>
    <row r="1105" spans="1:3" x14ac:dyDescent="0.2">
      <c r="A1105" s="208" t="s">
        <v>3926</v>
      </c>
      <c r="B1105" s="207">
        <f>IF(ISBLANK(NeoDataInfB!$B$38),"",NeoDataInfB!$B$38)</f>
        <v>1</v>
      </c>
      <c r="C1105" s="7">
        <v>1</v>
      </c>
    </row>
    <row r="1106" spans="1:3" x14ac:dyDescent="0.2">
      <c r="A1106" s="208" t="s">
        <v>3927</v>
      </c>
      <c r="B1106" s="207">
        <f>IF(ISBLANK(NeoDataInfB!$B$39),"",NeoDataInfB!$B$39)</f>
        <v>1</v>
      </c>
      <c r="C1106" s="7">
        <v>1</v>
      </c>
    </row>
    <row r="1107" spans="1:3" x14ac:dyDescent="0.2">
      <c r="A1107" s="208" t="s">
        <v>3928</v>
      </c>
      <c r="B1107" s="207">
        <f>IF(ISBLANK(NeoDataInfB!$B$40),"",NeoDataInfB!$B$40)</f>
        <v>1</v>
      </c>
      <c r="C1107" s="7">
        <v>1</v>
      </c>
    </row>
    <row r="1108" spans="1:3" x14ac:dyDescent="0.2">
      <c r="A1108" s="208" t="s">
        <v>3929</v>
      </c>
      <c r="B1108" s="207">
        <f>IF(ISBLANK(NeoDataInfB!$B$41),"",NeoDataInfB!$B$41)</f>
        <v>1</v>
      </c>
      <c r="C1108" s="7">
        <v>1</v>
      </c>
    </row>
    <row r="1109" spans="1:3" x14ac:dyDescent="0.2">
      <c r="A1109" s="208" t="s">
        <v>3930</v>
      </c>
      <c r="B1109" s="207">
        <f>IF(ISBLANK(NeoDataInfB!$B$42),"",NeoDataInfB!$B$42)</f>
        <v>1</v>
      </c>
      <c r="C1109" s="7">
        <v>1</v>
      </c>
    </row>
    <row r="1110" spans="1:3" x14ac:dyDescent="0.2">
      <c r="A1110" s="208" t="s">
        <v>3931</v>
      </c>
      <c r="B1110" s="207">
        <f>IF(ISBLANK(NeoDataInfB!$B$43),"",NeoDataInfB!$B$43)</f>
        <v>1</v>
      </c>
      <c r="C1110" s="7">
        <v>1</v>
      </c>
    </row>
    <row r="1111" spans="1:3" x14ac:dyDescent="0.2">
      <c r="A1111" s="208" t="s">
        <v>3932</v>
      </c>
      <c r="B1111" s="207">
        <f>IF(ISBLANK(NeoDataInfB!$B$44),"",NeoDataInfB!$B$44)</f>
        <v>1</v>
      </c>
      <c r="C1111" s="7">
        <v>1</v>
      </c>
    </row>
    <row r="1112" spans="1:3" x14ac:dyDescent="0.2">
      <c r="A1112" s="208" t="s">
        <v>3933</v>
      </c>
      <c r="B1112" s="207">
        <f>IF(ISBLANK(NeoDataInfB!$B$45),"",NeoDataInfB!$B$45)</f>
        <v>1</v>
      </c>
      <c r="C1112" s="7">
        <v>1</v>
      </c>
    </row>
    <row r="1113" spans="1:3" x14ac:dyDescent="0.2">
      <c r="A1113" s="208" t="s">
        <v>3934</v>
      </c>
      <c r="B1113" s="207">
        <f>IF(ISBLANK(NeoDataInfB!$B$46),"",NeoDataInfB!$B$46)</f>
        <v>1</v>
      </c>
      <c r="C1113" s="7">
        <v>1</v>
      </c>
    </row>
    <row r="1114" spans="1:3" x14ac:dyDescent="0.2">
      <c r="A1114" s="208" t="s">
        <v>4364</v>
      </c>
      <c r="B1114" s="207">
        <f>IF(ISBLANK(NeoDataInfB!$B$47),"",NeoDataInfB!$B$47)</f>
        <v>1</v>
      </c>
      <c r="C1114" s="7">
        <v>1</v>
      </c>
    </row>
    <row r="1115" spans="1:3" x14ac:dyDescent="0.2">
      <c r="A1115" s="208" t="s">
        <v>3935</v>
      </c>
      <c r="B1115" s="207">
        <f>IF(ISBLANK(NeoDataInfB!$B$48),"",NeoDataInfB!$B$48)</f>
        <v>0</v>
      </c>
      <c r="C1115" s="210">
        <v>0</v>
      </c>
    </row>
    <row r="1116" spans="1:3" x14ac:dyDescent="0.2">
      <c r="A1116" s="208" t="s">
        <v>3936</v>
      </c>
      <c r="B1116" s="207">
        <f>IF(ISBLANK(NeoDataInfB!$B$49),"",NeoDataInfB!$B$49)</f>
        <v>0</v>
      </c>
      <c r="C1116" s="210">
        <v>0</v>
      </c>
    </row>
    <row r="1117" spans="1:3" x14ac:dyDescent="0.2">
      <c r="A1117" s="208" t="s">
        <v>3937</v>
      </c>
      <c r="B1117" s="207">
        <f>IF(ISBLANK(NeoDataInfB!$B$50),"",NeoDataInfB!$B$50)</f>
        <v>0</v>
      </c>
      <c r="C1117" s="210">
        <v>0</v>
      </c>
    </row>
    <row r="1118" spans="1:3" x14ac:dyDescent="0.2">
      <c r="A1118" s="208" t="s">
        <v>3938</v>
      </c>
      <c r="B1118" s="207">
        <f>IF(ISBLANK(NeoDataInfB!$B$51),"",NeoDataInfB!$B$51)</f>
        <v>0</v>
      </c>
      <c r="C1118" s="210">
        <v>0</v>
      </c>
    </row>
    <row r="1119" spans="1:3" x14ac:dyDescent="0.2">
      <c r="A1119" s="208" t="s">
        <v>3939</v>
      </c>
      <c r="B1119" s="207">
        <f>IF(ISBLANK(NeoDataInfB!$B$52),"",NeoDataInfB!$B$52)</f>
        <v>0</v>
      </c>
      <c r="C1119" s="210">
        <v>0</v>
      </c>
    </row>
    <row r="1120" spans="1:3" x14ac:dyDescent="0.2">
      <c r="A1120" s="208" t="s">
        <v>3940</v>
      </c>
      <c r="B1120" s="207">
        <f>IF(ISBLANK(NeoDataInfB!$B$53),"",NeoDataInfB!$B$53)</f>
        <v>0</v>
      </c>
      <c r="C1120" s="210">
        <v>0</v>
      </c>
    </row>
    <row r="1121" spans="1:5" x14ac:dyDescent="0.2">
      <c r="A1121" s="208" t="s">
        <v>3941</v>
      </c>
      <c r="B1121" s="207">
        <f>IF(ISBLANK(NeoDataInfB!$B$54),"",NeoDataInfB!$B$54)</f>
        <v>0</v>
      </c>
      <c r="C1121" s="210">
        <v>0</v>
      </c>
    </row>
    <row r="1122" spans="1:5" x14ac:dyDescent="0.2">
      <c r="A1122" s="208" t="s">
        <v>3942</v>
      </c>
      <c r="B1122" s="207">
        <f>IF(ISBLANK(NeoDataInfB!$B$55),"",NeoDataInfB!$B$55)</f>
        <v>0</v>
      </c>
      <c r="C1122" s="210">
        <v>0</v>
      </c>
    </row>
    <row r="1123" spans="1:5" x14ac:dyDescent="0.2">
      <c r="A1123" s="208" t="s">
        <v>3943</v>
      </c>
      <c r="B1123" s="207">
        <f>IF(ISBLANK(NeoDataInfB!$B$56),"",NeoDataInfB!$B$56)</f>
        <v>0</v>
      </c>
      <c r="C1123" s="210">
        <v>0</v>
      </c>
    </row>
    <row r="1124" spans="1:5" x14ac:dyDescent="0.2">
      <c r="A1124" s="208" t="s">
        <v>3944</v>
      </c>
      <c r="B1124" s="207">
        <f>IF(ISBLANK(NeoDataInfB!$B$57),"",NeoDataInfB!$B$57)</f>
        <v>0</v>
      </c>
      <c r="C1124" s="210">
        <v>0</v>
      </c>
    </row>
    <row r="1125" spans="1:5" x14ac:dyDescent="0.2">
      <c r="A1125" s="208" t="s">
        <v>3945</v>
      </c>
      <c r="B1125" s="207">
        <f>IF(ISBLANK(NeoDataInfB!$B$58),"",NeoDataInfB!$B$58)</f>
        <v>0</v>
      </c>
      <c r="C1125" s="210">
        <v>0</v>
      </c>
    </row>
    <row r="1126" spans="1:5" x14ac:dyDescent="0.2">
      <c r="A1126" s="208" t="s">
        <v>3946</v>
      </c>
      <c r="B1126" s="207">
        <f>IF(ISBLANK(NeoDataInfB!$B$59),"",NeoDataInfB!$B$59)</f>
        <v>0</v>
      </c>
      <c r="C1126" s="210">
        <v>0</v>
      </c>
    </row>
    <row r="1127" spans="1:5" x14ac:dyDescent="0.2">
      <c r="A1127" s="208" t="s">
        <v>4365</v>
      </c>
      <c r="B1127" s="207">
        <f>IF(ISBLANK(NeoDataInfB!$B$60),"",NeoDataInfB!$B$60)</f>
        <v>0</v>
      </c>
      <c r="C1127" s="210">
        <v>0</v>
      </c>
    </row>
    <row r="1128" spans="1:5" x14ac:dyDescent="0.2">
      <c r="A1128" s="208" t="s">
        <v>3947</v>
      </c>
      <c r="B1128" s="207" t="b">
        <f>IF(ISBLANK(NeoDataInfB!$B$61),"",NeoDataInfB!$B$61)</f>
        <v>0</v>
      </c>
      <c r="C1128" s="7" t="b">
        <v>0</v>
      </c>
    </row>
    <row r="1129" spans="1:5" x14ac:dyDescent="0.2">
      <c r="A1129" s="208" t="s">
        <v>3948</v>
      </c>
      <c r="B1129" s="207" t="b">
        <f>IF(ISBLANK(NeoDataInfB!$B$62),"",NeoDataInfB!$B$62)</f>
        <v>0</v>
      </c>
      <c r="C1129" s="7" t="b">
        <v>0</v>
      </c>
    </row>
    <row r="1130" spans="1:5" x14ac:dyDescent="0.2">
      <c r="A1130" s="208" t="s">
        <v>3949</v>
      </c>
      <c r="B1130" s="207" t="b">
        <f>IF(ISBLANK(NeoDataInfB!$B$63),"",NeoDataInfB!$B$63)</f>
        <v>0</v>
      </c>
      <c r="C1130" s="7" t="b">
        <v>0</v>
      </c>
    </row>
    <row r="1131" spans="1:5" x14ac:dyDescent="0.2">
      <c r="A1131" s="208" t="s">
        <v>3950</v>
      </c>
      <c r="B1131" s="207" t="b">
        <f>IF(ISBLANK(NeoDataInfB!$B$64),"",NeoDataInfB!$B$64)</f>
        <v>0</v>
      </c>
      <c r="C1131" s="7" t="b">
        <v>0</v>
      </c>
    </row>
    <row r="1132" spans="1:5" x14ac:dyDescent="0.2">
      <c r="A1132" s="208" t="s">
        <v>3951</v>
      </c>
      <c r="B1132" s="207" t="b">
        <f>IF(ISBLANK(NeoDataInfB!$B$65),"",NeoDataInfB!$B$65)</f>
        <v>0</v>
      </c>
      <c r="C1132" s="7" t="b">
        <v>0</v>
      </c>
      <c r="E1132" s="208"/>
    </row>
    <row r="1133" spans="1:5" x14ac:dyDescent="0.2">
      <c r="A1133" s="208" t="s">
        <v>3952</v>
      </c>
      <c r="B1133" s="207" t="b">
        <f>IF(ISBLANK(NeoDataInfB!$B$66),"",NeoDataInfB!$B$66)</f>
        <v>0</v>
      </c>
      <c r="C1133" s="7" t="b">
        <v>0</v>
      </c>
      <c r="D1133" s="208"/>
    </row>
    <row r="1134" spans="1:5" x14ac:dyDescent="0.2">
      <c r="A1134" s="208" t="s">
        <v>3953</v>
      </c>
      <c r="B1134" s="207" t="b">
        <f>IF(ISBLANK(NeoDataInfB!$B$67),"",NeoDataInfB!$B$67)</f>
        <v>0</v>
      </c>
      <c r="C1134" s="7" t="b">
        <v>0</v>
      </c>
    </row>
    <row r="1135" spans="1:5" x14ac:dyDescent="0.2">
      <c r="A1135" s="208" t="s">
        <v>3954</v>
      </c>
      <c r="B1135" s="207" t="b">
        <f>IF(ISBLANK(NeoDataInfB!$B$68),"",NeoDataInfB!$B$68)</f>
        <v>0</v>
      </c>
      <c r="C1135" s="7" t="b">
        <v>0</v>
      </c>
    </row>
    <row r="1136" spans="1:5" x14ac:dyDescent="0.2">
      <c r="A1136" s="208" t="s">
        <v>3955</v>
      </c>
      <c r="B1136" s="207" t="b">
        <f>IF(ISBLANK(NeoDataInfB!$B$69),"",NeoDataInfB!$B$69)</f>
        <v>0</v>
      </c>
      <c r="C1136" s="7" t="b">
        <v>0</v>
      </c>
    </row>
    <row r="1137" spans="1:3" x14ac:dyDescent="0.2">
      <c r="A1137" s="208" t="s">
        <v>3956</v>
      </c>
      <c r="B1137" s="207" t="b">
        <f>IF(ISBLANK(NeoDataInfB!$B$70),"",NeoDataInfB!$B$70)</f>
        <v>0</v>
      </c>
      <c r="C1137" s="7" t="b">
        <v>0</v>
      </c>
    </row>
    <row r="1138" spans="1:3" x14ac:dyDescent="0.2">
      <c r="A1138" s="208" t="s">
        <v>3957</v>
      </c>
      <c r="B1138" s="207" t="b">
        <f>IF(ISBLANK(NeoDataInfB!$B$71),"",NeoDataInfB!$B$71)</f>
        <v>0</v>
      </c>
      <c r="C1138" s="208" t="b">
        <v>0</v>
      </c>
    </row>
    <row r="1139" spans="1:3" x14ac:dyDescent="0.2">
      <c r="A1139" s="208" t="s">
        <v>3958</v>
      </c>
      <c r="B1139" s="799" t="b">
        <f>IF(ISBLANK(NeoDataInfB!$B$72),"",NeoDataInfB!$B$72)</f>
        <v>0</v>
      </c>
      <c r="C1139" s="208" t="b">
        <v>0</v>
      </c>
    </row>
    <row r="1140" spans="1:3" x14ac:dyDescent="0.2">
      <c r="A1140" s="208" t="s">
        <v>3959</v>
      </c>
      <c r="B1140" s="799" t="b">
        <f>IF(ISBLANK(NeoDataInfB!$B$73),"",NeoDataInfB!$B$73)</f>
        <v>0</v>
      </c>
      <c r="C1140" s="208" t="b">
        <v>0</v>
      </c>
    </row>
    <row r="1141" spans="1:3" x14ac:dyDescent="0.2">
      <c r="A1141" s="208" t="s">
        <v>3960</v>
      </c>
      <c r="B1141" s="799" t="b">
        <f>IF(ISBLANK(NeoDataInfB!$B$74),"",NeoDataInfB!$B$74)</f>
        <v>0</v>
      </c>
      <c r="C1141" s="208" t="b">
        <v>0</v>
      </c>
    </row>
    <row r="1142" spans="1:3" x14ac:dyDescent="0.2">
      <c r="A1142" s="209" t="s">
        <v>4508</v>
      </c>
      <c r="B1142" s="799">
        <f>IF(ISBLANK(NeoDataInfB!$B$75),"",NeoDataInfB!$B$75)</f>
        <v>2</v>
      </c>
      <c r="C1142" s="208">
        <v>2</v>
      </c>
    </row>
    <row r="1143" spans="1:3" x14ac:dyDescent="0.2">
      <c r="A1143" s="208" t="s">
        <v>3961</v>
      </c>
      <c r="B1143" s="799">
        <f>IF(ISBLANK(NeoDataInfB!$B$76),"",NeoDataInfB!$B$76)</f>
        <v>0</v>
      </c>
      <c r="C1143" s="7">
        <v>0</v>
      </c>
    </row>
    <row r="1144" spans="1:3" x14ac:dyDescent="0.2">
      <c r="A1144" s="208" t="s">
        <v>3962</v>
      </c>
      <c r="B1144" s="799">
        <f>IF(ISBLANK(NeoDataInfB!$B$77),"",NeoDataInfB!$B$77)</f>
        <v>0</v>
      </c>
      <c r="C1144" s="7">
        <v>0</v>
      </c>
    </row>
    <row r="1145" spans="1:3" x14ac:dyDescent="0.2">
      <c r="A1145" s="208" t="s">
        <v>3963</v>
      </c>
      <c r="B1145" s="799">
        <f>IF(ISBLANK(NeoDataInfB!$B$78),"",NeoDataInfB!$B$78)</f>
        <v>0</v>
      </c>
      <c r="C1145" s="210">
        <v>0</v>
      </c>
    </row>
    <row r="1146" spans="1:3" x14ac:dyDescent="0.2">
      <c r="A1146" s="208" t="s">
        <v>3964</v>
      </c>
      <c r="B1146" s="799">
        <f>IF(ISBLANK(NeoDataInfB!$B$79),"",NeoDataInfB!$B$79)</f>
        <v>0</v>
      </c>
      <c r="C1146" s="210">
        <v>0</v>
      </c>
    </row>
    <row r="1147" spans="1:3" x14ac:dyDescent="0.2">
      <c r="A1147" s="208" t="s">
        <v>3965</v>
      </c>
      <c r="B1147" s="799">
        <f>IF(ISBLANK(NeoDataInfB!$B$80),"",NeoDataInfB!$B$80)</f>
        <v>1</v>
      </c>
      <c r="C1147" s="7">
        <v>1</v>
      </c>
    </row>
    <row r="1148" spans="1:3" x14ac:dyDescent="0.2">
      <c r="A1148" s="208" t="s">
        <v>3966</v>
      </c>
      <c r="B1148" s="799">
        <f>IF(ISBLANK(NeoDataInfB!$B$81),"",NeoDataInfB!$B$81)</f>
        <v>1</v>
      </c>
      <c r="C1148" s="7">
        <v>1</v>
      </c>
    </row>
    <row r="1149" spans="1:3" x14ac:dyDescent="0.2">
      <c r="A1149" s="208" t="s">
        <v>3967</v>
      </c>
      <c r="B1149" s="799">
        <f>IF(ISBLANK(NeoDataInfB!$B$82),"",NeoDataInfB!$B$82)</f>
        <v>1</v>
      </c>
      <c r="C1149" s="7">
        <v>1</v>
      </c>
    </row>
    <row r="1150" spans="1:3" x14ac:dyDescent="0.2">
      <c r="A1150" s="208" t="s">
        <v>3968</v>
      </c>
      <c r="B1150" s="799">
        <f>IF(ISBLANK(NeoDataInfB!$B$83),"",NeoDataInfB!$B$83)</f>
        <v>1</v>
      </c>
      <c r="C1150" s="7">
        <v>1</v>
      </c>
    </row>
    <row r="1151" spans="1:3" x14ac:dyDescent="0.2">
      <c r="A1151" s="208" t="s">
        <v>3969</v>
      </c>
      <c r="B1151" s="799">
        <f>IF(ISBLANK(NeoDataInfB!$B$84),"",NeoDataInfB!$B$84)</f>
        <v>1</v>
      </c>
      <c r="C1151" s="7">
        <v>1</v>
      </c>
    </row>
    <row r="1152" spans="1:3" x14ac:dyDescent="0.2">
      <c r="A1152" s="208" t="s">
        <v>3970</v>
      </c>
      <c r="B1152" s="799">
        <f>IF(ISBLANK(NeoDataInfB!$B$85),"",NeoDataInfB!$B$85)</f>
        <v>1</v>
      </c>
      <c r="C1152" s="7">
        <v>1</v>
      </c>
    </row>
    <row r="1153" spans="1:3" x14ac:dyDescent="0.2">
      <c r="A1153" s="208" t="s">
        <v>3971</v>
      </c>
      <c r="B1153">
        <f>IF(ISBLANK(NeoDataInfB!$B$86),"",NeoDataInfB!$B$86)</f>
        <v>1</v>
      </c>
      <c r="C1153" s="7">
        <v>1</v>
      </c>
    </row>
    <row r="1154" spans="1:3" x14ac:dyDescent="0.2">
      <c r="A1154" s="208" t="s">
        <v>3972</v>
      </c>
      <c r="B1154">
        <f>IF(ISBLANK(NeoDataInfB!$B$87),"",NeoDataInfB!$B$87)</f>
        <v>1</v>
      </c>
      <c r="C1154" s="7">
        <v>1</v>
      </c>
    </row>
    <row r="1155" spans="1:3" x14ac:dyDescent="0.2">
      <c r="A1155" s="208" t="s">
        <v>3973</v>
      </c>
      <c r="B1155">
        <f>IF(ISBLANK(NeoDataInfB!$B$88),"",NeoDataInfB!$B$88)</f>
        <v>1</v>
      </c>
      <c r="C1155" s="7">
        <v>1</v>
      </c>
    </row>
    <row r="1156" spans="1:3" x14ac:dyDescent="0.2">
      <c r="A1156" s="208" t="s">
        <v>3974</v>
      </c>
      <c r="B1156">
        <f>IF(ISBLANK(NeoDataInfB!$B$89),"",NeoDataInfB!$B$89)</f>
        <v>1</v>
      </c>
      <c r="C1156" s="7">
        <v>1</v>
      </c>
    </row>
    <row r="1157" spans="1:3" x14ac:dyDescent="0.2">
      <c r="A1157" s="208" t="s">
        <v>3975</v>
      </c>
      <c r="B1157">
        <f>IF(ISBLANK(NeoDataInfB!$B$90),"",NeoDataInfB!$B$90)</f>
        <v>1</v>
      </c>
      <c r="C1157" s="7">
        <v>1</v>
      </c>
    </row>
    <row r="1158" spans="1:3" x14ac:dyDescent="0.2">
      <c r="A1158" s="208" t="s">
        <v>3976</v>
      </c>
      <c r="B1158">
        <f>IF(ISBLANK(NeoDataInfB!$B$91),"",NeoDataInfB!$B$91)</f>
        <v>1</v>
      </c>
      <c r="C1158" s="7">
        <v>1</v>
      </c>
    </row>
    <row r="1159" spans="1:3" x14ac:dyDescent="0.2">
      <c r="A1159" s="208" t="s">
        <v>3977</v>
      </c>
      <c r="B1159">
        <f>IF(ISBLANK(NeoDataInfB!$B$92),"",NeoDataInfB!$B$92)</f>
        <v>1</v>
      </c>
      <c r="C1159" s="7">
        <v>1</v>
      </c>
    </row>
    <row r="1160" spans="1:3" x14ac:dyDescent="0.2">
      <c r="A1160" s="208" t="s">
        <v>3978</v>
      </c>
      <c r="B1160">
        <f>IF(ISBLANK(NeoDataInfB!$B$93),"",NeoDataInfB!$B$93)</f>
        <v>1</v>
      </c>
      <c r="C1160" s="7">
        <v>1</v>
      </c>
    </row>
    <row r="1161" spans="1:3" x14ac:dyDescent="0.2">
      <c r="A1161" s="208" t="s">
        <v>3979</v>
      </c>
      <c r="B1161">
        <f>IF(ISBLANK(NeoDataInfB!$B$94),"",NeoDataInfB!$B$94)</f>
        <v>1</v>
      </c>
      <c r="C1161" s="7">
        <v>1</v>
      </c>
    </row>
    <row r="1162" spans="1:3" x14ac:dyDescent="0.2">
      <c r="A1162" s="208" t="s">
        <v>3980</v>
      </c>
      <c r="B1162">
        <f>IF(ISBLANK(NeoDataInfB!$B$95),"",NeoDataInfB!$B$95)</f>
        <v>1</v>
      </c>
      <c r="C1162" s="7">
        <v>1</v>
      </c>
    </row>
    <row r="1163" spans="1:3" x14ac:dyDescent="0.2">
      <c r="A1163" s="208" t="s">
        <v>3981</v>
      </c>
      <c r="B1163">
        <f>IF(ISBLANK(NeoDataInfB!$B$96),"",NeoDataInfB!$B$96)</f>
        <v>1</v>
      </c>
      <c r="C1163" s="7">
        <v>1</v>
      </c>
    </row>
    <row r="1164" spans="1:3" x14ac:dyDescent="0.2">
      <c r="A1164" s="208" t="s">
        <v>3982</v>
      </c>
      <c r="B1164" s="208">
        <f>IF(ISBLANK(NeoDataInfB!$B$97),"",NeoDataInfB!$B$97)</f>
        <v>1</v>
      </c>
      <c r="C1164" s="208">
        <v>1</v>
      </c>
    </row>
    <row r="1165" spans="1:3" x14ac:dyDescent="0.2">
      <c r="A1165" s="208" t="s">
        <v>3983</v>
      </c>
      <c r="B1165">
        <f>IF(ISBLANK(NeoDataInfB!$B$98),"",NeoDataInfB!$B$98)</f>
        <v>5000</v>
      </c>
      <c r="C1165" s="208">
        <v>5000</v>
      </c>
    </row>
    <row r="1166" spans="1:3" x14ac:dyDescent="0.2">
      <c r="A1166" s="208" t="s">
        <v>3984</v>
      </c>
      <c r="B1166">
        <f>IF(ISBLANK(NeoDataInfB!$B$99),"",NeoDataInfB!$B$99)</f>
        <v>1</v>
      </c>
      <c r="C1166" s="208">
        <v>1</v>
      </c>
    </row>
    <row r="1167" spans="1:3" x14ac:dyDescent="0.2">
      <c r="A1167" s="208" t="s">
        <v>3985</v>
      </c>
      <c r="B1167" s="208">
        <f>IF(ISBLANK(NeoDataInfB!$B$100),"",NeoDataInfB!$B$100)</f>
        <v>2</v>
      </c>
      <c r="C1167" s="208">
        <v>2</v>
      </c>
    </row>
    <row r="1168" spans="1:3" x14ac:dyDescent="0.2">
      <c r="A1168" s="208" t="s">
        <v>3986</v>
      </c>
      <c r="B1168" s="208">
        <f>IF(ISBLANK(NeoDataInfB!$B$101),"",NeoDataInfB!$B$101)</f>
        <v>2</v>
      </c>
      <c r="C1168" s="208">
        <v>2</v>
      </c>
    </row>
    <row r="1169" spans="1:3" x14ac:dyDescent="0.2">
      <c r="A1169" s="208" t="s">
        <v>3987</v>
      </c>
      <c r="B1169">
        <f>IF(ISBLANK(NeoDataInfB!$B$102),"",NeoDataInfB!$B$102)</f>
        <v>0</v>
      </c>
      <c r="C1169" s="208">
        <v>0</v>
      </c>
    </row>
    <row r="1170" spans="1:3" x14ac:dyDescent="0.2">
      <c r="A1170" s="208" t="s">
        <v>3988</v>
      </c>
      <c r="B1170">
        <f>IF(ISBLANK(NeoDataInfB!$B$103),"",NeoDataInfB!$B$103)</f>
        <v>5000</v>
      </c>
      <c r="C1170" s="208">
        <v>5000</v>
      </c>
    </row>
    <row r="1171" spans="1:3" x14ac:dyDescent="0.2">
      <c r="A1171" s="208" t="s">
        <v>3989</v>
      </c>
      <c r="B1171">
        <f>IF(ISBLANK(NeoDataInfB!$B$104),"",NeoDataInfB!$B$104)</f>
        <v>1</v>
      </c>
      <c r="C1171" s="208">
        <v>1</v>
      </c>
    </row>
    <row r="1172" spans="1:3" x14ac:dyDescent="0.2">
      <c r="A1172" s="208" t="s">
        <v>3990</v>
      </c>
      <c r="B1172">
        <f>IF(ISBLANK(NeoDataInfB!$B$105),"",NeoDataInfB!$B$105)</f>
        <v>5000</v>
      </c>
      <c r="C1172" s="208">
        <v>5000</v>
      </c>
    </row>
    <row r="1173" spans="1:3" x14ac:dyDescent="0.2">
      <c r="A1173" s="208" t="s">
        <v>3991</v>
      </c>
      <c r="B1173" s="208">
        <f>IF(ISBLANK(NeoDataInfB!$B$106),"",NeoDataInfB!$B$106)</f>
        <v>5000</v>
      </c>
      <c r="C1173" s="208">
        <v>5000</v>
      </c>
    </row>
    <row r="1174" spans="1:3" x14ac:dyDescent="0.2">
      <c r="A1174" s="209" t="s">
        <v>4738</v>
      </c>
      <c r="B1174" s="208">
        <f>IF(ISBLANK(NeoDataInfB!$B$107),"",NeoDataInfB!$B$107)</f>
        <v>5000</v>
      </c>
      <c r="C1174" s="208">
        <v>5000</v>
      </c>
    </row>
    <row r="1175" spans="1:3" x14ac:dyDescent="0.2">
      <c r="A1175" s="208" t="s">
        <v>3993</v>
      </c>
      <c r="B1175">
        <f>IF(ISBLANK(NeoDataInfB!$B$108),"",NeoDataInfB!$B$108)</f>
        <v>5000</v>
      </c>
      <c r="C1175" s="208">
        <v>5000</v>
      </c>
    </row>
    <row r="1176" spans="1:3" x14ac:dyDescent="0.2">
      <c r="A1176" s="208" t="s">
        <v>3994</v>
      </c>
      <c r="B1176" t="b">
        <f>IF(ISBLANK(NeoDataInfB!$B$109),"",NeoDataInfB!$B$109)</f>
        <v>0</v>
      </c>
      <c r="C1176" s="208" t="b">
        <v>0</v>
      </c>
    </row>
    <row r="1177" spans="1:3" x14ac:dyDescent="0.2">
      <c r="A1177" s="208" t="s">
        <v>3995</v>
      </c>
      <c r="B1177">
        <f>IF(ISBLANK(NeoDataInfB!$B$110),"",NeoDataInfB!$B$110)</f>
        <v>5000</v>
      </c>
      <c r="C1177" s="208">
        <v>5000</v>
      </c>
    </row>
    <row r="1178" spans="1:3" x14ac:dyDescent="0.2">
      <c r="A1178" s="209" t="s">
        <v>4739</v>
      </c>
      <c r="B1178">
        <f>IF(ISBLANK(NeoDataInfB!$B$111),"",NeoDataInfB!$B$111)</f>
        <v>5000</v>
      </c>
      <c r="C1178" s="208">
        <v>5000</v>
      </c>
    </row>
    <row r="1179" spans="1:3" x14ac:dyDescent="0.2">
      <c r="A1179" s="208" t="s">
        <v>3997</v>
      </c>
      <c r="B1179">
        <f>IF(ISBLANK(NeoDataInfB!$B$112),"",NeoDataInfB!$B$112)</f>
        <v>5000</v>
      </c>
      <c r="C1179" s="208">
        <v>5000</v>
      </c>
    </row>
    <row r="1180" spans="1:3" x14ac:dyDescent="0.2">
      <c r="A1180" s="208" t="s">
        <v>2210</v>
      </c>
      <c r="B1180" t="b">
        <f>IF(ISBLANK(NeoBerLab!$M$4),"",NeoBerLab!$M$4)</f>
        <v>0</v>
      </c>
      <c r="C1180" s="208" t="b">
        <v>0</v>
      </c>
    </row>
    <row r="1181" spans="1:3" x14ac:dyDescent="0.2">
      <c r="A1181" s="208" t="s">
        <v>2211</v>
      </c>
      <c r="B1181" t="b">
        <f>IF(ISBLANK(NeoBerLab!$M$5),"",NeoBerLab!$M$5)</f>
        <v>0</v>
      </c>
      <c r="C1181" s="208" t="b">
        <v>0</v>
      </c>
    </row>
    <row r="1182" spans="1:3" x14ac:dyDescent="0.2">
      <c r="A1182" s="208" t="s">
        <v>2212</v>
      </c>
      <c r="B1182" t="b">
        <f>IF(ISBLANK(NeoBerLab!$M$6),"",NeoBerLab!$M$6)</f>
        <v>0</v>
      </c>
      <c r="C1182" s="208" t="b">
        <v>0</v>
      </c>
    </row>
    <row r="1183" spans="1:3" x14ac:dyDescent="0.2">
      <c r="A1183" s="208" t="s">
        <v>2213</v>
      </c>
      <c r="B1183" t="b">
        <f>IF(ISBLANK(NeoBerLab!$M$7),"",NeoBerLab!$M$7)</f>
        <v>0</v>
      </c>
      <c r="C1183" s="208" t="b">
        <v>0</v>
      </c>
    </row>
    <row r="1184" spans="1:3" x14ac:dyDescent="0.2">
      <c r="A1184" s="208" t="s">
        <v>2214</v>
      </c>
      <c r="B1184" t="b">
        <f>IF(ISBLANK(NeoBerLab!$M$8),"",NeoBerLab!$M$8)</f>
        <v>0</v>
      </c>
      <c r="C1184" s="208" t="b">
        <v>0</v>
      </c>
    </row>
    <row r="1185" spans="1:6" x14ac:dyDescent="0.2">
      <c r="A1185" s="208" t="s">
        <v>2215</v>
      </c>
      <c r="B1185" t="b">
        <f>IF(ISBLANK(NeoBerLab!$M$9),"",NeoBerLab!$M$9)</f>
        <v>0</v>
      </c>
      <c r="C1185" s="208" t="b">
        <v>0</v>
      </c>
    </row>
    <row r="1186" spans="1:6" x14ac:dyDescent="0.2">
      <c r="A1186" s="208" t="s">
        <v>2216</v>
      </c>
      <c r="B1186" t="b">
        <f>IF(ISBLANK(NeoBerLab!$M$10),"",NeoBerLab!$M$10)</f>
        <v>0</v>
      </c>
      <c r="C1186" s="208" t="b">
        <v>0</v>
      </c>
    </row>
    <row r="1187" spans="1:6" x14ac:dyDescent="0.2">
      <c r="A1187" s="208" t="s">
        <v>2217</v>
      </c>
      <c r="B1187" t="b">
        <f>IF(ISBLANK(NeoBerLab!$M$11),"",NeoBerLab!$M$11)</f>
        <v>0</v>
      </c>
      <c r="C1187" s="208" t="b">
        <v>0</v>
      </c>
    </row>
    <row r="1188" spans="1:6" x14ac:dyDescent="0.2">
      <c r="A1188" s="208" t="s">
        <v>2218</v>
      </c>
      <c r="B1188" t="b">
        <f>IF(ISBLANK(NeoBerLab!$M$12),"",NeoBerLab!$M$12)</f>
        <v>0</v>
      </c>
      <c r="C1188" s="208" t="b">
        <v>0</v>
      </c>
    </row>
    <row r="1189" spans="1:6" x14ac:dyDescent="0.2">
      <c r="A1189" s="208" t="s">
        <v>2219</v>
      </c>
      <c r="B1189" t="b">
        <f>IF(ISBLANK(NeoBerLab!$M$13),"",NeoBerLab!$M$13)</f>
        <v>0</v>
      </c>
      <c r="C1189" s="208" t="b">
        <v>0</v>
      </c>
    </row>
    <row r="1190" spans="1:6" x14ac:dyDescent="0.2">
      <c r="A1190" s="208" t="s">
        <v>2220</v>
      </c>
      <c r="B1190" t="b">
        <f>IF(ISBLANK(NeoBerLab!$M$14),"",NeoBerLab!$M$14)</f>
        <v>0</v>
      </c>
      <c r="C1190" s="208" t="b">
        <v>0</v>
      </c>
    </row>
    <row r="1191" spans="1:6" x14ac:dyDescent="0.2">
      <c r="A1191" s="208" t="s">
        <v>2221</v>
      </c>
      <c r="B1191" t="b">
        <f>IF(ISBLANK(NeoBerLab!$M$15),"",NeoBerLab!$M$15)</f>
        <v>0</v>
      </c>
      <c r="C1191" s="208" t="b">
        <v>0</v>
      </c>
    </row>
    <row r="1192" spans="1:6" x14ac:dyDescent="0.2">
      <c r="A1192" s="208" t="s">
        <v>2222</v>
      </c>
      <c r="B1192" t="b">
        <f>IF(ISBLANK(NeoBerLab!$M$16),"",NeoBerLab!$M$16)</f>
        <v>0</v>
      </c>
      <c r="C1192" s="208" t="b">
        <v>0</v>
      </c>
    </row>
    <row r="1193" spans="1:6" x14ac:dyDescent="0.2">
      <c r="A1193" s="208" t="s">
        <v>2223</v>
      </c>
      <c r="B1193" t="b">
        <f>IF(ISBLANK(NeoBerLab!$M$17),"",NeoBerLab!$M$17)</f>
        <v>0</v>
      </c>
      <c r="C1193" s="208" t="b">
        <v>0</v>
      </c>
    </row>
    <row r="1194" spans="1:6" x14ac:dyDescent="0.2">
      <c r="A1194" s="208" t="s">
        <v>2224</v>
      </c>
      <c r="B1194" t="b">
        <f>IF(ISBLANK(NeoBerLab!$M$18),"",NeoBerLab!$M$18)</f>
        <v>0</v>
      </c>
      <c r="C1194" s="208" t="b">
        <v>0</v>
      </c>
    </row>
    <row r="1195" spans="1:6" s="208" customFormat="1" x14ac:dyDescent="0.2">
      <c r="A1195" s="208" t="s">
        <v>2225</v>
      </c>
      <c r="B1195" t="b">
        <f>IF(ISBLANK(NeoBerLab!$M$19),"",NeoBerLab!$M$19)</f>
        <v>0</v>
      </c>
      <c r="C1195" s="208" t="b">
        <v>0</v>
      </c>
      <c r="D1195"/>
      <c r="E1195"/>
      <c r="F1195"/>
    </row>
    <row r="1196" spans="1:6" s="208" customFormat="1" x14ac:dyDescent="0.2">
      <c r="A1196" s="208" t="s">
        <v>2226</v>
      </c>
      <c r="B1196" t="b">
        <f>IF(ISBLANK(NeoBerLab!$M$20),"",NeoBerLab!$M$20)</f>
        <v>0</v>
      </c>
      <c r="C1196" s="208" t="b">
        <v>0</v>
      </c>
      <c r="D1196"/>
      <c r="E1196"/>
      <c r="F1196"/>
    </row>
    <row r="1197" spans="1:6" s="208" customFormat="1" x14ac:dyDescent="0.2">
      <c r="A1197" s="208" t="s">
        <v>2227</v>
      </c>
      <c r="B1197" t="b">
        <f>IF(ISBLANK(NeoBerLab!$M$21),"",NeoBerLab!$M$21)</f>
        <v>0</v>
      </c>
      <c r="C1197" s="208" t="b">
        <v>0</v>
      </c>
      <c r="D1197"/>
      <c r="E1197"/>
      <c r="F1197"/>
    </row>
    <row r="1198" spans="1:6" x14ac:dyDescent="0.2">
      <c r="A1198" s="208" t="s">
        <v>2228</v>
      </c>
      <c r="B1198" t="b">
        <f>IF(ISBLANK(NeoBerLab!$M$22),"",NeoBerLab!$M$22)</f>
        <v>0</v>
      </c>
      <c r="C1198" s="208" t="b">
        <v>0</v>
      </c>
    </row>
    <row r="1199" spans="1:6" x14ac:dyDescent="0.2">
      <c r="A1199" s="208" t="s">
        <v>2229</v>
      </c>
      <c r="B1199" t="b">
        <f>IF(ISBLANK(NeoBerLab!$M$23),"",NeoBerLab!$M$23)</f>
        <v>0</v>
      </c>
      <c r="C1199" s="208" t="b">
        <v>0</v>
      </c>
    </row>
    <row r="1200" spans="1:6" x14ac:dyDescent="0.2">
      <c r="A1200" s="208" t="s">
        <v>2230</v>
      </c>
      <c r="B1200" t="b">
        <f>IF(ISBLANK(NeoBerLab!$M$24),"",NeoBerLab!$M$24)</f>
        <v>0</v>
      </c>
      <c r="C1200" s="208" t="b">
        <v>0</v>
      </c>
    </row>
    <row r="1201" spans="1:3" x14ac:dyDescent="0.2">
      <c r="A1201" s="208" t="s">
        <v>2231</v>
      </c>
      <c r="B1201" t="b">
        <f>IF(ISBLANK(NeoBerLab!$M$25),"",NeoBerLab!$M$25)</f>
        <v>0</v>
      </c>
      <c r="C1201" s="208" t="b">
        <v>0</v>
      </c>
    </row>
    <row r="1202" spans="1:3" x14ac:dyDescent="0.2">
      <c r="A1202" s="208" t="s">
        <v>2232</v>
      </c>
      <c r="B1202" t="b">
        <f>IF(ISBLANK(NeoBerLab!$M$26),"",NeoBerLab!$M$26)</f>
        <v>0</v>
      </c>
      <c r="C1202" s="208" t="b">
        <v>0</v>
      </c>
    </row>
    <row r="1203" spans="1:3" x14ac:dyDescent="0.2">
      <c r="A1203" s="208" t="s">
        <v>2233</v>
      </c>
      <c r="B1203" t="b">
        <f>IF(ISBLANK(NeoBerLab!$M$27),"",NeoBerLab!$M$27)</f>
        <v>0</v>
      </c>
      <c r="C1203" s="208" t="b">
        <v>0</v>
      </c>
    </row>
    <row r="1204" spans="1:3" x14ac:dyDescent="0.2">
      <c r="A1204" s="208" t="s">
        <v>2234</v>
      </c>
      <c r="B1204" t="b">
        <f>IF(ISBLANK(NeoBerLab!$M$28),"",NeoBerLab!$M$28)</f>
        <v>0</v>
      </c>
      <c r="C1204" s="208" t="b">
        <v>0</v>
      </c>
    </row>
    <row r="1205" spans="1:3" x14ac:dyDescent="0.2">
      <c r="A1205" s="208" t="s">
        <v>2235</v>
      </c>
      <c r="B1205" t="b">
        <f>IF(ISBLANK(NeoBerLab!$M$29),"",NeoBerLab!$M$29)</f>
        <v>0</v>
      </c>
      <c r="C1205" s="208" t="b">
        <v>0</v>
      </c>
    </row>
    <row r="1206" spans="1:3" x14ac:dyDescent="0.2">
      <c r="A1206" s="208" t="s">
        <v>2236</v>
      </c>
      <c r="B1206" t="b">
        <f>IF(ISBLANK(NeoBerLab!$M$30),"",NeoBerLab!$M$30)</f>
        <v>0</v>
      </c>
      <c r="C1206" s="208" t="b">
        <v>0</v>
      </c>
    </row>
    <row r="1207" spans="1:3" x14ac:dyDescent="0.2">
      <c r="A1207" s="208" t="s">
        <v>2237</v>
      </c>
      <c r="B1207" t="b">
        <f>IF(ISBLANK(NeoBerLab!$M$31),"",NeoBerLab!$M$31)</f>
        <v>0</v>
      </c>
      <c r="C1207" s="208" t="b">
        <v>0</v>
      </c>
    </row>
    <row r="1208" spans="1:3" x14ac:dyDescent="0.2">
      <c r="A1208" s="208" t="s">
        <v>2238</v>
      </c>
      <c r="B1208" t="b">
        <f>IF(ISBLANK(NeoBerLab!$M$32),"",NeoBerLab!$M$32)</f>
        <v>0</v>
      </c>
      <c r="C1208" s="208" t="b">
        <v>0</v>
      </c>
    </row>
    <row r="1209" spans="1:3" x14ac:dyDescent="0.2">
      <c r="A1209" s="208" t="s">
        <v>2239</v>
      </c>
      <c r="B1209" t="b">
        <f>IF(ISBLANK(NeoBerLab!$M$33),"",NeoBerLab!$M$33)</f>
        <v>0</v>
      </c>
      <c r="C1209" s="208" t="b">
        <v>0</v>
      </c>
    </row>
    <row r="1210" spans="1:3" x14ac:dyDescent="0.2">
      <c r="A1210" s="208" t="s">
        <v>2240</v>
      </c>
      <c r="B1210" t="b">
        <f>IF(ISBLANK(NeoBerLab!$M$34),"",NeoBerLab!$M$34)</f>
        <v>0</v>
      </c>
      <c r="C1210" s="208" t="b">
        <v>0</v>
      </c>
    </row>
    <row r="1211" spans="1:3" x14ac:dyDescent="0.2">
      <c r="A1211" s="208" t="s">
        <v>2241</v>
      </c>
      <c r="B1211" t="b">
        <f>IF(ISBLANK(NeoBerLab!$E$4),"",NeoBerLab!$E$4)</f>
        <v>0</v>
      </c>
      <c r="C1211" s="208" t="b">
        <v>0</v>
      </c>
    </row>
    <row r="1212" spans="1:3" x14ac:dyDescent="0.2">
      <c r="A1212" s="208" t="s">
        <v>2242</v>
      </c>
      <c r="B1212" t="b">
        <f>IF(ISBLANK(NeoBerLab!$E$5),"",NeoBerLab!$E$5)</f>
        <v>0</v>
      </c>
      <c r="C1212" s="208" t="b">
        <v>0</v>
      </c>
    </row>
    <row r="1213" spans="1:3" x14ac:dyDescent="0.2">
      <c r="A1213" s="208" t="s">
        <v>2243</v>
      </c>
      <c r="B1213" t="b">
        <f>IF(ISBLANK(NeoBerLab!$E$6),"",NeoBerLab!$E$6)</f>
        <v>0</v>
      </c>
      <c r="C1213" s="208" t="b">
        <v>0</v>
      </c>
    </row>
    <row r="1214" spans="1:3" x14ac:dyDescent="0.2">
      <c r="A1214" s="208" t="s">
        <v>2244</v>
      </c>
      <c r="B1214" t="b">
        <f>IF(ISBLANK(NeoBerLab!$E$7),"",NeoBerLab!$E$7)</f>
        <v>0</v>
      </c>
      <c r="C1214" s="208" t="b">
        <v>0</v>
      </c>
    </row>
    <row r="1215" spans="1:3" x14ac:dyDescent="0.2">
      <c r="A1215" s="208" t="s">
        <v>2245</v>
      </c>
      <c r="B1215" t="b">
        <f>IF(ISBLANK(NeoBerLab!$E$8),"",NeoBerLab!$E$8)</f>
        <v>0</v>
      </c>
      <c r="C1215" s="208" t="b">
        <v>0</v>
      </c>
    </row>
    <row r="1216" spans="1:3" x14ac:dyDescent="0.2">
      <c r="A1216" s="208" t="s">
        <v>2246</v>
      </c>
      <c r="B1216" t="b">
        <f>IF(ISBLANK(NeoBerLab!$E$9),"",NeoBerLab!$E$9)</f>
        <v>0</v>
      </c>
      <c r="C1216" s="208" t="b">
        <v>0</v>
      </c>
    </row>
    <row r="1217" spans="1:6" x14ac:dyDescent="0.2">
      <c r="A1217" s="208" t="s">
        <v>2247</v>
      </c>
      <c r="B1217" t="b">
        <f>IF(ISBLANK(NeoBerLab!$E$10),"",NeoBerLab!$E$10)</f>
        <v>0</v>
      </c>
      <c r="C1217" s="208" t="b">
        <v>0</v>
      </c>
    </row>
    <row r="1218" spans="1:6" x14ac:dyDescent="0.2">
      <c r="A1218" s="208" t="s">
        <v>2248</v>
      </c>
      <c r="B1218" t="b">
        <f>IF(ISBLANK(NeoBerLab!$E$11),"",NeoBerLab!$E$11)</f>
        <v>0</v>
      </c>
      <c r="C1218" s="208" t="b">
        <v>0</v>
      </c>
    </row>
    <row r="1219" spans="1:6" x14ac:dyDescent="0.2">
      <c r="A1219" s="208" t="s">
        <v>2249</v>
      </c>
      <c r="B1219" t="b">
        <f>IF(ISBLANK(NeoBerLab!$E$12),"",NeoBerLab!$E$12)</f>
        <v>0</v>
      </c>
      <c r="C1219" s="208" t="b">
        <v>0</v>
      </c>
    </row>
    <row r="1220" spans="1:6" x14ac:dyDescent="0.2">
      <c r="A1220" s="208" t="s">
        <v>2250</v>
      </c>
      <c r="B1220" t="b">
        <f>IF(ISBLANK(NeoBerLab!$E$13),"",NeoBerLab!$E$13)</f>
        <v>0</v>
      </c>
      <c r="C1220" s="208" t="b">
        <v>0</v>
      </c>
    </row>
    <row r="1221" spans="1:6" s="208" customFormat="1" x14ac:dyDescent="0.2">
      <c r="A1221" s="208" t="s">
        <v>2251</v>
      </c>
      <c r="B1221" t="b">
        <f>IF(ISBLANK(NeoBerLab!$E$14),"",NeoBerLab!$E$14)</f>
        <v>0</v>
      </c>
      <c r="C1221" s="208" t="b">
        <v>0</v>
      </c>
      <c r="D1221"/>
      <c r="E1221"/>
      <c r="F1221"/>
    </row>
    <row r="1222" spans="1:6" x14ac:dyDescent="0.2">
      <c r="A1222" s="208" t="s">
        <v>2252</v>
      </c>
      <c r="B1222" t="b">
        <f>IF(ISBLANK(NeoBerLab!$E$15),"",NeoBerLab!$E$15)</f>
        <v>0</v>
      </c>
      <c r="C1222" s="208" t="b">
        <v>0</v>
      </c>
    </row>
    <row r="1223" spans="1:6" x14ac:dyDescent="0.2">
      <c r="A1223" s="208" t="s">
        <v>2253</v>
      </c>
      <c r="B1223" t="b">
        <f>IF(ISBLANK(NeoBerLab!$E$16),"",NeoBerLab!$E$16)</f>
        <v>0</v>
      </c>
      <c r="C1223" s="208" t="b">
        <v>0</v>
      </c>
    </row>
    <row r="1224" spans="1:6" x14ac:dyDescent="0.2">
      <c r="A1224" s="208" t="s">
        <v>2254</v>
      </c>
      <c r="B1224" t="b">
        <f>IF(ISBLANK(NeoBerLab!$E$17),"",NeoBerLab!$E$17)</f>
        <v>0</v>
      </c>
      <c r="C1224" s="208" t="b">
        <v>0</v>
      </c>
    </row>
    <row r="1225" spans="1:6" x14ac:dyDescent="0.2">
      <c r="A1225" s="208" t="s">
        <v>2255</v>
      </c>
      <c r="B1225" t="b">
        <f>IF(ISBLANK(NeoBerLab!$E$18),"",NeoBerLab!$E$18)</f>
        <v>0</v>
      </c>
      <c r="C1225" s="208" t="b">
        <v>0</v>
      </c>
    </row>
    <row r="1226" spans="1:6" x14ac:dyDescent="0.2">
      <c r="A1226" s="208" t="s">
        <v>2256</v>
      </c>
      <c r="B1226" t="b">
        <f>IF(ISBLANK(NeoBerLab!$E$19),"",NeoBerLab!$E$19)</f>
        <v>0</v>
      </c>
      <c r="C1226" s="208" t="b">
        <v>0</v>
      </c>
    </row>
    <row r="1227" spans="1:6" x14ac:dyDescent="0.2">
      <c r="A1227" s="208" t="s">
        <v>2257</v>
      </c>
      <c r="B1227" s="208" t="b">
        <f>IF(ISBLANK(NeoBerLab!$E$20),"",NeoBerLab!$E$20)</f>
        <v>0</v>
      </c>
      <c r="C1227" s="208" t="b">
        <v>0</v>
      </c>
    </row>
    <row r="1228" spans="1:6" x14ac:dyDescent="0.2">
      <c r="A1228" s="208" t="s">
        <v>2258</v>
      </c>
      <c r="B1228" t="b">
        <f>IF(ISBLANK(NeoBerLab!$E$21),"",NeoBerLab!$E$21)</f>
        <v>0</v>
      </c>
      <c r="C1228" s="208" t="b">
        <v>0</v>
      </c>
    </row>
    <row r="1229" spans="1:6" x14ac:dyDescent="0.2">
      <c r="A1229" s="208" t="s">
        <v>2259</v>
      </c>
      <c r="B1229" t="b">
        <f>IF(ISBLANK(NeoBerLab!$E$22),"",NeoBerLab!$E$22)</f>
        <v>0</v>
      </c>
      <c r="C1229" s="208" t="b">
        <v>0</v>
      </c>
    </row>
    <row r="1230" spans="1:6" x14ac:dyDescent="0.2">
      <c r="A1230" s="208" t="s">
        <v>2260</v>
      </c>
      <c r="B1230" t="b">
        <f>IF(ISBLANK(NeoBerLab!$E$23),"",NeoBerLab!$E$23)</f>
        <v>0</v>
      </c>
      <c r="C1230" s="208" t="b">
        <v>0</v>
      </c>
    </row>
    <row r="1231" spans="1:6" x14ac:dyDescent="0.2">
      <c r="A1231" s="208" t="s">
        <v>2261</v>
      </c>
      <c r="B1231" t="b">
        <f>IF(ISBLANK(NeoBerLab!$E$24),"",NeoBerLab!$E$24)</f>
        <v>0</v>
      </c>
      <c r="C1231" s="208" t="b">
        <v>0</v>
      </c>
    </row>
    <row r="1232" spans="1:6" x14ac:dyDescent="0.2">
      <c r="A1232" s="208" t="s">
        <v>2262</v>
      </c>
      <c r="B1232" t="b">
        <f>IF(ISBLANK(NeoBerLab!$E$25),"",NeoBerLab!$E$25)</f>
        <v>0</v>
      </c>
      <c r="C1232" s="208" t="b">
        <v>0</v>
      </c>
    </row>
    <row r="1233" spans="1:3" x14ac:dyDescent="0.2">
      <c r="A1233" s="208" t="s">
        <v>2263</v>
      </c>
      <c r="B1233" t="b">
        <f>IF(ISBLANK(NeoBerLab!$E$26),"",NeoBerLab!$E$26)</f>
        <v>0</v>
      </c>
      <c r="C1233" s="208" t="b">
        <v>0</v>
      </c>
    </row>
    <row r="1234" spans="1:3" x14ac:dyDescent="0.2">
      <c r="A1234" s="208" t="s">
        <v>2264</v>
      </c>
      <c r="B1234" t="b">
        <f>IF(ISBLANK(NeoBerLab!$E$27),"",NeoBerLab!$E$27)</f>
        <v>0</v>
      </c>
      <c r="C1234" s="208" t="b">
        <v>0</v>
      </c>
    </row>
    <row r="1235" spans="1:3" x14ac:dyDescent="0.2">
      <c r="A1235" s="208" t="s">
        <v>2265</v>
      </c>
      <c r="B1235" t="b">
        <f>IF(ISBLANK(NeoBerLab!$E$28),"",NeoBerLab!$E$28)</f>
        <v>0</v>
      </c>
      <c r="C1235" s="208" t="b">
        <v>0</v>
      </c>
    </row>
    <row r="1236" spans="1:3" x14ac:dyDescent="0.2">
      <c r="A1236" s="208" t="s">
        <v>2266</v>
      </c>
      <c r="B1236" t="b">
        <f>IF(ISBLANK(NeoBerLab!$E$29),"",NeoBerLab!$E$29)</f>
        <v>0</v>
      </c>
      <c r="C1236" s="208" t="b">
        <v>0</v>
      </c>
    </row>
    <row r="1237" spans="1:3" x14ac:dyDescent="0.2">
      <c r="A1237" s="208" t="s">
        <v>2267</v>
      </c>
      <c r="B1237" t="b">
        <f>IF(ISBLANK(NeoBerLab!$E$30),"",NeoBerLab!$E$30)</f>
        <v>0</v>
      </c>
      <c r="C1237" s="208" t="b">
        <v>0</v>
      </c>
    </row>
    <row r="1238" spans="1:3" x14ac:dyDescent="0.2">
      <c r="A1238" s="208" t="s">
        <v>2268</v>
      </c>
      <c r="B1238" t="b">
        <f>IF(ISBLANK(NeoBerLab!$E$31),"",NeoBerLab!$E$31)</f>
        <v>0</v>
      </c>
      <c r="C1238" s="208" t="b">
        <v>0</v>
      </c>
    </row>
    <row r="1239" spans="1:3" x14ac:dyDescent="0.2">
      <c r="A1239" s="208" t="s">
        <v>2269</v>
      </c>
      <c r="B1239" s="208" t="b">
        <f>IF(ISBLANK(NeoBerLab!$E$32),"",NeoBerLab!$E$32)</f>
        <v>0</v>
      </c>
      <c r="C1239" s="208" t="b">
        <v>0</v>
      </c>
    </row>
    <row r="1240" spans="1:3" x14ac:dyDescent="0.2">
      <c r="A1240" s="208" t="s">
        <v>2270</v>
      </c>
      <c r="B1240" t="b">
        <f>IF(ISBLANK(NeoBerLab!$E$33),"",NeoBerLab!$E$33)</f>
        <v>0</v>
      </c>
      <c r="C1240" s="208" t="b">
        <v>0</v>
      </c>
    </row>
    <row r="1241" spans="1:3" x14ac:dyDescent="0.2">
      <c r="A1241" s="208" t="s">
        <v>2271</v>
      </c>
      <c r="B1241" t="b">
        <f>IF(ISBLANK(NeoBerLab!$E$34),"",NeoBerLab!$E$34)</f>
        <v>0</v>
      </c>
      <c r="C1241" s="208" t="b">
        <v>0</v>
      </c>
    </row>
    <row r="1242" spans="1:3" x14ac:dyDescent="0.2">
      <c r="A1242" s="208" t="s">
        <v>2272</v>
      </c>
      <c r="B1242" t="b">
        <f>IF(ISBLANK(NeoBerLab!$G$4),"",NeoBerLab!$G$4)</f>
        <v>0</v>
      </c>
      <c r="C1242" s="208" t="b">
        <v>0</v>
      </c>
    </row>
    <row r="1243" spans="1:3" x14ac:dyDescent="0.2">
      <c r="A1243" s="208" t="s">
        <v>2273</v>
      </c>
      <c r="B1243" t="b">
        <f>IF(ISBLANK(NeoBerLab!$G$5),"",NeoBerLab!$G$5)</f>
        <v>0</v>
      </c>
      <c r="C1243" s="208" t="b">
        <v>0</v>
      </c>
    </row>
    <row r="1244" spans="1:3" x14ac:dyDescent="0.2">
      <c r="A1244" s="208" t="s">
        <v>2274</v>
      </c>
      <c r="B1244" t="b">
        <f>IF(ISBLANK(NeoBerLab!$G$6),"",NeoBerLab!$G$6)</f>
        <v>0</v>
      </c>
      <c r="C1244" s="208" t="b">
        <v>0</v>
      </c>
    </row>
    <row r="1245" spans="1:3" x14ac:dyDescent="0.2">
      <c r="A1245" s="208" t="s">
        <v>2275</v>
      </c>
      <c r="B1245" t="b">
        <f>IF(ISBLANK(NeoBerLab!$G$7),"",NeoBerLab!$G$7)</f>
        <v>0</v>
      </c>
      <c r="C1245" s="208" t="b">
        <v>0</v>
      </c>
    </row>
    <row r="1246" spans="1:3" x14ac:dyDescent="0.2">
      <c r="A1246" s="208" t="s">
        <v>2276</v>
      </c>
      <c r="B1246" t="b">
        <f>IF(ISBLANK(NeoBerLab!$G$8),"",NeoBerLab!$G$8)</f>
        <v>0</v>
      </c>
      <c r="C1246" s="208" t="b">
        <v>0</v>
      </c>
    </row>
    <row r="1247" spans="1:3" x14ac:dyDescent="0.2">
      <c r="A1247" s="208" t="s">
        <v>2277</v>
      </c>
      <c r="B1247" t="b">
        <f>IF(ISBLANK(NeoBerLab!$G$9),"",NeoBerLab!$G$9)</f>
        <v>0</v>
      </c>
      <c r="C1247" s="208" t="b">
        <v>0</v>
      </c>
    </row>
    <row r="1248" spans="1:3" x14ac:dyDescent="0.2">
      <c r="A1248" s="208" t="s">
        <v>2278</v>
      </c>
      <c r="B1248" t="b">
        <f>IF(ISBLANK(NeoBerLab!$G$10),"",NeoBerLab!$G$10)</f>
        <v>0</v>
      </c>
      <c r="C1248" s="208" t="b">
        <v>0</v>
      </c>
    </row>
    <row r="1249" spans="1:3" x14ac:dyDescent="0.2">
      <c r="A1249" s="208" t="s">
        <v>2279</v>
      </c>
      <c r="B1249" t="b">
        <f>IF(ISBLANK(NeoBerLab!$G$11),"",NeoBerLab!$G$11)</f>
        <v>0</v>
      </c>
      <c r="C1249" s="208" t="b">
        <v>0</v>
      </c>
    </row>
    <row r="1250" spans="1:3" x14ac:dyDescent="0.2">
      <c r="A1250" s="208" t="s">
        <v>2280</v>
      </c>
      <c r="B1250" t="b">
        <f>IF(ISBLANK(NeoBerLab!$G$12),"",NeoBerLab!$G$12)</f>
        <v>0</v>
      </c>
      <c r="C1250" s="208" t="b">
        <v>0</v>
      </c>
    </row>
    <row r="1251" spans="1:3" x14ac:dyDescent="0.2">
      <c r="A1251" s="208" t="s">
        <v>2281</v>
      </c>
      <c r="B1251" t="b">
        <f>IF(ISBLANK(NeoBerLab!$G$13),"",NeoBerLab!$G$13)</f>
        <v>0</v>
      </c>
      <c r="C1251" s="208" t="b">
        <v>0</v>
      </c>
    </row>
    <row r="1252" spans="1:3" x14ac:dyDescent="0.2">
      <c r="A1252" s="208" t="s">
        <v>2282</v>
      </c>
      <c r="B1252" t="b">
        <f>IF(ISBLANK(NeoBerLab!$G$14),"",NeoBerLab!$G$14)</f>
        <v>0</v>
      </c>
      <c r="C1252" s="208" t="b">
        <v>0</v>
      </c>
    </row>
    <row r="1253" spans="1:3" x14ac:dyDescent="0.2">
      <c r="A1253" s="208" t="s">
        <v>2283</v>
      </c>
      <c r="B1253" t="b">
        <f>IF(ISBLANK(NeoBerLab!$G$15),"",NeoBerLab!$G$15)</f>
        <v>0</v>
      </c>
      <c r="C1253" s="208" t="b">
        <v>0</v>
      </c>
    </row>
    <row r="1254" spans="1:3" x14ac:dyDescent="0.2">
      <c r="A1254" s="208" t="s">
        <v>2284</v>
      </c>
      <c r="B1254" t="b">
        <f>IF(ISBLANK(NeoBerLab!$G$16),"",NeoBerLab!$G$16)</f>
        <v>0</v>
      </c>
      <c r="C1254" s="208" t="b">
        <v>0</v>
      </c>
    </row>
    <row r="1255" spans="1:3" x14ac:dyDescent="0.2">
      <c r="A1255" s="208" t="s">
        <v>2285</v>
      </c>
      <c r="B1255" t="b">
        <f>IF(ISBLANK(NeoBerLab!$G$17),"",NeoBerLab!$G$17)</f>
        <v>0</v>
      </c>
      <c r="C1255" s="208" t="b">
        <v>0</v>
      </c>
    </row>
    <row r="1256" spans="1:3" x14ac:dyDescent="0.2">
      <c r="A1256" s="208" t="s">
        <v>2286</v>
      </c>
      <c r="B1256" t="b">
        <f>IF(ISBLANK(NeoBerLab!$G$18),"",NeoBerLab!$G$18)</f>
        <v>0</v>
      </c>
      <c r="C1256" s="208" t="b">
        <v>0</v>
      </c>
    </row>
    <row r="1257" spans="1:3" x14ac:dyDescent="0.2">
      <c r="A1257" s="208" t="s">
        <v>2287</v>
      </c>
      <c r="B1257" t="b">
        <f>IF(ISBLANK(NeoBerLab!$G$19),"",NeoBerLab!$G$19)</f>
        <v>0</v>
      </c>
      <c r="C1257" s="208" t="b">
        <v>0</v>
      </c>
    </row>
    <row r="1258" spans="1:3" x14ac:dyDescent="0.2">
      <c r="A1258" s="208" t="s">
        <v>2288</v>
      </c>
      <c r="B1258" t="b">
        <f>IF(ISBLANK(NeoBerLab!$G$20),"",NeoBerLab!$G$20)</f>
        <v>0</v>
      </c>
      <c r="C1258" s="208" t="b">
        <v>0</v>
      </c>
    </row>
    <row r="1259" spans="1:3" x14ac:dyDescent="0.2">
      <c r="A1259" s="208" t="s">
        <v>2289</v>
      </c>
      <c r="B1259" t="b">
        <f>IF(ISBLANK(NeoBerLab!$G$21),"",NeoBerLab!$G$21)</f>
        <v>0</v>
      </c>
      <c r="C1259" s="208" t="b">
        <v>0</v>
      </c>
    </row>
    <row r="1260" spans="1:3" x14ac:dyDescent="0.2">
      <c r="A1260" s="208" t="s">
        <v>2290</v>
      </c>
      <c r="B1260" t="b">
        <f>IF(ISBLANK(NeoBerLab!$G$22),"",NeoBerLab!$G$22)</f>
        <v>0</v>
      </c>
      <c r="C1260" s="208" t="b">
        <v>0</v>
      </c>
    </row>
    <row r="1261" spans="1:3" x14ac:dyDescent="0.2">
      <c r="A1261" s="208" t="s">
        <v>2291</v>
      </c>
      <c r="B1261" t="b">
        <f>IF(ISBLANK(NeoBerLab!$G$23),"",NeoBerLab!$G$23)</f>
        <v>0</v>
      </c>
      <c r="C1261" s="208" t="b">
        <v>0</v>
      </c>
    </row>
    <row r="1262" spans="1:3" x14ac:dyDescent="0.2">
      <c r="A1262" s="208" t="s">
        <v>2292</v>
      </c>
      <c r="B1262" t="b">
        <f>IF(ISBLANK(NeoBerLab!$G$24),"",NeoBerLab!$G$24)</f>
        <v>0</v>
      </c>
      <c r="C1262" s="208" t="b">
        <v>0</v>
      </c>
    </row>
    <row r="1263" spans="1:3" x14ac:dyDescent="0.2">
      <c r="A1263" s="208" t="s">
        <v>2293</v>
      </c>
      <c r="B1263" t="b">
        <f>IF(ISBLANK(NeoBerLab!$G$25),"",NeoBerLab!$G$25)</f>
        <v>0</v>
      </c>
      <c r="C1263" s="208" t="b">
        <v>0</v>
      </c>
    </row>
    <row r="1264" spans="1:3" x14ac:dyDescent="0.2">
      <c r="A1264" s="208" t="s">
        <v>2294</v>
      </c>
      <c r="B1264" t="b">
        <f>IF(ISBLANK(NeoBerLab!$G$26),"",NeoBerLab!$G$26)</f>
        <v>0</v>
      </c>
      <c r="C1264" s="208" t="b">
        <v>0</v>
      </c>
    </row>
    <row r="1265" spans="1:6" x14ac:dyDescent="0.2">
      <c r="A1265" s="208" t="s">
        <v>2295</v>
      </c>
      <c r="B1265" t="b">
        <f>IF(ISBLANK(NeoBerLab!$G$27),"",NeoBerLab!$G$27)</f>
        <v>0</v>
      </c>
      <c r="C1265" s="208" t="b">
        <v>0</v>
      </c>
    </row>
    <row r="1266" spans="1:6" s="208" customFormat="1" x14ac:dyDescent="0.2">
      <c r="A1266" s="208" t="s">
        <v>2296</v>
      </c>
      <c r="B1266" t="b">
        <f>IF(ISBLANK(NeoBerLab!$G$28),"",NeoBerLab!$G$28)</f>
        <v>0</v>
      </c>
      <c r="C1266" s="208" t="b">
        <v>0</v>
      </c>
      <c r="D1266"/>
      <c r="E1266"/>
      <c r="F1266"/>
    </row>
    <row r="1267" spans="1:6" x14ac:dyDescent="0.2">
      <c r="A1267" s="208" t="s">
        <v>2297</v>
      </c>
      <c r="B1267" t="b">
        <f>IF(ISBLANK(NeoBerLab!$G$29),"",NeoBerLab!$G$29)</f>
        <v>0</v>
      </c>
      <c r="C1267" s="208" t="b">
        <v>0</v>
      </c>
    </row>
    <row r="1268" spans="1:6" x14ac:dyDescent="0.2">
      <c r="A1268" s="208" t="s">
        <v>2298</v>
      </c>
      <c r="B1268" t="b">
        <f>IF(ISBLANK(NeoBerLab!$G$30),"",NeoBerLab!$G$30)</f>
        <v>0</v>
      </c>
      <c r="C1268" s="208" t="b">
        <v>0</v>
      </c>
    </row>
    <row r="1269" spans="1:6" x14ac:dyDescent="0.2">
      <c r="A1269" s="208" t="s">
        <v>2299</v>
      </c>
      <c r="B1269" t="b">
        <f>IF(ISBLANK(NeoBerLab!$G$31),"",NeoBerLab!$G$31)</f>
        <v>0</v>
      </c>
      <c r="C1269" s="208" t="b">
        <v>0</v>
      </c>
    </row>
    <row r="1270" spans="1:6" x14ac:dyDescent="0.2">
      <c r="A1270" s="208" t="s">
        <v>2300</v>
      </c>
      <c r="B1270" t="b">
        <f>IF(ISBLANK(NeoBerLab!$G$32),"",NeoBerLab!$G$32)</f>
        <v>0</v>
      </c>
      <c r="C1270" s="208" t="b">
        <v>0</v>
      </c>
    </row>
    <row r="1271" spans="1:6" x14ac:dyDescent="0.2">
      <c r="A1271" s="208" t="s">
        <v>2301</v>
      </c>
      <c r="B1271" t="b">
        <f>IF(ISBLANK(NeoBerLab!$G$33),"",NeoBerLab!$G$33)</f>
        <v>0</v>
      </c>
      <c r="C1271" s="208" t="b">
        <v>0</v>
      </c>
    </row>
    <row r="1272" spans="1:6" x14ac:dyDescent="0.2">
      <c r="A1272" s="208" t="s">
        <v>2302</v>
      </c>
      <c r="B1272" t="b">
        <f>IF(ISBLANK(NeoBerLab!$G$34),"",NeoBerLab!$G$34)</f>
        <v>0</v>
      </c>
      <c r="C1272" s="208" t="b">
        <v>0</v>
      </c>
    </row>
    <row r="1273" spans="1:6" x14ac:dyDescent="0.2">
      <c r="A1273" s="208" t="s">
        <v>2303</v>
      </c>
      <c r="B1273" t="b">
        <f>IF(ISBLANK(NeoBerLab!$I$4),"",NeoBerLab!$I$4)</f>
        <v>0</v>
      </c>
      <c r="C1273" s="208" t="b">
        <v>0</v>
      </c>
    </row>
    <row r="1274" spans="1:6" x14ac:dyDescent="0.2">
      <c r="A1274" s="208" t="s">
        <v>2304</v>
      </c>
      <c r="B1274" t="b">
        <f>IF(ISBLANK(NeoBerLab!$I$5),"",NeoBerLab!$I$5)</f>
        <v>0</v>
      </c>
      <c r="C1274" s="208" t="b">
        <v>0</v>
      </c>
    </row>
    <row r="1275" spans="1:6" x14ac:dyDescent="0.2">
      <c r="A1275" s="208" t="s">
        <v>2305</v>
      </c>
      <c r="B1275" t="b">
        <f>IF(ISBLANK(NeoBerLab!$I$6),"",NeoBerLab!$I$6)</f>
        <v>0</v>
      </c>
      <c r="C1275" s="208" t="b">
        <v>0</v>
      </c>
    </row>
    <row r="1276" spans="1:6" x14ac:dyDescent="0.2">
      <c r="A1276" s="208" t="s">
        <v>2306</v>
      </c>
      <c r="B1276" t="b">
        <f>IF(ISBLANK(NeoBerLab!$I$7),"",NeoBerLab!$I$7)</f>
        <v>0</v>
      </c>
      <c r="C1276" s="208" t="b">
        <v>0</v>
      </c>
    </row>
    <row r="1277" spans="1:6" x14ac:dyDescent="0.2">
      <c r="A1277" s="208" t="s">
        <v>2307</v>
      </c>
      <c r="B1277" t="b">
        <f>IF(ISBLANK(NeoBerLab!$I$8),"",NeoBerLab!$I$8)</f>
        <v>0</v>
      </c>
      <c r="C1277" s="208" t="b">
        <v>0</v>
      </c>
    </row>
    <row r="1278" spans="1:6" x14ac:dyDescent="0.2">
      <c r="A1278" s="208" t="s">
        <v>2308</v>
      </c>
      <c r="B1278" t="b">
        <f>IF(ISBLANK(NeoBerLab!$I$9),"",NeoBerLab!$I$9)</f>
        <v>0</v>
      </c>
      <c r="C1278" s="208" t="b">
        <v>0</v>
      </c>
    </row>
    <row r="1279" spans="1:6" x14ac:dyDescent="0.2">
      <c r="A1279" s="208" t="s">
        <v>2309</v>
      </c>
      <c r="B1279" t="b">
        <f>IF(ISBLANK(NeoBerLab!$I$10),"",NeoBerLab!$I$10)</f>
        <v>0</v>
      </c>
      <c r="C1279" s="208" t="b">
        <v>0</v>
      </c>
    </row>
    <row r="1280" spans="1:6" x14ac:dyDescent="0.2">
      <c r="A1280" s="208" t="s">
        <v>2310</v>
      </c>
      <c r="B1280" t="b">
        <f>IF(ISBLANK(NeoBerLab!$I$11),"",NeoBerLab!$I$11)</f>
        <v>0</v>
      </c>
      <c r="C1280" s="208" t="b">
        <v>0</v>
      </c>
    </row>
    <row r="1281" spans="1:3" x14ac:dyDescent="0.2">
      <c r="A1281" s="208" t="s">
        <v>2311</v>
      </c>
      <c r="B1281" t="b">
        <f>IF(ISBLANK(NeoBerLab!$I$12),"",NeoBerLab!$I$12)</f>
        <v>0</v>
      </c>
      <c r="C1281" s="208" t="b">
        <v>0</v>
      </c>
    </row>
    <row r="1282" spans="1:3" x14ac:dyDescent="0.2">
      <c r="A1282" s="208" t="s">
        <v>2312</v>
      </c>
      <c r="B1282" t="b">
        <f>IF(ISBLANK(NeoBerLab!$I$13),"",NeoBerLab!$I$13)</f>
        <v>0</v>
      </c>
      <c r="C1282" s="208" t="b">
        <v>0</v>
      </c>
    </row>
    <row r="1283" spans="1:3" x14ac:dyDescent="0.2">
      <c r="A1283" s="208" t="s">
        <v>2313</v>
      </c>
      <c r="B1283" t="b">
        <f>IF(ISBLANK(NeoBerLab!$I$14),"",NeoBerLab!$I$14)</f>
        <v>0</v>
      </c>
      <c r="C1283" s="208" t="b">
        <v>0</v>
      </c>
    </row>
    <row r="1284" spans="1:3" x14ac:dyDescent="0.2">
      <c r="A1284" s="208" t="s">
        <v>2314</v>
      </c>
      <c r="B1284" t="b">
        <f>IF(ISBLANK(NeoBerLab!$I$15),"",NeoBerLab!$I$15)</f>
        <v>0</v>
      </c>
      <c r="C1284" s="208" t="b">
        <v>0</v>
      </c>
    </row>
    <row r="1285" spans="1:3" x14ac:dyDescent="0.2">
      <c r="A1285" s="208" t="s">
        <v>2315</v>
      </c>
      <c r="B1285" t="b">
        <f>IF(ISBLANK(NeoBerLab!$I$16),"",NeoBerLab!$I$16)</f>
        <v>0</v>
      </c>
      <c r="C1285" s="208" t="b">
        <v>0</v>
      </c>
    </row>
    <row r="1286" spans="1:3" x14ac:dyDescent="0.2">
      <c r="A1286" s="208" t="s">
        <v>2316</v>
      </c>
      <c r="B1286" t="b">
        <f>IF(ISBLANK(NeoBerLab!$I$17),"",NeoBerLab!$I$17)</f>
        <v>0</v>
      </c>
      <c r="C1286" s="208" t="b">
        <v>0</v>
      </c>
    </row>
    <row r="1287" spans="1:3" x14ac:dyDescent="0.2">
      <c r="A1287" s="208" t="s">
        <v>2317</v>
      </c>
      <c r="B1287" t="b">
        <f>IF(ISBLANK(NeoBerLab!$I$18),"",NeoBerLab!$I$18)</f>
        <v>0</v>
      </c>
      <c r="C1287" s="208" t="b">
        <v>0</v>
      </c>
    </row>
    <row r="1288" spans="1:3" x14ac:dyDescent="0.2">
      <c r="A1288" s="208" t="s">
        <v>2318</v>
      </c>
      <c r="B1288" s="208" t="b">
        <f>IF(ISBLANK(NeoBerLab!$I$19),"",NeoBerLab!$I$19)</f>
        <v>0</v>
      </c>
      <c r="C1288" s="208" t="b">
        <v>0</v>
      </c>
    </row>
    <row r="1289" spans="1:3" x14ac:dyDescent="0.2">
      <c r="A1289" s="208" t="s">
        <v>2319</v>
      </c>
      <c r="B1289" t="b">
        <f>IF(ISBLANK(NeoBerLab!$I$20),"",NeoBerLab!$I$20)</f>
        <v>0</v>
      </c>
      <c r="C1289" s="208" t="b">
        <v>0</v>
      </c>
    </row>
    <row r="1290" spans="1:3" x14ac:dyDescent="0.2">
      <c r="A1290" s="208" t="s">
        <v>2320</v>
      </c>
      <c r="B1290" t="b">
        <f>IF(ISBLANK(NeoBerLab!$I$21),"",NeoBerLab!$I$21)</f>
        <v>0</v>
      </c>
      <c r="C1290" s="208" t="b">
        <v>0</v>
      </c>
    </row>
    <row r="1291" spans="1:3" x14ac:dyDescent="0.2">
      <c r="A1291" s="208" t="s">
        <v>2321</v>
      </c>
      <c r="B1291" t="b">
        <f>IF(ISBLANK(NeoBerLab!$I$22),"",NeoBerLab!$I$22)</f>
        <v>0</v>
      </c>
      <c r="C1291" s="208" t="b">
        <v>0</v>
      </c>
    </row>
    <row r="1292" spans="1:3" x14ac:dyDescent="0.2">
      <c r="A1292" s="208" t="s">
        <v>2322</v>
      </c>
      <c r="B1292" t="b">
        <f>IF(ISBLANK(NeoBerLab!$I$23),"",NeoBerLab!$I$23)</f>
        <v>0</v>
      </c>
      <c r="C1292" s="208" t="b">
        <v>0</v>
      </c>
    </row>
    <row r="1293" spans="1:3" x14ac:dyDescent="0.2">
      <c r="A1293" s="208" t="s">
        <v>2323</v>
      </c>
      <c r="B1293" t="b">
        <f>IF(ISBLANK(NeoBerLab!$I$24),"",NeoBerLab!$I$24)</f>
        <v>0</v>
      </c>
      <c r="C1293" s="208" t="b">
        <v>0</v>
      </c>
    </row>
    <row r="1294" spans="1:3" x14ac:dyDescent="0.2">
      <c r="A1294" s="208" t="s">
        <v>2324</v>
      </c>
      <c r="B1294" t="b">
        <f>IF(ISBLANK(NeoBerLab!$I$25),"",NeoBerLab!$I$25)</f>
        <v>0</v>
      </c>
      <c r="C1294" s="208" t="b">
        <v>0</v>
      </c>
    </row>
    <row r="1295" spans="1:3" x14ac:dyDescent="0.2">
      <c r="A1295" s="208" t="s">
        <v>2325</v>
      </c>
      <c r="B1295" t="b">
        <f>IF(ISBLANK(NeoBerLab!$I$26),"",NeoBerLab!$I$26)</f>
        <v>0</v>
      </c>
      <c r="C1295" s="208" t="b">
        <v>0</v>
      </c>
    </row>
    <row r="1296" spans="1:3" x14ac:dyDescent="0.2">
      <c r="A1296" s="208" t="s">
        <v>2326</v>
      </c>
      <c r="B1296" t="b">
        <f>IF(ISBLANK(NeoBerLab!$I$27),"",NeoBerLab!$I$27)</f>
        <v>0</v>
      </c>
      <c r="C1296" s="208" t="b">
        <v>0</v>
      </c>
    </row>
    <row r="1297" spans="1:3" x14ac:dyDescent="0.2">
      <c r="A1297" s="208" t="s">
        <v>2327</v>
      </c>
      <c r="B1297" t="b">
        <f>IF(ISBLANK(NeoBerLab!$I$28),"",NeoBerLab!$I$28)</f>
        <v>0</v>
      </c>
      <c r="C1297" s="208" t="b">
        <v>0</v>
      </c>
    </row>
    <row r="1298" spans="1:3" x14ac:dyDescent="0.2">
      <c r="A1298" s="208" t="s">
        <v>2328</v>
      </c>
      <c r="B1298" t="b">
        <f>IF(ISBLANK(NeoBerLab!$I$29),"",NeoBerLab!$I$29)</f>
        <v>0</v>
      </c>
      <c r="C1298" s="208" t="b">
        <v>0</v>
      </c>
    </row>
    <row r="1299" spans="1:3" x14ac:dyDescent="0.2">
      <c r="A1299" s="208" t="s">
        <v>2329</v>
      </c>
      <c r="B1299" t="b">
        <f>IF(ISBLANK(NeoBerLab!$I$30),"",NeoBerLab!$I$30)</f>
        <v>0</v>
      </c>
      <c r="C1299" s="208" t="b">
        <v>0</v>
      </c>
    </row>
    <row r="1300" spans="1:3" x14ac:dyDescent="0.2">
      <c r="A1300" s="208" t="s">
        <v>2330</v>
      </c>
      <c r="B1300" t="b">
        <f>IF(ISBLANK(NeoBerLab!$I$31),"",NeoBerLab!$I$31)</f>
        <v>0</v>
      </c>
      <c r="C1300" s="208" t="b">
        <v>0</v>
      </c>
    </row>
    <row r="1301" spans="1:3" x14ac:dyDescent="0.2">
      <c r="A1301" s="208" t="s">
        <v>2331</v>
      </c>
      <c r="B1301" t="b">
        <f>IF(ISBLANK(NeoBerLab!$I$32),"",NeoBerLab!$I$32)</f>
        <v>0</v>
      </c>
      <c r="C1301" s="208" t="b">
        <v>0</v>
      </c>
    </row>
    <row r="1302" spans="1:3" x14ac:dyDescent="0.2">
      <c r="A1302" s="208" t="s">
        <v>2332</v>
      </c>
      <c r="B1302" t="b">
        <f>IF(ISBLANK(NeoBerLab!$I$33),"",NeoBerLab!$I$33)</f>
        <v>0</v>
      </c>
      <c r="C1302" s="208" t="b">
        <v>0</v>
      </c>
    </row>
    <row r="1303" spans="1:3" x14ac:dyDescent="0.2">
      <c r="A1303" s="208" t="s">
        <v>2333</v>
      </c>
      <c r="B1303" t="b">
        <f>IF(ISBLANK(NeoBerLab!$I$34),"",NeoBerLab!$I$34)</f>
        <v>0</v>
      </c>
      <c r="C1303" s="208" t="b">
        <v>0</v>
      </c>
    </row>
    <row r="1304" spans="1:3" x14ac:dyDescent="0.2">
      <c r="A1304" s="208" t="s">
        <v>2334</v>
      </c>
      <c r="B1304" t="b">
        <f>IF(ISBLANK(NeoBerLab!$K$4),"",NeoBerLab!$K$4)</f>
        <v>0</v>
      </c>
      <c r="C1304" s="208" t="b">
        <v>0</v>
      </c>
    </row>
    <row r="1305" spans="1:3" x14ac:dyDescent="0.2">
      <c r="A1305" s="208" t="s">
        <v>2335</v>
      </c>
      <c r="B1305" t="b">
        <f>IF(ISBLANK(NeoBerLab!$K$5),"",NeoBerLab!$K$5)</f>
        <v>0</v>
      </c>
      <c r="C1305" s="208" t="b">
        <v>0</v>
      </c>
    </row>
    <row r="1306" spans="1:3" x14ac:dyDescent="0.2">
      <c r="A1306" s="208" t="s">
        <v>2336</v>
      </c>
      <c r="B1306" t="b">
        <f>IF(ISBLANK(NeoBerLab!$K$6),"",NeoBerLab!$K$6)</f>
        <v>0</v>
      </c>
      <c r="C1306" s="208" t="b">
        <v>0</v>
      </c>
    </row>
    <row r="1307" spans="1:3" x14ac:dyDescent="0.2">
      <c r="A1307" s="208" t="s">
        <v>2337</v>
      </c>
      <c r="B1307" t="b">
        <f>IF(ISBLANK(NeoBerLab!$K$7),"",NeoBerLab!$K$7)</f>
        <v>0</v>
      </c>
      <c r="C1307" s="208" t="b">
        <v>0</v>
      </c>
    </row>
    <row r="1308" spans="1:3" x14ac:dyDescent="0.2">
      <c r="A1308" s="208" t="s">
        <v>2338</v>
      </c>
      <c r="B1308" t="b">
        <f>IF(ISBLANK(NeoBerLab!$K$8),"",NeoBerLab!$K$8)</f>
        <v>0</v>
      </c>
      <c r="C1308" s="208" t="b">
        <v>0</v>
      </c>
    </row>
    <row r="1309" spans="1:3" x14ac:dyDescent="0.2">
      <c r="A1309" s="208" t="s">
        <v>2339</v>
      </c>
      <c r="B1309" t="b">
        <f>IF(ISBLANK(NeoBerLab!$K$9),"",NeoBerLab!$K$9)</f>
        <v>0</v>
      </c>
      <c r="C1309" s="208" t="b">
        <v>0</v>
      </c>
    </row>
    <row r="1310" spans="1:3" x14ac:dyDescent="0.2">
      <c r="A1310" s="208" t="s">
        <v>2340</v>
      </c>
      <c r="B1310" t="b">
        <f>IF(ISBLANK(NeoBerLab!$K$10),"",NeoBerLab!$K$10)</f>
        <v>0</v>
      </c>
      <c r="C1310" s="208" t="b">
        <v>0</v>
      </c>
    </row>
    <row r="1311" spans="1:3" x14ac:dyDescent="0.2">
      <c r="A1311" s="208" t="s">
        <v>2341</v>
      </c>
      <c r="B1311" t="b">
        <f>IF(ISBLANK(NeoBerLab!$K$11),"",NeoBerLab!$K$11)</f>
        <v>0</v>
      </c>
      <c r="C1311" s="208" t="b">
        <v>0</v>
      </c>
    </row>
    <row r="1312" spans="1:3" x14ac:dyDescent="0.2">
      <c r="A1312" s="208" t="s">
        <v>2342</v>
      </c>
      <c r="B1312" t="b">
        <f>IF(ISBLANK(NeoBerLab!$K$12),"",NeoBerLab!$K$12)</f>
        <v>0</v>
      </c>
      <c r="C1312" s="208" t="b">
        <v>0</v>
      </c>
    </row>
    <row r="1313" spans="1:6" x14ac:dyDescent="0.2">
      <c r="A1313" s="208" t="s">
        <v>2343</v>
      </c>
      <c r="B1313" t="b">
        <f>IF(ISBLANK(NeoBerLab!$K$13),"",NeoBerLab!$K$13)</f>
        <v>0</v>
      </c>
      <c r="C1313" s="208" t="b">
        <v>0</v>
      </c>
    </row>
    <row r="1314" spans="1:6" x14ac:dyDescent="0.2">
      <c r="A1314" s="208" t="s">
        <v>2344</v>
      </c>
      <c r="B1314" t="b">
        <f>IF(ISBLANK(NeoBerLab!$K$14),"",NeoBerLab!$K$14)</f>
        <v>0</v>
      </c>
      <c r="C1314" s="208" t="b">
        <v>0</v>
      </c>
    </row>
    <row r="1315" spans="1:6" x14ac:dyDescent="0.2">
      <c r="A1315" s="208" t="s">
        <v>2345</v>
      </c>
      <c r="B1315" t="b">
        <f>IF(ISBLANK(NeoBerLab!$K$15),"",NeoBerLab!$K$15)</f>
        <v>0</v>
      </c>
      <c r="C1315" s="208" t="b">
        <v>0</v>
      </c>
      <c r="F1315" s="208"/>
    </row>
    <row r="1316" spans="1:6" x14ac:dyDescent="0.2">
      <c r="A1316" s="208" t="s">
        <v>2346</v>
      </c>
      <c r="B1316" t="b">
        <f>IF(ISBLANK(NeoBerLab!$K$16),"",NeoBerLab!$K$16)</f>
        <v>0</v>
      </c>
      <c r="C1316" s="208" t="b">
        <v>0</v>
      </c>
      <c r="F1316" s="208"/>
    </row>
    <row r="1317" spans="1:6" x14ac:dyDescent="0.2">
      <c r="A1317" s="208" t="s">
        <v>2347</v>
      </c>
      <c r="B1317" t="b">
        <f>IF(ISBLANK(NeoBerLab!$K$17),"",NeoBerLab!$K$17)</f>
        <v>0</v>
      </c>
      <c r="C1317" s="208" t="b">
        <v>0</v>
      </c>
      <c r="F1317" s="208"/>
    </row>
    <row r="1318" spans="1:6" x14ac:dyDescent="0.2">
      <c r="A1318" s="208" t="s">
        <v>2348</v>
      </c>
      <c r="B1318" t="b">
        <f>IF(ISBLANK(NeoBerLab!$K$18),"",NeoBerLab!$K$18)</f>
        <v>0</v>
      </c>
      <c r="C1318" s="208" t="b">
        <v>0</v>
      </c>
    </row>
    <row r="1319" spans="1:6" x14ac:dyDescent="0.2">
      <c r="A1319" s="208" t="s">
        <v>2349</v>
      </c>
      <c r="B1319" t="b">
        <f>IF(ISBLANK(NeoBerLab!$K$19),"",NeoBerLab!$K$19)</f>
        <v>0</v>
      </c>
      <c r="C1319" s="208" t="b">
        <v>0</v>
      </c>
    </row>
    <row r="1320" spans="1:6" x14ac:dyDescent="0.2">
      <c r="A1320" s="208" t="s">
        <v>2350</v>
      </c>
      <c r="B1320" t="b">
        <f>IF(ISBLANK(NeoBerLab!$K$20),"",NeoBerLab!$K$20)</f>
        <v>0</v>
      </c>
      <c r="C1320" s="208" t="b">
        <v>0</v>
      </c>
    </row>
    <row r="1321" spans="1:6" x14ac:dyDescent="0.2">
      <c r="A1321" s="208" t="s">
        <v>2351</v>
      </c>
      <c r="B1321" t="b">
        <f>IF(ISBLANK(NeoBerLab!$K$21),"",NeoBerLab!$K$21)</f>
        <v>0</v>
      </c>
      <c r="C1321" s="208" t="b">
        <v>0</v>
      </c>
    </row>
    <row r="1322" spans="1:6" x14ac:dyDescent="0.2">
      <c r="A1322" s="208" t="s">
        <v>2352</v>
      </c>
      <c r="B1322" t="b">
        <f>IF(ISBLANK(NeoBerLab!$K$22),"",NeoBerLab!$K$22)</f>
        <v>0</v>
      </c>
      <c r="C1322" s="208" t="b">
        <v>0</v>
      </c>
    </row>
    <row r="1323" spans="1:6" x14ac:dyDescent="0.2">
      <c r="A1323" s="208" t="s">
        <v>2353</v>
      </c>
      <c r="B1323" t="b">
        <f>IF(ISBLANK(NeoBerLab!$K$23),"",NeoBerLab!$K$23)</f>
        <v>0</v>
      </c>
      <c r="C1323" s="208" t="b">
        <v>0</v>
      </c>
    </row>
    <row r="1324" spans="1:6" x14ac:dyDescent="0.2">
      <c r="A1324" s="208" t="s">
        <v>2354</v>
      </c>
      <c r="B1324" t="b">
        <f>IF(ISBLANK(NeoBerLab!$K$24),"",NeoBerLab!$K$24)</f>
        <v>0</v>
      </c>
      <c r="C1324" s="208" t="b">
        <v>0</v>
      </c>
    </row>
    <row r="1325" spans="1:6" x14ac:dyDescent="0.2">
      <c r="A1325" s="208" t="s">
        <v>2355</v>
      </c>
      <c r="B1325" t="b">
        <f>IF(ISBLANK(NeoBerLab!$K$25),"",NeoBerLab!$K$25)</f>
        <v>0</v>
      </c>
      <c r="C1325" s="208" t="b">
        <v>0</v>
      </c>
    </row>
    <row r="1326" spans="1:6" x14ac:dyDescent="0.2">
      <c r="A1326" s="208" t="s">
        <v>2356</v>
      </c>
      <c r="B1326" t="b">
        <f>IF(ISBLANK(NeoBerLab!$K$26),"",NeoBerLab!$K$26)</f>
        <v>0</v>
      </c>
      <c r="C1326" s="208" t="b">
        <v>0</v>
      </c>
    </row>
    <row r="1327" spans="1:6" x14ac:dyDescent="0.2">
      <c r="A1327" s="208" t="s">
        <v>2357</v>
      </c>
      <c r="B1327" t="b">
        <f>IF(ISBLANK(NeoBerLab!$K$27),"",NeoBerLab!$K$27)</f>
        <v>0</v>
      </c>
      <c r="C1327" s="208" t="b">
        <v>0</v>
      </c>
    </row>
    <row r="1328" spans="1:6" x14ac:dyDescent="0.2">
      <c r="A1328" s="208" t="s">
        <v>2358</v>
      </c>
      <c r="B1328" t="b">
        <f>IF(ISBLANK(NeoBerLab!$K$28),"",NeoBerLab!$K$28)</f>
        <v>0</v>
      </c>
      <c r="C1328" s="208" t="b">
        <v>0</v>
      </c>
    </row>
    <row r="1329" spans="1:6" x14ac:dyDescent="0.2">
      <c r="A1329" s="208" t="s">
        <v>2359</v>
      </c>
      <c r="B1329" t="b">
        <f>IF(ISBLANK(NeoBerLab!$K$29),"",NeoBerLab!$K$29)</f>
        <v>0</v>
      </c>
      <c r="C1329" s="208" t="b">
        <v>0</v>
      </c>
    </row>
    <row r="1330" spans="1:6" x14ac:dyDescent="0.2">
      <c r="A1330" s="208" t="s">
        <v>2360</v>
      </c>
      <c r="B1330" t="b">
        <f>IF(ISBLANK(NeoBerLab!$K$30),"",NeoBerLab!$K$30)</f>
        <v>0</v>
      </c>
      <c r="C1330" s="208" t="b">
        <v>0</v>
      </c>
    </row>
    <row r="1331" spans="1:6" x14ac:dyDescent="0.2">
      <c r="A1331" s="208" t="s">
        <v>2361</v>
      </c>
      <c r="B1331" t="b">
        <f>IF(ISBLANK(NeoBerLab!$K$31),"",NeoBerLab!$K$31)</f>
        <v>0</v>
      </c>
      <c r="C1331" s="208" t="b">
        <v>0</v>
      </c>
    </row>
    <row r="1332" spans="1:6" x14ac:dyDescent="0.2">
      <c r="A1332" s="208" t="s">
        <v>2362</v>
      </c>
      <c r="B1332" t="b">
        <f>IF(ISBLANK(NeoBerLab!$K$32),"",NeoBerLab!$K$32)</f>
        <v>0</v>
      </c>
      <c r="C1332" s="208" t="b">
        <v>0</v>
      </c>
    </row>
    <row r="1333" spans="1:6" x14ac:dyDescent="0.2">
      <c r="A1333" s="208" t="s">
        <v>2363</v>
      </c>
      <c r="B1333" t="b">
        <f>IF(ISBLANK(NeoBerLab!$K$33),"",NeoBerLab!$K$33)</f>
        <v>0</v>
      </c>
      <c r="C1333" s="208" t="b">
        <v>0</v>
      </c>
    </row>
    <row r="1334" spans="1:6" x14ac:dyDescent="0.2">
      <c r="A1334" s="208" t="s">
        <v>2364</v>
      </c>
      <c r="B1334" t="b">
        <f>IF(ISBLANK(NeoBerLab!$K$34),"",NeoBerLab!$K$34)</f>
        <v>0</v>
      </c>
      <c r="C1334" s="208" t="b">
        <v>0</v>
      </c>
    </row>
    <row r="1335" spans="1:6" x14ac:dyDescent="0.2">
      <c r="A1335" s="208" t="s">
        <v>2365</v>
      </c>
      <c r="B1335" t="b">
        <f>IF(ISBLANK(NeoBerLab!$O$4),"",NeoBerLab!$O$4)</f>
        <v>0</v>
      </c>
      <c r="C1335" s="208" t="b">
        <v>0</v>
      </c>
    </row>
    <row r="1336" spans="1:6" x14ac:dyDescent="0.2">
      <c r="A1336" s="208" t="s">
        <v>2366</v>
      </c>
      <c r="B1336" t="b">
        <f>IF(ISBLANK(NeoBerLab!$O$5),"",NeoBerLab!$O$5)</f>
        <v>0</v>
      </c>
      <c r="C1336" s="208" t="b">
        <v>0</v>
      </c>
    </row>
    <row r="1337" spans="1:6" x14ac:dyDescent="0.2">
      <c r="A1337" s="208" t="s">
        <v>2367</v>
      </c>
      <c r="B1337" t="b">
        <f>IF(ISBLANK(NeoBerLab!$O$6),"",NeoBerLab!$O$6)</f>
        <v>0</v>
      </c>
      <c r="C1337" s="208" t="b">
        <v>0</v>
      </c>
    </row>
    <row r="1338" spans="1:6" x14ac:dyDescent="0.2">
      <c r="A1338" s="208" t="s">
        <v>2368</v>
      </c>
      <c r="B1338" t="b">
        <f>IF(ISBLANK(NeoBerLab!$O$7),"",NeoBerLab!$O$7)</f>
        <v>0</v>
      </c>
      <c r="C1338" s="208" t="b">
        <v>0</v>
      </c>
    </row>
    <row r="1339" spans="1:6" x14ac:dyDescent="0.2">
      <c r="A1339" s="208" t="s">
        <v>2369</v>
      </c>
      <c r="B1339" t="b">
        <f>IF(ISBLANK(NeoBerLab!$O$8),"",NeoBerLab!$O$8)</f>
        <v>0</v>
      </c>
      <c r="C1339" s="208" t="b">
        <v>0</v>
      </c>
    </row>
    <row r="1340" spans="1:6" x14ac:dyDescent="0.2">
      <c r="A1340" s="208" t="s">
        <v>2370</v>
      </c>
      <c r="B1340" t="b">
        <f>IF(ISBLANK(NeoBerLab!$O$9),"",NeoBerLab!$O$9)</f>
        <v>0</v>
      </c>
      <c r="C1340" s="208" t="b">
        <v>0</v>
      </c>
    </row>
    <row r="1341" spans="1:6" x14ac:dyDescent="0.2">
      <c r="A1341" s="208" t="s">
        <v>2371</v>
      </c>
      <c r="B1341" t="b">
        <f>IF(ISBLANK(NeoBerLab!$O$10),"",NeoBerLab!$O$10)</f>
        <v>0</v>
      </c>
      <c r="C1341" s="208" t="b">
        <v>0</v>
      </c>
      <c r="F1341" s="208"/>
    </row>
    <row r="1342" spans="1:6" x14ac:dyDescent="0.2">
      <c r="A1342" s="208" t="s">
        <v>2372</v>
      </c>
      <c r="B1342" t="b">
        <f>IF(ISBLANK(NeoBerLab!$O$11),"",NeoBerLab!$O$11)</f>
        <v>0</v>
      </c>
      <c r="C1342" s="208" t="b">
        <v>0</v>
      </c>
    </row>
    <row r="1343" spans="1:6" x14ac:dyDescent="0.2">
      <c r="A1343" s="208" t="s">
        <v>2373</v>
      </c>
      <c r="B1343" t="b">
        <f>IF(ISBLANK(NeoBerLab!$O$12),"",NeoBerLab!$O$12)</f>
        <v>0</v>
      </c>
      <c r="C1343" s="208" t="b">
        <v>0</v>
      </c>
    </row>
    <row r="1344" spans="1:6" x14ac:dyDescent="0.2">
      <c r="A1344" s="208" t="s">
        <v>2374</v>
      </c>
      <c r="B1344" t="b">
        <f>IF(ISBLANK(NeoBerLab!$O$13),"",NeoBerLab!$O$13)</f>
        <v>0</v>
      </c>
      <c r="C1344" s="208" t="b">
        <v>0</v>
      </c>
    </row>
    <row r="1345" spans="1:5" x14ac:dyDescent="0.2">
      <c r="A1345" s="208" t="s">
        <v>2375</v>
      </c>
      <c r="B1345" t="b">
        <f>IF(ISBLANK(NeoBerLab!$O$14),"",NeoBerLab!$O$14)</f>
        <v>0</v>
      </c>
      <c r="C1345" s="208" t="b">
        <v>0</v>
      </c>
      <c r="E1345" s="208"/>
    </row>
    <row r="1346" spans="1:5" x14ac:dyDescent="0.2">
      <c r="A1346" s="208" t="s">
        <v>2376</v>
      </c>
      <c r="B1346" t="b">
        <f>IF(ISBLANK(NeoBerLab!$O$15),"",NeoBerLab!$O$15)</f>
        <v>0</v>
      </c>
      <c r="C1346" s="208" t="b">
        <v>0</v>
      </c>
      <c r="D1346" s="208"/>
      <c r="E1346" s="208"/>
    </row>
    <row r="1347" spans="1:5" x14ac:dyDescent="0.2">
      <c r="A1347" s="208" t="s">
        <v>2377</v>
      </c>
      <c r="B1347" t="b">
        <f>IF(ISBLANK(NeoBerLab!$O$16),"",NeoBerLab!$O$16)</f>
        <v>0</v>
      </c>
      <c r="C1347" s="208" t="b">
        <v>0</v>
      </c>
      <c r="D1347" s="208"/>
      <c r="E1347" s="208"/>
    </row>
    <row r="1348" spans="1:5" x14ac:dyDescent="0.2">
      <c r="A1348" s="208" t="s">
        <v>2378</v>
      </c>
      <c r="B1348" t="b">
        <f>IF(ISBLANK(NeoBerLab!$O$17),"",NeoBerLab!$O$17)</f>
        <v>0</v>
      </c>
      <c r="C1348" s="208" t="b">
        <v>0</v>
      </c>
      <c r="D1348" s="208"/>
    </row>
    <row r="1349" spans="1:5" x14ac:dyDescent="0.2">
      <c r="A1349" s="208" t="s">
        <v>2379</v>
      </c>
      <c r="B1349" t="b">
        <f>IF(ISBLANK(NeoBerLab!$O$18),"",NeoBerLab!$O$18)</f>
        <v>0</v>
      </c>
      <c r="C1349" s="208" t="b">
        <v>0</v>
      </c>
    </row>
    <row r="1350" spans="1:5" x14ac:dyDescent="0.2">
      <c r="A1350" s="208" t="s">
        <v>2380</v>
      </c>
      <c r="B1350" t="b">
        <f>IF(ISBLANK(NeoBerLab!$O$19),"",NeoBerLab!$O$19)</f>
        <v>0</v>
      </c>
      <c r="C1350" s="208" t="b">
        <v>0</v>
      </c>
    </row>
    <row r="1351" spans="1:5" x14ac:dyDescent="0.2">
      <c r="A1351" s="208" t="s">
        <v>2381</v>
      </c>
      <c r="B1351" t="b">
        <f>IF(ISBLANK(NeoBerLab!$O$20),"",NeoBerLab!$O$20)</f>
        <v>0</v>
      </c>
      <c r="C1351" s="208" t="b">
        <v>0</v>
      </c>
      <c r="D1351" s="98"/>
    </row>
    <row r="1352" spans="1:5" x14ac:dyDescent="0.2">
      <c r="A1352" s="208" t="s">
        <v>2382</v>
      </c>
      <c r="B1352" t="b">
        <f>IF(ISBLANK(NeoBerLab!$O$21),"",NeoBerLab!$O$21)</f>
        <v>0</v>
      </c>
      <c r="C1352" s="208" t="b">
        <v>0</v>
      </c>
    </row>
    <row r="1353" spans="1:5" x14ac:dyDescent="0.2">
      <c r="A1353" s="208" t="s">
        <v>2383</v>
      </c>
      <c r="B1353" t="b">
        <f>IF(ISBLANK(NeoBerLab!$O$22),"",NeoBerLab!$O$22)</f>
        <v>0</v>
      </c>
      <c r="C1353" s="208" t="b">
        <v>0</v>
      </c>
    </row>
    <row r="1354" spans="1:5" x14ac:dyDescent="0.2">
      <c r="A1354" s="208" t="s">
        <v>2384</v>
      </c>
      <c r="B1354" t="b">
        <f>IF(ISBLANK(NeoBerLab!$O$23),"",NeoBerLab!$O$23)</f>
        <v>0</v>
      </c>
      <c r="C1354" s="208" t="b">
        <v>0</v>
      </c>
    </row>
    <row r="1355" spans="1:5" x14ac:dyDescent="0.2">
      <c r="A1355" s="208" t="s">
        <v>2385</v>
      </c>
      <c r="B1355" t="b">
        <f>IF(ISBLANK(NeoBerLab!$O$24),"",NeoBerLab!$O$24)</f>
        <v>0</v>
      </c>
      <c r="C1355" s="208" t="b">
        <v>0</v>
      </c>
    </row>
    <row r="1356" spans="1:5" x14ac:dyDescent="0.2">
      <c r="A1356" s="208" t="s">
        <v>2386</v>
      </c>
      <c r="B1356" t="b">
        <f>IF(ISBLANK(NeoBerLab!$O$25),"",NeoBerLab!$O$25)</f>
        <v>0</v>
      </c>
      <c r="C1356" s="208" t="b">
        <v>0</v>
      </c>
    </row>
    <row r="1357" spans="1:5" x14ac:dyDescent="0.2">
      <c r="A1357" s="208" t="s">
        <v>2387</v>
      </c>
      <c r="B1357" t="b">
        <f>IF(ISBLANK(NeoBerLab!$O$26),"",NeoBerLab!$O$26)</f>
        <v>0</v>
      </c>
      <c r="C1357" s="208" t="b">
        <v>0</v>
      </c>
    </row>
    <row r="1358" spans="1:5" x14ac:dyDescent="0.2">
      <c r="A1358" s="208" t="s">
        <v>2388</v>
      </c>
      <c r="B1358" t="b">
        <f>IF(ISBLANK(NeoBerLab!$O$27),"",NeoBerLab!$O$27)</f>
        <v>0</v>
      </c>
      <c r="C1358" s="208" t="b">
        <v>0</v>
      </c>
    </row>
    <row r="1359" spans="1:5" x14ac:dyDescent="0.2">
      <c r="A1359" s="208" t="s">
        <v>2389</v>
      </c>
      <c r="B1359" t="b">
        <f>IF(ISBLANK(NeoBerLab!$O$28),"",NeoBerLab!$O$28)</f>
        <v>0</v>
      </c>
      <c r="C1359" s="208" t="b">
        <v>0</v>
      </c>
    </row>
    <row r="1360" spans="1:5" x14ac:dyDescent="0.2">
      <c r="A1360" s="208" t="s">
        <v>2390</v>
      </c>
      <c r="B1360" t="b">
        <f>IF(ISBLANK(NeoBerLab!$O$29),"",NeoBerLab!$O$29)</f>
        <v>0</v>
      </c>
      <c r="C1360" s="208" t="b">
        <v>0</v>
      </c>
    </row>
    <row r="1361" spans="1:5" x14ac:dyDescent="0.2">
      <c r="A1361" s="208" t="s">
        <v>2391</v>
      </c>
      <c r="B1361" t="b">
        <f>IF(ISBLANK(NeoBerLab!$O$30),"",NeoBerLab!$O$30)</f>
        <v>0</v>
      </c>
      <c r="C1361" s="208" t="b">
        <v>0</v>
      </c>
    </row>
    <row r="1362" spans="1:5" x14ac:dyDescent="0.2">
      <c r="A1362" s="208" t="s">
        <v>2392</v>
      </c>
      <c r="B1362" t="b">
        <f>IF(ISBLANK(NeoBerLab!$O$31),"",NeoBerLab!$O$31)</f>
        <v>0</v>
      </c>
      <c r="C1362" s="208" t="b">
        <v>0</v>
      </c>
    </row>
    <row r="1363" spans="1:5" x14ac:dyDescent="0.2">
      <c r="A1363" s="208" t="s">
        <v>2393</v>
      </c>
      <c r="B1363" t="b">
        <f>IF(ISBLANK(NeoBerLab!$O$32),"",NeoBerLab!$O$32)</f>
        <v>0</v>
      </c>
      <c r="C1363" s="208" t="b">
        <v>0</v>
      </c>
    </row>
    <row r="1364" spans="1:5" x14ac:dyDescent="0.2">
      <c r="A1364" s="208" t="s">
        <v>2394</v>
      </c>
      <c r="B1364" t="b">
        <f>IF(ISBLANK(NeoBerLab!$O$33),"",NeoBerLab!$O$33)</f>
        <v>0</v>
      </c>
      <c r="C1364" s="208" t="b">
        <v>0</v>
      </c>
    </row>
    <row r="1365" spans="1:5" x14ac:dyDescent="0.2">
      <c r="A1365" s="208" t="s">
        <v>2395</v>
      </c>
      <c r="B1365" t="b">
        <f>IF(ISBLANK(NeoBerLab!$O$34),"",NeoBerLab!$O$34)</f>
        <v>0</v>
      </c>
      <c r="C1365" s="208" t="b">
        <v>0</v>
      </c>
    </row>
    <row r="1366" spans="1:5" x14ac:dyDescent="0.2">
      <c r="A1366" s="208" t="s">
        <v>2396</v>
      </c>
      <c r="B1366" t="b">
        <f>IF(ISBLANK(NeoBerLab!$Q$4),"",NeoBerLab!$Q$4)</f>
        <v>0</v>
      </c>
      <c r="C1366" s="208" t="b">
        <v>0</v>
      </c>
    </row>
    <row r="1367" spans="1:5" x14ac:dyDescent="0.2">
      <c r="A1367" s="208" t="s">
        <v>2397</v>
      </c>
      <c r="B1367" t="b">
        <f>IF(ISBLANK(NeoBerLab!$Q$5),"",NeoBerLab!$Q$5)</f>
        <v>0</v>
      </c>
      <c r="C1367" s="208" t="b">
        <v>0</v>
      </c>
    </row>
    <row r="1368" spans="1:5" x14ac:dyDescent="0.2">
      <c r="A1368" s="208" t="s">
        <v>2398</v>
      </c>
      <c r="B1368" t="b">
        <f>IF(ISBLANK(NeoBerLab!$Q$6),"",NeoBerLab!$Q$6)</f>
        <v>0</v>
      </c>
      <c r="C1368" s="208" t="b">
        <v>0</v>
      </c>
    </row>
    <row r="1369" spans="1:5" x14ac:dyDescent="0.2">
      <c r="A1369" s="208" t="s">
        <v>2399</v>
      </c>
      <c r="B1369" t="b">
        <f>IF(ISBLANK(NeoBerLab!$Q$7),"",NeoBerLab!$Q$7)</f>
        <v>0</v>
      </c>
      <c r="C1369" s="208" t="b">
        <v>0</v>
      </c>
    </row>
    <row r="1370" spans="1:5" x14ac:dyDescent="0.2">
      <c r="A1370" s="208" t="s">
        <v>2400</v>
      </c>
      <c r="B1370" t="b">
        <f>IF(ISBLANK(NeoBerLab!$Q$8),"",NeoBerLab!$Q$8)</f>
        <v>0</v>
      </c>
      <c r="C1370" s="208" t="b">
        <v>0</v>
      </c>
    </row>
    <row r="1371" spans="1:5" x14ac:dyDescent="0.2">
      <c r="A1371" s="208" t="s">
        <v>2401</v>
      </c>
      <c r="B1371" s="208" t="b">
        <f>IF(ISBLANK(NeoBerLab!$Q$9),"",NeoBerLab!$Q$9)</f>
        <v>0</v>
      </c>
      <c r="C1371" s="208" t="b">
        <v>0</v>
      </c>
      <c r="D1371" s="208"/>
      <c r="E1371" s="208"/>
    </row>
    <row r="1372" spans="1:5" x14ac:dyDescent="0.2">
      <c r="A1372" s="208" t="s">
        <v>2402</v>
      </c>
      <c r="B1372" s="208" t="b">
        <f>IF(ISBLANK(NeoBerLab!$Q$10),"",NeoBerLab!$Q$10)</f>
        <v>0</v>
      </c>
      <c r="C1372" s="208" t="b">
        <v>0</v>
      </c>
    </row>
    <row r="1373" spans="1:5" x14ac:dyDescent="0.2">
      <c r="A1373" s="208" t="s">
        <v>2403</v>
      </c>
      <c r="B1373" s="208" t="b">
        <f>IF(ISBLANK(NeoBerLab!$Q$11),"",NeoBerLab!$Q$11)</f>
        <v>0</v>
      </c>
      <c r="C1373" s="208" t="b">
        <v>0</v>
      </c>
    </row>
    <row r="1374" spans="1:5" x14ac:dyDescent="0.2">
      <c r="A1374" s="208" t="s">
        <v>2404</v>
      </c>
      <c r="B1374" s="208" t="b">
        <f>IF(ISBLANK(NeoBerLab!$Q$12),"",NeoBerLab!$Q$12)</f>
        <v>0</v>
      </c>
      <c r="C1374" s="208" t="b">
        <v>0</v>
      </c>
    </row>
    <row r="1375" spans="1:5" x14ac:dyDescent="0.2">
      <c r="A1375" s="208" t="s">
        <v>2405</v>
      </c>
      <c r="B1375" t="b">
        <f>IF(ISBLANK(NeoBerLab!$Q$13),"",NeoBerLab!$Q$13)</f>
        <v>0</v>
      </c>
      <c r="C1375" s="208" t="b">
        <v>0</v>
      </c>
    </row>
    <row r="1376" spans="1:5" x14ac:dyDescent="0.2">
      <c r="A1376" s="208" t="s">
        <v>2406</v>
      </c>
      <c r="B1376" t="b">
        <f>IF(ISBLANK(NeoBerLab!$Q$14),"",NeoBerLab!$Q$14)</f>
        <v>0</v>
      </c>
      <c r="C1376" s="208" t="b">
        <v>0</v>
      </c>
    </row>
    <row r="1377" spans="1:6" x14ac:dyDescent="0.2">
      <c r="A1377" s="208" t="s">
        <v>2407</v>
      </c>
      <c r="B1377" s="208" t="b">
        <f>IF(ISBLANK(NeoBerLab!$Q$15),"",NeoBerLab!$Q$15)</f>
        <v>0</v>
      </c>
      <c r="C1377" s="208" t="b">
        <v>0</v>
      </c>
    </row>
    <row r="1378" spans="1:6" x14ac:dyDescent="0.2">
      <c r="A1378" s="208" t="s">
        <v>2408</v>
      </c>
      <c r="B1378" t="b">
        <f>IF(ISBLANK(NeoBerLab!$Q$16),"",NeoBerLab!$Q$16)</f>
        <v>0</v>
      </c>
      <c r="C1378" t="b">
        <v>0</v>
      </c>
    </row>
    <row r="1379" spans="1:6" x14ac:dyDescent="0.2">
      <c r="A1379" s="208" t="s">
        <v>2409</v>
      </c>
      <c r="B1379" t="b">
        <f>IF(ISBLANK(NeoBerLab!$Q$17),"",NeoBerLab!$Q$17)</f>
        <v>0</v>
      </c>
      <c r="C1379" s="208" t="b">
        <v>0</v>
      </c>
    </row>
    <row r="1380" spans="1:6" x14ac:dyDescent="0.2">
      <c r="A1380" s="208" t="s">
        <v>2410</v>
      </c>
      <c r="B1380" t="b">
        <f>IF(ISBLANK(NeoBerLab!$Q$18),"",NeoBerLab!$Q$18)</f>
        <v>0</v>
      </c>
      <c r="C1380" s="208" t="b">
        <v>0</v>
      </c>
    </row>
    <row r="1381" spans="1:6" x14ac:dyDescent="0.2">
      <c r="A1381" s="208" t="s">
        <v>2411</v>
      </c>
      <c r="B1381" t="b">
        <f>IF(ISBLANK(NeoBerLab!$Q$19),"",NeoBerLab!$Q$19)</f>
        <v>0</v>
      </c>
      <c r="C1381" s="208" t="b">
        <v>0</v>
      </c>
    </row>
    <row r="1382" spans="1:6" x14ac:dyDescent="0.2">
      <c r="A1382" s="208" t="s">
        <v>2412</v>
      </c>
      <c r="B1382" t="b">
        <f>IF(ISBLANK(NeoBerLab!$Q$20),"",NeoBerLab!$Q$20)</f>
        <v>0</v>
      </c>
      <c r="C1382" s="208" t="b">
        <v>0</v>
      </c>
    </row>
    <row r="1383" spans="1:6" x14ac:dyDescent="0.2">
      <c r="A1383" s="208" t="s">
        <v>2413</v>
      </c>
      <c r="B1383" t="b">
        <f>IF(ISBLANK(NeoBerLab!$Q$21),"",NeoBerLab!$Q$21)</f>
        <v>0</v>
      </c>
      <c r="C1383" s="208" t="b">
        <v>0</v>
      </c>
    </row>
    <row r="1384" spans="1:6" x14ac:dyDescent="0.2">
      <c r="A1384" s="208" t="s">
        <v>2414</v>
      </c>
      <c r="B1384" t="b">
        <f>IF(ISBLANK(NeoBerLab!$Q$22),"",NeoBerLab!$Q$22)</f>
        <v>0</v>
      </c>
      <c r="C1384" s="208" t="b">
        <v>0</v>
      </c>
    </row>
    <row r="1385" spans="1:6" x14ac:dyDescent="0.2">
      <c r="A1385" s="208" t="s">
        <v>2415</v>
      </c>
      <c r="B1385" t="b">
        <f>IF(ISBLANK(NeoBerLab!$Q$23),"",NeoBerLab!$Q$23)</f>
        <v>0</v>
      </c>
      <c r="C1385" s="208" t="b">
        <v>0</v>
      </c>
    </row>
    <row r="1386" spans="1:6" x14ac:dyDescent="0.2">
      <c r="A1386" s="208" t="s">
        <v>2416</v>
      </c>
      <c r="B1386" t="b">
        <f>IF(ISBLANK(NeoBerLab!$Q$24),"",NeoBerLab!$Q$24)</f>
        <v>0</v>
      </c>
      <c r="C1386" s="208" t="b">
        <v>0</v>
      </c>
      <c r="F1386" s="208"/>
    </row>
    <row r="1387" spans="1:6" x14ac:dyDescent="0.2">
      <c r="A1387" s="208" t="s">
        <v>2417</v>
      </c>
      <c r="B1387" t="b">
        <f>IF(ISBLANK(NeoBerLab!$Q$25),"",NeoBerLab!$Q$25)</f>
        <v>0</v>
      </c>
      <c r="C1387" s="208" t="b">
        <v>0</v>
      </c>
    </row>
    <row r="1388" spans="1:6" x14ac:dyDescent="0.2">
      <c r="A1388" s="208" t="s">
        <v>2418</v>
      </c>
      <c r="B1388" t="b">
        <f>IF(ISBLANK(NeoBerLab!$Q$26),"",NeoBerLab!$Q$26)</f>
        <v>0</v>
      </c>
      <c r="C1388" s="208" t="b">
        <v>0</v>
      </c>
    </row>
    <row r="1389" spans="1:6" x14ac:dyDescent="0.2">
      <c r="A1389" s="208" t="s">
        <v>2419</v>
      </c>
      <c r="B1389" t="b">
        <f>IF(ISBLANK(NeoBerLab!$Q$27),"",NeoBerLab!$Q$27)</f>
        <v>0</v>
      </c>
      <c r="C1389" s="208" t="b">
        <v>0</v>
      </c>
    </row>
    <row r="1390" spans="1:6" x14ac:dyDescent="0.2">
      <c r="A1390" s="208" t="s">
        <v>2420</v>
      </c>
      <c r="B1390" t="b">
        <f>IF(ISBLANK(NeoBerLab!$Q$28),"",NeoBerLab!$Q$28)</f>
        <v>0</v>
      </c>
      <c r="C1390" s="208" t="b">
        <v>0</v>
      </c>
    </row>
    <row r="1391" spans="1:6" x14ac:dyDescent="0.2">
      <c r="A1391" s="208" t="s">
        <v>2421</v>
      </c>
      <c r="B1391" t="b">
        <f>IF(ISBLANK(NeoBerLab!$Q$29),"",NeoBerLab!$Q$29)</f>
        <v>0</v>
      </c>
      <c r="C1391" s="208" t="b">
        <v>0</v>
      </c>
    </row>
    <row r="1392" spans="1:6" x14ac:dyDescent="0.2">
      <c r="A1392" s="208" t="s">
        <v>2422</v>
      </c>
      <c r="B1392" t="b">
        <f>IF(ISBLANK(NeoBerLab!$Q$30),"",NeoBerLab!$Q$30)</f>
        <v>0</v>
      </c>
      <c r="C1392" s="208" t="b">
        <v>0</v>
      </c>
    </row>
    <row r="1393" spans="1:3" x14ac:dyDescent="0.2">
      <c r="A1393" s="208" t="s">
        <v>2423</v>
      </c>
      <c r="B1393" t="b">
        <f>IF(ISBLANK(NeoBerLab!$Q$31),"",NeoBerLab!$Q$31)</f>
        <v>0</v>
      </c>
      <c r="C1393" s="208" t="b">
        <v>0</v>
      </c>
    </row>
    <row r="1394" spans="1:3" x14ac:dyDescent="0.2">
      <c r="A1394" s="208" t="s">
        <v>2424</v>
      </c>
      <c r="B1394" t="b">
        <f>IF(ISBLANK(NeoBerLab!$Q$32),"",NeoBerLab!$Q$32)</f>
        <v>0</v>
      </c>
      <c r="C1394" s="208" t="b">
        <v>0</v>
      </c>
    </row>
    <row r="1395" spans="1:3" x14ac:dyDescent="0.2">
      <c r="A1395" s="208" t="s">
        <v>2425</v>
      </c>
      <c r="B1395" t="b">
        <f>IF(ISBLANK(NeoBerLab!$Q$33),"",NeoBerLab!$Q$33)</f>
        <v>0</v>
      </c>
      <c r="C1395" s="208" t="b">
        <v>0</v>
      </c>
    </row>
    <row r="1396" spans="1:3" x14ac:dyDescent="0.2">
      <c r="A1396" s="208" t="s">
        <v>2426</v>
      </c>
      <c r="B1396" t="b">
        <f>IF(ISBLANK(NeoBerLab!$Q$34),"",NeoBerLab!$Q$34)</f>
        <v>0</v>
      </c>
      <c r="C1396" s="208" t="b">
        <v>0</v>
      </c>
    </row>
    <row r="1397" spans="1:3" x14ac:dyDescent="0.2">
      <c r="A1397" s="208" t="s">
        <v>2427</v>
      </c>
      <c r="B1397" t="b">
        <f>IF(ISBLANK(NeoBerLab!$S$4),"",NeoBerLab!$S$4)</f>
        <v>0</v>
      </c>
      <c r="C1397" s="208" t="b">
        <v>0</v>
      </c>
    </row>
    <row r="1398" spans="1:3" x14ac:dyDescent="0.2">
      <c r="A1398" s="208" t="s">
        <v>2428</v>
      </c>
      <c r="B1398" t="b">
        <f>IF(ISBLANK(NeoBerLab!$S$5),"",NeoBerLab!$S$5)</f>
        <v>0</v>
      </c>
      <c r="C1398" s="208" t="b">
        <v>0</v>
      </c>
    </row>
    <row r="1399" spans="1:3" x14ac:dyDescent="0.2">
      <c r="A1399" s="208" t="s">
        <v>2429</v>
      </c>
      <c r="B1399" t="b">
        <f>IF(ISBLANK(NeoBerLab!$S$6),"",NeoBerLab!$S$6)</f>
        <v>0</v>
      </c>
      <c r="C1399" s="208" t="b">
        <v>0</v>
      </c>
    </row>
    <row r="1400" spans="1:3" x14ac:dyDescent="0.2">
      <c r="A1400" s="208" t="s">
        <v>2430</v>
      </c>
      <c r="B1400" t="b">
        <f>IF(ISBLANK(NeoBerLab!$S$7),"",NeoBerLab!$S$7)</f>
        <v>0</v>
      </c>
      <c r="C1400" s="208" t="b">
        <v>0</v>
      </c>
    </row>
    <row r="1401" spans="1:3" x14ac:dyDescent="0.2">
      <c r="A1401" s="208" t="s">
        <v>2431</v>
      </c>
      <c r="B1401" t="b">
        <f>IF(ISBLANK(NeoBerLab!$S$8),"",NeoBerLab!$S$8)</f>
        <v>0</v>
      </c>
      <c r="C1401" s="208" t="b">
        <v>0</v>
      </c>
    </row>
    <row r="1402" spans="1:3" x14ac:dyDescent="0.2">
      <c r="A1402" s="208" t="s">
        <v>2432</v>
      </c>
      <c r="B1402" t="b">
        <f>IF(ISBLANK(NeoBerLab!$S$9),"",NeoBerLab!$S$9)</f>
        <v>0</v>
      </c>
      <c r="C1402" s="208" t="b">
        <v>0</v>
      </c>
    </row>
    <row r="1403" spans="1:3" x14ac:dyDescent="0.2">
      <c r="A1403" s="208" t="s">
        <v>2433</v>
      </c>
      <c r="B1403" t="b">
        <f>IF(ISBLANK(NeoBerLab!$S$10),"",NeoBerLab!$S$10)</f>
        <v>0</v>
      </c>
      <c r="C1403" s="208" t="b">
        <v>0</v>
      </c>
    </row>
    <row r="1404" spans="1:3" x14ac:dyDescent="0.2">
      <c r="A1404" s="208" t="s">
        <v>2434</v>
      </c>
      <c r="B1404" t="b">
        <f>IF(ISBLANK(NeoBerLab!$S$11),"",NeoBerLab!$S$11)</f>
        <v>0</v>
      </c>
      <c r="C1404" s="208" t="b">
        <v>0</v>
      </c>
    </row>
    <row r="1405" spans="1:3" x14ac:dyDescent="0.2">
      <c r="A1405" s="208" t="s">
        <v>2435</v>
      </c>
      <c r="B1405" t="b">
        <f>IF(ISBLANK(NeoBerLab!$S$12),"",NeoBerLab!$S$12)</f>
        <v>0</v>
      </c>
      <c r="C1405" s="208" t="b">
        <v>0</v>
      </c>
    </row>
    <row r="1406" spans="1:3" x14ac:dyDescent="0.2">
      <c r="A1406" s="208" t="s">
        <v>2436</v>
      </c>
      <c r="B1406" t="b">
        <f>IF(ISBLANK(NeoBerLab!$S$13),"",NeoBerLab!$S$13)</f>
        <v>0</v>
      </c>
      <c r="C1406" s="208" t="b">
        <v>0</v>
      </c>
    </row>
    <row r="1407" spans="1:3" x14ac:dyDescent="0.2">
      <c r="A1407" s="208" t="s">
        <v>2437</v>
      </c>
      <c r="B1407" t="b">
        <f>IF(ISBLANK(NeoBerLab!$S$14),"",NeoBerLab!$S$14)</f>
        <v>0</v>
      </c>
      <c r="C1407" s="208" t="b">
        <v>0</v>
      </c>
    </row>
    <row r="1408" spans="1:3" x14ac:dyDescent="0.2">
      <c r="A1408" s="208" t="s">
        <v>2438</v>
      </c>
      <c r="B1408" t="b">
        <f>IF(ISBLANK(NeoBerLab!$S$15),"",NeoBerLab!$S$15)</f>
        <v>0</v>
      </c>
      <c r="C1408" s="208" t="b">
        <v>0</v>
      </c>
    </row>
    <row r="1409" spans="1:5" x14ac:dyDescent="0.2">
      <c r="A1409" s="208" t="s">
        <v>2439</v>
      </c>
      <c r="B1409" t="b">
        <f>IF(ISBLANK(NeoBerLab!$S$16),"",NeoBerLab!$S$16)</f>
        <v>0</v>
      </c>
      <c r="C1409" s="208" t="b">
        <v>0</v>
      </c>
    </row>
    <row r="1410" spans="1:5" x14ac:dyDescent="0.2">
      <c r="A1410" s="208" t="s">
        <v>2440</v>
      </c>
      <c r="B1410" t="b">
        <f>IF(ISBLANK(NeoBerLab!$S$17),"",NeoBerLab!$S$17)</f>
        <v>0</v>
      </c>
      <c r="C1410" s="208" t="b">
        <v>0</v>
      </c>
    </row>
    <row r="1411" spans="1:5" x14ac:dyDescent="0.2">
      <c r="A1411" s="208" t="s">
        <v>2441</v>
      </c>
      <c r="B1411" t="b">
        <f>IF(ISBLANK(NeoBerLab!$S$18),"",NeoBerLab!$S$18)</f>
        <v>0</v>
      </c>
      <c r="C1411" s="208" t="b">
        <v>0</v>
      </c>
    </row>
    <row r="1412" spans="1:5" x14ac:dyDescent="0.2">
      <c r="A1412" s="208" t="s">
        <v>2442</v>
      </c>
      <c r="B1412" t="b">
        <f>IF(ISBLANK(NeoBerLab!$S$19),"",NeoBerLab!$S$19)</f>
        <v>0</v>
      </c>
      <c r="C1412" s="208" t="b">
        <v>0</v>
      </c>
    </row>
    <row r="1413" spans="1:5" x14ac:dyDescent="0.2">
      <c r="A1413" s="208" t="s">
        <v>2443</v>
      </c>
      <c r="B1413" t="b">
        <f>IF(ISBLANK(NeoBerLab!$S$20),"",NeoBerLab!$S$20)</f>
        <v>0</v>
      </c>
      <c r="C1413" s="208" t="b">
        <v>0</v>
      </c>
    </row>
    <row r="1414" spans="1:5" x14ac:dyDescent="0.2">
      <c r="A1414" s="208" t="s">
        <v>2444</v>
      </c>
      <c r="B1414" t="b">
        <f>IF(ISBLANK(NeoBerLab!$S$21),"",NeoBerLab!$S$21)</f>
        <v>0</v>
      </c>
      <c r="C1414" s="208" t="b">
        <v>0</v>
      </c>
    </row>
    <row r="1415" spans="1:5" x14ac:dyDescent="0.2">
      <c r="A1415" s="208" t="s">
        <v>2445</v>
      </c>
      <c r="B1415" t="b">
        <f>IF(ISBLANK(NeoBerLab!$S$22),"",NeoBerLab!$S$22)</f>
        <v>0</v>
      </c>
      <c r="C1415" s="208" t="b">
        <v>0</v>
      </c>
    </row>
    <row r="1416" spans="1:5" x14ac:dyDescent="0.2">
      <c r="A1416" s="208" t="s">
        <v>2446</v>
      </c>
      <c r="B1416" t="b">
        <f>IF(ISBLANK(NeoBerLab!$S$23),"",NeoBerLab!$S$23)</f>
        <v>0</v>
      </c>
      <c r="C1416" s="208" t="b">
        <v>0</v>
      </c>
      <c r="D1416" s="208"/>
      <c r="E1416" s="208"/>
    </row>
    <row r="1417" spans="1:5" x14ac:dyDescent="0.2">
      <c r="A1417" s="208" t="s">
        <v>2447</v>
      </c>
      <c r="B1417" t="b">
        <f>IF(ISBLANK(NeoBerLab!$S$24),"",NeoBerLab!$S$24)</f>
        <v>0</v>
      </c>
      <c r="C1417" s="208" t="b">
        <v>0</v>
      </c>
    </row>
    <row r="1418" spans="1:5" x14ac:dyDescent="0.2">
      <c r="A1418" s="208" t="s">
        <v>2448</v>
      </c>
      <c r="B1418" t="b">
        <f>IF(ISBLANK(NeoBerLab!$S$25),"",NeoBerLab!$S$25)</f>
        <v>0</v>
      </c>
      <c r="C1418" s="208" t="b">
        <v>0</v>
      </c>
    </row>
    <row r="1419" spans="1:5" x14ac:dyDescent="0.2">
      <c r="A1419" s="208" t="s">
        <v>2449</v>
      </c>
      <c r="B1419" t="b">
        <f>IF(ISBLANK(NeoBerLab!$S$26),"",NeoBerLab!$S$26)</f>
        <v>0</v>
      </c>
      <c r="C1419" s="208" t="b">
        <v>0</v>
      </c>
    </row>
    <row r="1420" spans="1:5" x14ac:dyDescent="0.2">
      <c r="A1420" s="208" t="s">
        <v>2450</v>
      </c>
      <c r="B1420" t="b">
        <f>IF(ISBLANK(NeoBerLab!$S$27),"",NeoBerLab!$S$27)</f>
        <v>0</v>
      </c>
      <c r="C1420" t="b">
        <v>0</v>
      </c>
    </row>
    <row r="1421" spans="1:5" x14ac:dyDescent="0.2">
      <c r="A1421" s="208" t="s">
        <v>2451</v>
      </c>
      <c r="B1421" t="b">
        <f>IF(ISBLANK(NeoBerLab!$S$28),"",NeoBerLab!$S$28)</f>
        <v>0</v>
      </c>
      <c r="C1421" t="b">
        <v>0</v>
      </c>
    </row>
    <row r="1422" spans="1:5" x14ac:dyDescent="0.2">
      <c r="A1422" s="208" t="s">
        <v>2452</v>
      </c>
      <c r="B1422" t="b">
        <f>IF(ISBLANK(NeoBerLab!$S$29),"",NeoBerLab!$S$29)</f>
        <v>0</v>
      </c>
      <c r="C1422" t="b">
        <v>0</v>
      </c>
    </row>
    <row r="1423" spans="1:5" x14ac:dyDescent="0.2">
      <c r="A1423" s="208" t="s">
        <v>2453</v>
      </c>
      <c r="B1423" t="b">
        <f>IF(ISBLANK(NeoBerLab!$S$30),"",NeoBerLab!$S$30)</f>
        <v>0</v>
      </c>
      <c r="C1423" t="b">
        <v>0</v>
      </c>
    </row>
    <row r="1424" spans="1:5" x14ac:dyDescent="0.2">
      <c r="A1424" s="208" t="s">
        <v>2454</v>
      </c>
      <c r="B1424" t="b">
        <f>IF(ISBLANK(NeoBerLab!$S$31),"",NeoBerLab!$S$31)</f>
        <v>0</v>
      </c>
      <c r="C1424" t="b">
        <v>0</v>
      </c>
    </row>
    <row r="1425" spans="1:3" x14ac:dyDescent="0.2">
      <c r="A1425" s="208" t="s">
        <v>2455</v>
      </c>
      <c r="B1425" t="b">
        <f>IF(ISBLANK(NeoBerLab!$S$32),"",NeoBerLab!$S$32)</f>
        <v>0</v>
      </c>
      <c r="C1425" t="b">
        <v>0</v>
      </c>
    </row>
    <row r="1426" spans="1:3" x14ac:dyDescent="0.2">
      <c r="A1426" s="208" t="s">
        <v>2456</v>
      </c>
      <c r="B1426" t="b">
        <f>IF(ISBLANK(NeoBerLab!$S$33),"",NeoBerLab!$S$33)</f>
        <v>0</v>
      </c>
      <c r="C1426" t="b">
        <v>0</v>
      </c>
    </row>
    <row r="1427" spans="1:3" x14ac:dyDescent="0.2">
      <c r="A1427" s="208" t="s">
        <v>2457</v>
      </c>
      <c r="B1427" t="b">
        <f>IF(ISBLANK(NeoBerLab!$S$34),"",NeoBerLab!$S$34)</f>
        <v>0</v>
      </c>
      <c r="C1427" t="b">
        <v>0</v>
      </c>
    </row>
    <row r="1428" spans="1:3" x14ac:dyDescent="0.2">
      <c r="A1428" s="208" t="s">
        <v>2458</v>
      </c>
      <c r="B1428" t="str">
        <f>IF(ISBLANK(NeoBerLab!$D$38),"",NeoBerLab!$D$38)</f>
        <v/>
      </c>
      <c r="C1428" s="99"/>
    </row>
    <row r="1429" spans="1:3" x14ac:dyDescent="0.2">
      <c r="A1429" s="208" t="s">
        <v>2459</v>
      </c>
      <c r="B1429" t="b">
        <f>IF(ISBLANK(NeoBerLab!$C$4),"",NeoBerLab!$C$4)</f>
        <v>0</v>
      </c>
      <c r="C1429" s="208" t="b">
        <v>0</v>
      </c>
    </row>
    <row r="1430" spans="1:3" x14ac:dyDescent="0.2">
      <c r="A1430" s="208" t="s">
        <v>2460</v>
      </c>
      <c r="B1430" s="208" t="b">
        <f>IF(ISBLANK(NeoBerLab!$C$5),"",NeoBerLab!$C$5)</f>
        <v>0</v>
      </c>
      <c r="C1430" s="208" t="b">
        <v>0</v>
      </c>
    </row>
    <row r="1431" spans="1:3" x14ac:dyDescent="0.2">
      <c r="A1431" s="208" t="s">
        <v>2461</v>
      </c>
      <c r="B1431" t="b">
        <f>IF(ISBLANK(NeoBerLab!$C$6),"",NeoBerLab!$C$6)</f>
        <v>0</v>
      </c>
      <c r="C1431" t="b">
        <v>0</v>
      </c>
    </row>
    <row r="1432" spans="1:3" x14ac:dyDescent="0.2">
      <c r="A1432" s="208" t="s">
        <v>2462</v>
      </c>
      <c r="B1432" t="b">
        <f>IF(ISBLANK(NeoBerLab!$C$7),"",NeoBerLab!$C$7)</f>
        <v>0</v>
      </c>
      <c r="C1432" t="b">
        <v>0</v>
      </c>
    </row>
    <row r="1433" spans="1:3" x14ac:dyDescent="0.2">
      <c r="A1433" s="208" t="s">
        <v>2463</v>
      </c>
      <c r="B1433" t="b">
        <f>IF(ISBLANK(NeoBerLab!$C$8),"",NeoBerLab!$C$8)</f>
        <v>0</v>
      </c>
      <c r="C1433" t="b">
        <v>0</v>
      </c>
    </row>
    <row r="1434" spans="1:3" x14ac:dyDescent="0.2">
      <c r="A1434" s="208" t="s">
        <v>2464</v>
      </c>
      <c r="B1434" t="b">
        <f>IF(ISBLANK(NeoBerLab!$C$9),"",NeoBerLab!$C$9)</f>
        <v>0</v>
      </c>
      <c r="C1434" t="b">
        <v>0</v>
      </c>
    </row>
    <row r="1435" spans="1:3" x14ac:dyDescent="0.2">
      <c r="A1435" s="208" t="s">
        <v>2465</v>
      </c>
      <c r="B1435" t="b">
        <f>IF(ISBLANK(NeoBerLab!$C$10),"",NeoBerLab!$C$10)</f>
        <v>0</v>
      </c>
      <c r="C1435" t="b">
        <v>0</v>
      </c>
    </row>
    <row r="1436" spans="1:3" x14ac:dyDescent="0.2">
      <c r="A1436" s="208" t="s">
        <v>2466</v>
      </c>
      <c r="B1436" t="b">
        <f>IF(ISBLANK(NeoBerLab!$C$11),"",NeoBerLab!$C$11)</f>
        <v>0</v>
      </c>
      <c r="C1436" t="b">
        <v>0</v>
      </c>
    </row>
    <row r="1437" spans="1:3" x14ac:dyDescent="0.2">
      <c r="A1437" s="208" t="s">
        <v>2467</v>
      </c>
      <c r="B1437" t="b">
        <f>IF(ISBLANK(NeoBerLab!$C$12),"",NeoBerLab!$C$12)</f>
        <v>0</v>
      </c>
      <c r="C1437" t="b">
        <v>0</v>
      </c>
    </row>
    <row r="1438" spans="1:3" x14ac:dyDescent="0.2">
      <c r="A1438" s="208" t="s">
        <v>2468</v>
      </c>
      <c r="B1438" t="b">
        <f>IF(ISBLANK(NeoBerLab!$C$13),"",NeoBerLab!$C$13)</f>
        <v>0</v>
      </c>
      <c r="C1438" t="b">
        <v>0</v>
      </c>
    </row>
    <row r="1439" spans="1:3" x14ac:dyDescent="0.2">
      <c r="A1439" s="208" t="s">
        <v>2469</v>
      </c>
      <c r="B1439" t="b">
        <f>IF(ISBLANK(NeoBerLab!$C$14),"",NeoBerLab!$C$14)</f>
        <v>0</v>
      </c>
      <c r="C1439" t="b">
        <v>0</v>
      </c>
    </row>
    <row r="1440" spans="1:3" x14ac:dyDescent="0.2">
      <c r="A1440" s="208" t="s">
        <v>2470</v>
      </c>
      <c r="B1440" t="b">
        <f>IF(ISBLANK(NeoBerLab!$C$15),"",NeoBerLab!$C$15)</f>
        <v>0</v>
      </c>
      <c r="C1440" t="b">
        <v>0</v>
      </c>
    </row>
    <row r="1441" spans="1:3" x14ac:dyDescent="0.2">
      <c r="A1441" s="208" t="s">
        <v>2471</v>
      </c>
      <c r="B1441" t="b">
        <f>IF(ISBLANK(NeoBerLab!$C$16),"",NeoBerLab!$C$16)</f>
        <v>0</v>
      </c>
      <c r="C1441" t="b">
        <v>0</v>
      </c>
    </row>
    <row r="1442" spans="1:3" x14ac:dyDescent="0.2">
      <c r="A1442" s="208" t="s">
        <v>2472</v>
      </c>
      <c r="B1442" t="b">
        <f>IF(ISBLANK(NeoBerLab!$C$17),"",NeoBerLab!$C$17)</f>
        <v>0</v>
      </c>
      <c r="C1442" t="b">
        <v>0</v>
      </c>
    </row>
    <row r="1443" spans="1:3" x14ac:dyDescent="0.2">
      <c r="A1443" s="208" t="s">
        <v>2473</v>
      </c>
      <c r="B1443" t="b">
        <f>IF(ISBLANK(NeoBerLab!$C$18),"",NeoBerLab!$C$18)</f>
        <v>0</v>
      </c>
      <c r="C1443" s="208" t="b">
        <v>0</v>
      </c>
    </row>
    <row r="1444" spans="1:3" x14ac:dyDescent="0.2">
      <c r="A1444" s="208" t="s">
        <v>2474</v>
      </c>
      <c r="B1444" t="b">
        <f>IF(ISBLANK(NeoBerLab!$C$19),"",NeoBerLab!$C$19)</f>
        <v>0</v>
      </c>
      <c r="C1444" t="b">
        <v>0</v>
      </c>
    </row>
    <row r="1445" spans="1:3" x14ac:dyDescent="0.2">
      <c r="A1445" s="208" t="s">
        <v>2475</v>
      </c>
      <c r="B1445" t="b">
        <f>IF(ISBLANK(NeoBerLab!$C$20),"",NeoBerLab!$C$20)</f>
        <v>0</v>
      </c>
      <c r="C1445" s="208" t="b">
        <v>0</v>
      </c>
    </row>
    <row r="1446" spans="1:3" x14ac:dyDescent="0.2">
      <c r="A1446" s="208" t="s">
        <v>2476</v>
      </c>
      <c r="B1446" t="b">
        <f>IF(ISBLANK(NeoBerLab!$C$21),"",NeoBerLab!$C$21)</f>
        <v>0</v>
      </c>
      <c r="C1446" t="b">
        <v>0</v>
      </c>
    </row>
    <row r="1447" spans="1:3" x14ac:dyDescent="0.2">
      <c r="A1447" s="208" t="s">
        <v>2477</v>
      </c>
      <c r="B1447" t="b">
        <f>IF(ISBLANK(NeoBerLab!$C$22),"",NeoBerLab!$C$22)</f>
        <v>0</v>
      </c>
      <c r="C1447" s="208" t="b">
        <v>0</v>
      </c>
    </row>
    <row r="1448" spans="1:3" x14ac:dyDescent="0.2">
      <c r="A1448" s="208" t="s">
        <v>2478</v>
      </c>
      <c r="B1448" t="b">
        <f>IF(ISBLANK(NeoBerLab!$C$23),"",NeoBerLab!$C$23)</f>
        <v>0</v>
      </c>
      <c r="C1448" s="208" t="b">
        <v>0</v>
      </c>
    </row>
    <row r="1449" spans="1:3" x14ac:dyDescent="0.2">
      <c r="A1449" s="208" t="s">
        <v>2479</v>
      </c>
      <c r="B1449" t="b">
        <f>IF(ISBLANK(NeoBerLab!$C$24),"",NeoBerLab!$C$24)</f>
        <v>0</v>
      </c>
      <c r="C1449" s="208" t="b">
        <v>0</v>
      </c>
    </row>
    <row r="1450" spans="1:3" x14ac:dyDescent="0.2">
      <c r="A1450" s="208" t="s">
        <v>2480</v>
      </c>
      <c r="B1450" t="b">
        <f>IF(ISBLANK(NeoBerLab!$C$25),"",NeoBerLab!$C$25)</f>
        <v>0</v>
      </c>
      <c r="C1450" s="208" t="b">
        <v>0</v>
      </c>
    </row>
    <row r="1451" spans="1:3" x14ac:dyDescent="0.2">
      <c r="A1451" s="208" t="s">
        <v>2481</v>
      </c>
      <c r="B1451" t="b">
        <f>IF(ISBLANK(NeoBerLab!$C$26),"",NeoBerLab!$C$26)</f>
        <v>0</v>
      </c>
      <c r="C1451" s="208" t="b">
        <v>0</v>
      </c>
    </row>
    <row r="1452" spans="1:3" x14ac:dyDescent="0.2">
      <c r="A1452" s="208" t="s">
        <v>2482</v>
      </c>
      <c r="B1452" t="b">
        <f>IF(ISBLANK(NeoBerLab!$C$27),"",NeoBerLab!$C$27)</f>
        <v>0</v>
      </c>
      <c r="C1452" s="208" t="b">
        <v>0</v>
      </c>
    </row>
    <row r="1453" spans="1:3" x14ac:dyDescent="0.2">
      <c r="A1453" s="208" t="s">
        <v>2483</v>
      </c>
      <c r="B1453" t="b">
        <f>IF(ISBLANK(NeoBerLab!$C$28),"",NeoBerLab!$C$28)</f>
        <v>0</v>
      </c>
      <c r="C1453" s="208" t="b">
        <v>0</v>
      </c>
    </row>
    <row r="1454" spans="1:3" x14ac:dyDescent="0.2">
      <c r="A1454" s="208" t="s">
        <v>2484</v>
      </c>
      <c r="B1454" t="b">
        <f>IF(ISBLANK(NeoBerLab!$C$29),"",NeoBerLab!$C$29)</f>
        <v>0</v>
      </c>
      <c r="C1454" t="b">
        <v>0</v>
      </c>
    </row>
    <row r="1455" spans="1:3" x14ac:dyDescent="0.2">
      <c r="A1455" s="208" t="s">
        <v>2485</v>
      </c>
      <c r="B1455" t="b">
        <f>IF(ISBLANK(NeoBerLab!$C$30),"",NeoBerLab!$C$30)</f>
        <v>0</v>
      </c>
      <c r="C1455" t="b">
        <v>0</v>
      </c>
    </row>
    <row r="1456" spans="1:3" x14ac:dyDescent="0.2">
      <c r="A1456" s="208" t="s">
        <v>2486</v>
      </c>
      <c r="B1456" t="b">
        <f>IF(ISBLANK(NeoBerLab!$C$31),"",NeoBerLab!$C$31)</f>
        <v>0</v>
      </c>
      <c r="C1456" s="208" t="b">
        <v>0</v>
      </c>
    </row>
    <row r="1457" spans="1:6" s="208" customFormat="1" x14ac:dyDescent="0.2">
      <c r="A1457" s="208" t="s">
        <v>2487</v>
      </c>
      <c r="B1457" t="b">
        <f>IF(ISBLANK(NeoBerLab!$C$32),"",NeoBerLab!$C$32)</f>
        <v>0</v>
      </c>
      <c r="C1457" s="208" t="b">
        <v>0</v>
      </c>
      <c r="D1457"/>
      <c r="E1457"/>
      <c r="F1457"/>
    </row>
    <row r="1458" spans="1:6" s="208" customFormat="1" x14ac:dyDescent="0.2">
      <c r="A1458" s="208" t="s">
        <v>2488</v>
      </c>
      <c r="B1458" t="b">
        <f>IF(ISBLANK(NeoBerLab!$C$33),"",NeoBerLab!$C$33)</f>
        <v>0</v>
      </c>
      <c r="C1458" s="208" t="b">
        <v>0</v>
      </c>
      <c r="D1458"/>
      <c r="E1458"/>
      <c r="F1458"/>
    </row>
    <row r="1459" spans="1:6" s="208" customFormat="1" x14ac:dyDescent="0.2">
      <c r="A1459" s="208" t="s">
        <v>2489</v>
      </c>
      <c r="B1459" t="b">
        <f>IF(ISBLANK(NeoBerLab!$C$34),"",NeoBerLab!$C$34)</f>
        <v>0</v>
      </c>
      <c r="C1459" s="208" t="b">
        <v>0</v>
      </c>
      <c r="D1459"/>
      <c r="E1459"/>
      <c r="F1459"/>
    </row>
    <row r="1460" spans="1:6" s="208" customFormat="1" x14ac:dyDescent="0.2">
      <c r="A1460" s="208" t="s">
        <v>2490</v>
      </c>
      <c r="B1460" t="b">
        <f>IF(ISBLANK(NeoBerLab!$C$35),"",NeoBerLab!$C$35)</f>
        <v>0</v>
      </c>
      <c r="C1460" t="b">
        <v>0</v>
      </c>
      <c r="D1460"/>
      <c r="E1460"/>
      <c r="F1460"/>
    </row>
    <row r="1461" spans="1:6" s="208" customFormat="1" x14ac:dyDescent="0.2">
      <c r="A1461" s="208" t="s">
        <v>3203</v>
      </c>
      <c r="B1461">
        <f>IF(ISBLANK(PatDetails!$B$9),"",PatDetails!$B$9)</f>
        <v>0</v>
      </c>
      <c r="C1461" s="210">
        <v>0</v>
      </c>
      <c r="D1461"/>
      <c r="E1461"/>
      <c r="F1461"/>
    </row>
    <row r="1462" spans="1:6" x14ac:dyDescent="0.2">
      <c r="A1462" s="208" t="s">
        <v>5288</v>
      </c>
      <c r="B1462" t="str">
        <f>IF(ISBLANK(PatDetails!$B$8),"",PatDetails!$B$8)</f>
        <v/>
      </c>
      <c r="C1462" s="208"/>
    </row>
    <row r="1463" spans="1:6" x14ac:dyDescent="0.2">
      <c r="A1463" s="208" t="s">
        <v>4160</v>
      </c>
      <c r="B1463">
        <f>IF(ISBLANK(PatDetails!$B$11),"",PatDetails!$B$11)</f>
        <v>0</v>
      </c>
      <c r="C1463" s="210">
        <v>0</v>
      </c>
    </row>
    <row r="1464" spans="1:6" x14ac:dyDescent="0.2">
      <c r="A1464" s="208" t="s">
        <v>4161</v>
      </c>
      <c r="B1464">
        <f>IF(ISBLANK(PatDetails!$B$12),"",PatDetails!$B$12)</f>
        <v>0</v>
      </c>
      <c r="C1464" s="210">
        <v>0</v>
      </c>
    </row>
    <row r="1465" spans="1:6" x14ac:dyDescent="0.2">
      <c r="A1465" s="208" t="s">
        <v>2777</v>
      </c>
      <c r="B1465">
        <f>IF(ISBLANK(PatDetails!$B$6),"",PatDetails!$B$6)</f>
        <v>0</v>
      </c>
      <c r="C1465" s="210">
        <v>0</v>
      </c>
    </row>
    <row r="1466" spans="1:6" x14ac:dyDescent="0.2">
      <c r="A1466" s="208" t="s">
        <v>2778</v>
      </c>
      <c r="B1466">
        <f>IF(ISBLANK(PatDetails!$B$7),"",PatDetails!$B$7)</f>
        <v>0</v>
      </c>
      <c r="C1466" s="210">
        <v>0</v>
      </c>
    </row>
    <row r="1467" spans="1:6" x14ac:dyDescent="0.2">
      <c r="A1467" s="208" t="s">
        <v>2776</v>
      </c>
      <c r="B1467" s="11">
        <f>IF(ISBLANK(PatDetails!$B$10),"",PatDetails!$B$10)</f>
        <v>1462</v>
      </c>
      <c r="C1467" s="98">
        <f>EmptyDate()</f>
        <v>1462</v>
      </c>
    </row>
    <row r="1468" spans="1:6" x14ac:dyDescent="0.2">
      <c r="A1468" s="208" t="s">
        <v>1670</v>
      </c>
      <c r="B1468" t="b">
        <f>IF(ISBLANK(PedBerAfspr!$D$11),"",PedBerAfspr!$D$11)</f>
        <v>0</v>
      </c>
      <c r="C1468" s="208" t="b">
        <v>0</v>
      </c>
    </row>
    <row r="1469" spans="1:6" x14ac:dyDescent="0.2">
      <c r="A1469" s="208" t="s">
        <v>1671</v>
      </c>
      <c r="B1469" t="b">
        <f>IF(ISBLANK(PedBerAfspr!$D$12),"",PedBerAfspr!$D$12)</f>
        <v>0</v>
      </c>
      <c r="C1469" s="208" t="b">
        <v>0</v>
      </c>
    </row>
    <row r="1470" spans="1:6" x14ac:dyDescent="0.2">
      <c r="A1470" s="208" t="s">
        <v>1672</v>
      </c>
      <c r="B1470" t="b">
        <f>IF(ISBLANK(PedBerAfspr!$D$13),"",PedBerAfspr!$D$13)</f>
        <v>0</v>
      </c>
      <c r="C1470" s="208" t="b">
        <v>0</v>
      </c>
    </row>
    <row r="1471" spans="1:6" x14ac:dyDescent="0.2">
      <c r="A1471" s="208" t="s">
        <v>1673</v>
      </c>
      <c r="B1471" t="b">
        <f>IF(ISBLANK(PedBerAfspr!$D$14),"",PedBerAfspr!$D$14)</f>
        <v>0</v>
      </c>
      <c r="C1471" s="208" t="b">
        <v>0</v>
      </c>
    </row>
    <row r="1472" spans="1:6" x14ac:dyDescent="0.2">
      <c r="A1472" s="208" t="s">
        <v>1674</v>
      </c>
      <c r="B1472" t="b">
        <f>IF(ISBLANK(PedBerAfspr!$B$10),"",PedBerAfspr!$B$10)</f>
        <v>0</v>
      </c>
      <c r="C1472" s="208" t="b">
        <v>0</v>
      </c>
    </row>
    <row r="1473" spans="1:6" x14ac:dyDescent="0.2">
      <c r="A1473" s="208" t="s">
        <v>1675</v>
      </c>
      <c r="B1473" t="b">
        <f>IF(ISBLANK(PedBerAfspr!$F$7),"",PedBerAfspr!$F$7)</f>
        <v>0</v>
      </c>
      <c r="C1473" s="208" t="b">
        <v>0</v>
      </c>
    </row>
    <row r="1474" spans="1:6" x14ac:dyDescent="0.2">
      <c r="A1474" s="208" t="s">
        <v>1676</v>
      </c>
      <c r="B1474" t="b">
        <f>IF(ISBLANK(PedBerAfspr!$B$20),"",PedBerAfspr!$B$20)</f>
        <v>0</v>
      </c>
      <c r="C1474" s="208" t="b">
        <v>0</v>
      </c>
    </row>
    <row r="1475" spans="1:6" x14ac:dyDescent="0.2">
      <c r="A1475" s="208" t="s">
        <v>1677</v>
      </c>
      <c r="B1475" t="b">
        <f>IF(ISBLANK(PedBerAfspr!$F$10),"",PedBerAfspr!$F$10)</f>
        <v>0</v>
      </c>
      <c r="C1475" s="208" t="b">
        <v>0</v>
      </c>
    </row>
    <row r="1476" spans="1:6" x14ac:dyDescent="0.2">
      <c r="A1476" s="208" t="s">
        <v>1678</v>
      </c>
      <c r="B1476" t="b">
        <f>IF(ISBLANK(PedBerAfspr!$B$21),"",PedBerAfspr!$B$21)</f>
        <v>0</v>
      </c>
      <c r="C1476" s="208" t="b">
        <v>0</v>
      </c>
    </row>
    <row r="1477" spans="1:6" s="208" customFormat="1" x14ac:dyDescent="0.2">
      <c r="A1477" s="208" t="s">
        <v>1679</v>
      </c>
      <c r="B1477" t="b">
        <f>IF(ISBLANK(PedBerAfspr!$F$12),"",PedBerAfspr!$F$12)</f>
        <v>0</v>
      </c>
      <c r="C1477" s="208" t="b">
        <v>0</v>
      </c>
      <c r="D1477"/>
      <c r="E1477"/>
      <c r="F1477"/>
    </row>
    <row r="1478" spans="1:6" s="208" customFormat="1" x14ac:dyDescent="0.2">
      <c r="A1478" s="208" t="s">
        <v>1680</v>
      </c>
      <c r="B1478" t="b">
        <f>IF(ISBLANK(PedBerAfspr!$B$42),"",PedBerAfspr!$B$42)</f>
        <v>0</v>
      </c>
      <c r="C1478" s="208" t="b">
        <v>0</v>
      </c>
      <c r="D1478"/>
      <c r="E1478"/>
      <c r="F1478"/>
    </row>
    <row r="1479" spans="1:6" s="208" customFormat="1" x14ac:dyDescent="0.2">
      <c r="A1479" s="208" t="s">
        <v>1681</v>
      </c>
      <c r="B1479" t="b">
        <f>IF(ISBLANK(PedBerAfspr!$B$7),"",PedBerAfspr!$B$7)</f>
        <v>0</v>
      </c>
      <c r="C1479" s="208" t="b">
        <v>0</v>
      </c>
      <c r="D1479"/>
      <c r="E1479"/>
      <c r="F1479"/>
    </row>
    <row r="1480" spans="1:6" s="208" customFormat="1" x14ac:dyDescent="0.2">
      <c r="A1480" s="208" t="s">
        <v>1682</v>
      </c>
      <c r="B1480" t="b">
        <f>IF(ISBLANK(PedBerAfspr!$F$15),"",PedBerAfspr!$F$15)</f>
        <v>0</v>
      </c>
      <c r="C1480" s="208" t="b">
        <v>0</v>
      </c>
      <c r="D1480"/>
      <c r="E1480"/>
      <c r="F1480"/>
    </row>
    <row r="1481" spans="1:6" s="208" customFormat="1" x14ac:dyDescent="0.2">
      <c r="A1481" s="208" t="s">
        <v>1683</v>
      </c>
      <c r="B1481" t="b">
        <f>IF(ISBLANK(PedBerAfspr!$F$13),"",PedBerAfspr!$F$13)</f>
        <v>0</v>
      </c>
      <c r="C1481" s="208" t="b">
        <v>0</v>
      </c>
      <c r="D1481"/>
      <c r="E1481"/>
      <c r="F1481"/>
    </row>
    <row r="1482" spans="1:6" x14ac:dyDescent="0.2">
      <c r="A1482" s="208" t="s">
        <v>1684</v>
      </c>
      <c r="B1482" t="b">
        <f>IF(ISBLANK(PedBerAfspr!$B$24),"",PedBerAfspr!$B$24)</f>
        <v>0</v>
      </c>
      <c r="C1482" s="208" t="b">
        <v>0</v>
      </c>
    </row>
    <row r="1483" spans="1:6" x14ac:dyDescent="0.2">
      <c r="A1483" s="208" t="s">
        <v>1685</v>
      </c>
      <c r="B1483" t="b">
        <f>IF(ISBLANK(PedBerAfspr!$B$8),"",PedBerAfspr!$B$8)</f>
        <v>0</v>
      </c>
      <c r="C1483" s="208" t="b">
        <v>0</v>
      </c>
    </row>
    <row r="1484" spans="1:6" x14ac:dyDescent="0.2">
      <c r="A1484" s="208" t="s">
        <v>1686</v>
      </c>
      <c r="B1484" t="b">
        <f>IF(ISBLANK(PedBerAfspr!$B$39),"",PedBerAfspr!$B$39)</f>
        <v>0</v>
      </c>
      <c r="C1484" s="208" t="b">
        <v>0</v>
      </c>
    </row>
    <row r="1485" spans="1:6" x14ac:dyDescent="0.2">
      <c r="A1485" s="208" t="s">
        <v>1687</v>
      </c>
      <c r="B1485" t="b">
        <f>IF(ISBLANK(PedBerAfspr!$F$16),"",PedBerAfspr!$F$16)</f>
        <v>0</v>
      </c>
      <c r="C1485" s="208" t="b">
        <v>0</v>
      </c>
    </row>
    <row r="1486" spans="1:6" x14ac:dyDescent="0.2">
      <c r="A1486" s="208" t="s">
        <v>1688</v>
      </c>
      <c r="B1486" t="b">
        <f>IF(ISBLANK(PedBerAfspr!$F$9),"",PedBerAfspr!$F$9)</f>
        <v>0</v>
      </c>
      <c r="C1486" s="208" t="b">
        <v>0</v>
      </c>
    </row>
    <row r="1487" spans="1:6" x14ac:dyDescent="0.2">
      <c r="A1487" s="208" t="s">
        <v>1689</v>
      </c>
      <c r="B1487" t="b">
        <f>IF(ISBLANK(PedBerAfspr!$B$11),"",PedBerAfspr!$B$11)</f>
        <v>0</v>
      </c>
      <c r="C1487" s="208" t="b">
        <v>0</v>
      </c>
    </row>
    <row r="1488" spans="1:6" x14ac:dyDescent="0.2">
      <c r="A1488" s="208" t="s">
        <v>1690</v>
      </c>
      <c r="B1488" t="b">
        <f>IF(ISBLANK(PedBerAfspr!$B$15),"",PedBerAfspr!$B$15)</f>
        <v>0</v>
      </c>
      <c r="C1488" s="208" t="b">
        <v>0</v>
      </c>
    </row>
    <row r="1489" spans="1:6" x14ac:dyDescent="0.2">
      <c r="A1489" s="208" t="s">
        <v>1691</v>
      </c>
      <c r="B1489" t="b">
        <f>IF(ISBLANK(PedBerAfspr!$B$22),"",PedBerAfspr!$B$22)</f>
        <v>0</v>
      </c>
      <c r="C1489" s="208" t="b">
        <v>0</v>
      </c>
    </row>
    <row r="1490" spans="1:6" x14ac:dyDescent="0.2">
      <c r="A1490" s="208" t="s">
        <v>1692</v>
      </c>
      <c r="B1490" t="b">
        <f>IF(ISBLANK(PedBerAfspr!$B$23),"",PedBerAfspr!$B$23)</f>
        <v>0</v>
      </c>
      <c r="C1490" s="208" t="b">
        <v>0</v>
      </c>
    </row>
    <row r="1491" spans="1:6" x14ac:dyDescent="0.2">
      <c r="A1491" s="208" t="s">
        <v>1693</v>
      </c>
      <c r="B1491" t="b">
        <f>IF(ISBLANK(PedBerAfspr!$F$11),"",PedBerAfspr!$F$11)</f>
        <v>0</v>
      </c>
      <c r="C1491" s="208" t="b">
        <v>0</v>
      </c>
    </row>
    <row r="1492" spans="1:6" x14ac:dyDescent="0.2">
      <c r="A1492" s="208" t="s">
        <v>1694</v>
      </c>
      <c r="B1492" t="b">
        <f>IF(ISBLANK(PedBerAfspr!$B$36),"",PedBerAfspr!$B$36)</f>
        <v>0</v>
      </c>
      <c r="C1492" s="208" t="b">
        <v>0</v>
      </c>
    </row>
    <row r="1493" spans="1:6" x14ac:dyDescent="0.2">
      <c r="A1493" s="208" t="s">
        <v>1695</v>
      </c>
      <c r="B1493" t="b">
        <f>IF(ISBLANK(PedBerAfspr!$D$36),"",PedBerAfspr!$D$36)</f>
        <v>0</v>
      </c>
      <c r="C1493" s="208" t="b">
        <v>0</v>
      </c>
    </row>
    <row r="1494" spans="1:6" x14ac:dyDescent="0.2">
      <c r="A1494" s="208" t="s">
        <v>1696</v>
      </c>
      <c r="B1494" t="b">
        <f>IF(ISBLANK(PedBerAfspr!$B$37),"",PedBerAfspr!$B$37)</f>
        <v>0</v>
      </c>
      <c r="C1494" s="208" t="b">
        <v>0</v>
      </c>
    </row>
    <row r="1495" spans="1:6" x14ac:dyDescent="0.2">
      <c r="A1495" s="208" t="s">
        <v>1697</v>
      </c>
      <c r="B1495" t="b">
        <f>IF(ISBLANK(PedBerAfspr!$D$37),"",PedBerAfspr!$D$37)</f>
        <v>0</v>
      </c>
      <c r="C1495" s="208" t="b">
        <v>0</v>
      </c>
    </row>
    <row r="1496" spans="1:6" x14ac:dyDescent="0.2">
      <c r="A1496" s="208" t="s">
        <v>1698</v>
      </c>
      <c r="B1496" t="b">
        <f>IF(ISBLANK(PedBerAfspr!$B$43),"",PedBerAfspr!$B$43)</f>
        <v>0</v>
      </c>
      <c r="C1496" s="208" t="b">
        <v>0</v>
      </c>
    </row>
    <row r="1497" spans="1:6" s="208" customFormat="1" x14ac:dyDescent="0.2">
      <c r="A1497" s="208" t="s">
        <v>1699</v>
      </c>
      <c r="B1497" t="b">
        <f>IF(ISBLANK(PedBerAfspr!$B$38),"",PedBerAfspr!$B$38)</f>
        <v>0</v>
      </c>
      <c r="C1497" s="208" t="b">
        <v>0</v>
      </c>
      <c r="D1497"/>
      <c r="E1497"/>
      <c r="F1497"/>
    </row>
    <row r="1498" spans="1:6" s="208" customFormat="1" x14ac:dyDescent="0.2">
      <c r="A1498" s="208" t="s">
        <v>1700</v>
      </c>
      <c r="B1498" t="b">
        <f>IF(ISBLANK(PedBerAfspr!$D$38),"",PedBerAfspr!$D$38)</f>
        <v>0</v>
      </c>
      <c r="C1498" s="208" t="b">
        <v>0</v>
      </c>
      <c r="D1498"/>
      <c r="E1498"/>
      <c r="F1498"/>
    </row>
    <row r="1499" spans="1:6" s="208" customFormat="1" x14ac:dyDescent="0.2">
      <c r="A1499" s="208" t="s">
        <v>1701</v>
      </c>
      <c r="B1499" t="b">
        <f>IF(ISBLANK(PedBerAfspr!$B$16),"",PedBerAfspr!$B$16)</f>
        <v>0</v>
      </c>
      <c r="C1499" s="208" t="b">
        <v>0</v>
      </c>
      <c r="D1499"/>
      <c r="E1499"/>
      <c r="F1499"/>
    </row>
    <row r="1500" spans="1:6" s="208" customFormat="1" x14ac:dyDescent="0.2">
      <c r="A1500" s="208" t="s">
        <v>1702</v>
      </c>
      <c r="B1500" t="b">
        <f>IF(ISBLANK(PedBerAfspr!$B$17),"",PedBerAfspr!$B$17)</f>
        <v>0</v>
      </c>
      <c r="C1500" s="208" t="b">
        <v>0</v>
      </c>
      <c r="D1500"/>
      <c r="E1500"/>
      <c r="F1500"/>
    </row>
    <row r="1501" spans="1:6" s="208" customFormat="1" x14ac:dyDescent="0.2">
      <c r="A1501" s="208" t="s">
        <v>1703</v>
      </c>
      <c r="B1501" t="b">
        <f>IF(ISBLANK(PedBerAfspr!$B$9),"",PedBerAfspr!$B$9)</f>
        <v>0</v>
      </c>
      <c r="C1501" s="208" t="b">
        <v>0</v>
      </c>
      <c r="D1501"/>
      <c r="E1501"/>
      <c r="F1501"/>
    </row>
    <row r="1502" spans="1:6" x14ac:dyDescent="0.2">
      <c r="A1502" s="208" t="s">
        <v>1704</v>
      </c>
      <c r="B1502" t="b">
        <f>IF(ISBLANK(PedBerAfspr!$B$44),"",PedBerAfspr!$B$44)</f>
        <v>0</v>
      </c>
      <c r="C1502" s="208" t="b">
        <v>0</v>
      </c>
    </row>
    <row r="1503" spans="1:6" x14ac:dyDescent="0.2">
      <c r="A1503" s="208" t="s">
        <v>1705</v>
      </c>
      <c r="B1503" t="b">
        <f>IF(ISBLANK(PedBerAfspr!$B$27),"",PedBerAfspr!$B$27)</f>
        <v>0</v>
      </c>
      <c r="C1503" s="208" t="b">
        <v>0</v>
      </c>
    </row>
    <row r="1504" spans="1:6" x14ac:dyDescent="0.2">
      <c r="A1504" s="208" t="s">
        <v>1706</v>
      </c>
      <c r="B1504" t="b">
        <f>IF(ISBLANK(PedBerAfspr!$B$30),"",PedBerAfspr!$B$30)</f>
        <v>0</v>
      </c>
      <c r="C1504" s="208" t="b">
        <v>0</v>
      </c>
    </row>
    <row r="1505" spans="1:6" x14ac:dyDescent="0.2">
      <c r="A1505" s="208" t="s">
        <v>1707</v>
      </c>
      <c r="B1505" t="b">
        <f>IF(ISBLANK(PedBerAfspr!$B$33),"",PedBerAfspr!$B$33)</f>
        <v>0</v>
      </c>
      <c r="C1505" s="208" t="b">
        <v>0</v>
      </c>
    </row>
    <row r="1506" spans="1:6" x14ac:dyDescent="0.2">
      <c r="A1506" s="208" t="s">
        <v>1708</v>
      </c>
      <c r="B1506" t="b">
        <f>IF(ISBLANK(PedBerAfspr!$B$25),"",PedBerAfspr!$B$25)</f>
        <v>0</v>
      </c>
      <c r="C1506" s="208" t="b">
        <v>0</v>
      </c>
    </row>
    <row r="1507" spans="1:6" x14ac:dyDescent="0.2">
      <c r="A1507" s="208" t="s">
        <v>1709</v>
      </c>
      <c r="B1507" t="b">
        <f>IF(ISBLANK(PedBerAfspr!$F$8),"",PedBerAfspr!$F$8)</f>
        <v>0</v>
      </c>
      <c r="C1507" s="208" t="b">
        <v>0</v>
      </c>
    </row>
    <row r="1508" spans="1:6" x14ac:dyDescent="0.2">
      <c r="A1508" s="208" t="s">
        <v>1710</v>
      </c>
      <c r="B1508" t="b">
        <f>IF(ISBLANK(PedBerAfspr!$F$18),"",PedBerAfspr!$F$18)</f>
        <v>0</v>
      </c>
      <c r="C1508" s="208" t="b">
        <v>0</v>
      </c>
    </row>
    <row r="1509" spans="1:6" x14ac:dyDescent="0.2">
      <c r="A1509" s="208" t="s">
        <v>1711</v>
      </c>
      <c r="B1509" t="b">
        <f>IF(ISBLANK(PedBerAfspr!$F$14),"",PedBerAfspr!$F$14)</f>
        <v>0</v>
      </c>
      <c r="C1509" s="208" t="b">
        <v>0</v>
      </c>
    </row>
    <row r="1510" spans="1:6" x14ac:dyDescent="0.2">
      <c r="A1510" s="208" t="s">
        <v>1712</v>
      </c>
      <c r="B1510">
        <f>IF(ISBLANK(PedBerAfspr!$C$42),"",PedBerAfspr!$C$42)</f>
        <v>0</v>
      </c>
      <c r="C1510" s="208">
        <v>0</v>
      </c>
    </row>
    <row r="1511" spans="1:6" x14ac:dyDescent="0.2">
      <c r="A1511" s="208" t="s">
        <v>1713</v>
      </c>
      <c r="B1511">
        <f>IF(ISBLANK(PedBerAfspr!$C$7),"",PedBerAfspr!$C$7)</f>
        <v>0</v>
      </c>
      <c r="C1511" s="208">
        <v>0</v>
      </c>
    </row>
    <row r="1512" spans="1:6" x14ac:dyDescent="0.2">
      <c r="A1512" s="208" t="s">
        <v>1714</v>
      </c>
      <c r="B1512">
        <f>IF(ISBLANK(PedBerAfspr!$D$7),"",PedBerAfspr!$D$7)</f>
        <v>0</v>
      </c>
      <c r="C1512" s="208">
        <v>0</v>
      </c>
    </row>
    <row r="1513" spans="1:6" x14ac:dyDescent="0.2">
      <c r="A1513" s="208" t="s">
        <v>1715</v>
      </c>
      <c r="B1513">
        <f>IF(ISBLANK(PedBerAfspr!$C$8),"",PedBerAfspr!$C$8)</f>
        <v>0</v>
      </c>
      <c r="C1513" s="208">
        <v>0</v>
      </c>
    </row>
    <row r="1514" spans="1:6" x14ac:dyDescent="0.2">
      <c r="A1514" s="208" t="s">
        <v>1716</v>
      </c>
      <c r="B1514">
        <f>IF(ISBLANK(PedBerAfspr!$D$8),"",PedBerAfspr!$D$8)</f>
        <v>0</v>
      </c>
      <c r="C1514" s="208">
        <v>0</v>
      </c>
    </row>
    <row r="1515" spans="1:6" x14ac:dyDescent="0.2">
      <c r="A1515" s="208" t="s">
        <v>1717</v>
      </c>
      <c r="B1515">
        <f>IF(ISBLANK(PedBerAfspr!$D$40),"",PedBerAfspr!$D$40)</f>
        <v>0</v>
      </c>
      <c r="C1515" s="208">
        <v>0</v>
      </c>
    </row>
    <row r="1516" spans="1:6" x14ac:dyDescent="0.2">
      <c r="A1516" s="208" t="s">
        <v>1718</v>
      </c>
      <c r="B1516">
        <f>IF(ISBLANK(PedBerAfspr!$D$39),"",PedBerAfspr!$D$39)</f>
        <v>0</v>
      </c>
      <c r="C1516" s="208">
        <v>0</v>
      </c>
    </row>
    <row r="1517" spans="1:6" x14ac:dyDescent="0.2">
      <c r="A1517" s="208" t="s">
        <v>1719</v>
      </c>
      <c r="B1517">
        <f>IF(ISBLANK(PedBerAfspr!$G$16),"",PedBerAfspr!$G$16)</f>
        <v>0</v>
      </c>
      <c r="C1517" s="208">
        <v>0</v>
      </c>
    </row>
    <row r="1518" spans="1:6" s="208" customFormat="1" x14ac:dyDescent="0.2">
      <c r="A1518" s="208" t="s">
        <v>1720</v>
      </c>
      <c r="B1518">
        <f>IF(ISBLANK(PedBerAfspr!$B$12),"",PedBerAfspr!$B$12)</f>
        <v>0</v>
      </c>
      <c r="C1518" s="208">
        <v>0</v>
      </c>
      <c r="D1518"/>
      <c r="E1518"/>
      <c r="F1518"/>
    </row>
    <row r="1519" spans="1:6" s="208" customFormat="1" x14ac:dyDescent="0.2">
      <c r="A1519" s="208" t="s">
        <v>1721</v>
      </c>
      <c r="B1519" t="str">
        <f>IF(ISBLANK(PedBerAfspr!$F$17),"",PedBerAfspr!$F$17)</f>
        <v/>
      </c>
      <c r="C1519" s="99"/>
      <c r="D1519"/>
      <c r="E1519"/>
      <c r="F1519"/>
    </row>
    <row r="1520" spans="1:6" s="208" customFormat="1" x14ac:dyDescent="0.2">
      <c r="A1520" s="212" t="s">
        <v>4542</v>
      </c>
      <c r="B1520">
        <f>IF(ISBLANK(PedBerAfspr!$C$43),"",PedBerAfspr!$C$43)</f>
        <v>0</v>
      </c>
      <c r="C1520" s="531" t="s">
        <v>4543</v>
      </c>
      <c r="D1520"/>
      <c r="E1520"/>
      <c r="F1520"/>
    </row>
    <row r="1521" spans="1:6" s="208" customFormat="1" x14ac:dyDescent="0.2">
      <c r="A1521" s="208" t="s">
        <v>1722</v>
      </c>
      <c r="B1521">
        <f>IF(ISBLANK(PedBerAfspr!$C$9),"",PedBerAfspr!$C$9)</f>
        <v>0</v>
      </c>
      <c r="C1521" s="208">
        <v>0</v>
      </c>
      <c r="D1521"/>
      <c r="E1521"/>
      <c r="F1521"/>
    </row>
    <row r="1522" spans="1:6" s="208" customFormat="1" x14ac:dyDescent="0.2">
      <c r="A1522" s="208" t="s">
        <v>1723</v>
      </c>
      <c r="B1522">
        <f>IF(ISBLANK(PedBerAfspr!$D$9),"",PedBerAfspr!$D$9)</f>
        <v>1</v>
      </c>
      <c r="C1522" s="208">
        <v>1</v>
      </c>
      <c r="D1522"/>
      <c r="E1522"/>
      <c r="F1522"/>
    </row>
    <row r="1523" spans="1:6" x14ac:dyDescent="0.2">
      <c r="A1523" s="208" t="s">
        <v>1724</v>
      </c>
      <c r="B1523">
        <f>IF(ISBLANK(PedBerAfspr!$D$29),"",PedBerAfspr!$D$29)</f>
        <v>1</v>
      </c>
      <c r="C1523" s="208">
        <v>1</v>
      </c>
    </row>
    <row r="1524" spans="1:6" x14ac:dyDescent="0.2">
      <c r="A1524" s="208" t="s">
        <v>1725</v>
      </c>
      <c r="B1524">
        <f>IF(ISBLANK(PedBerAfspr!$D$27),"",PedBerAfspr!$D$27)</f>
        <v>1</v>
      </c>
      <c r="C1524" s="208">
        <v>1</v>
      </c>
    </row>
    <row r="1525" spans="1:6" x14ac:dyDescent="0.2">
      <c r="A1525" s="208" t="s">
        <v>1726</v>
      </c>
      <c r="B1525">
        <f>IF(ISBLANK(PedBerAfspr!$D$28),"",PedBerAfspr!$D$28)</f>
        <v>1</v>
      </c>
      <c r="C1525" s="208">
        <v>1</v>
      </c>
    </row>
    <row r="1526" spans="1:6" x14ac:dyDescent="0.2">
      <c r="A1526" s="208" t="s">
        <v>1727</v>
      </c>
      <c r="B1526">
        <f>IF(ISBLANK(PedBerAfspr!$D$32),"",PedBerAfspr!$D$32)</f>
        <v>1</v>
      </c>
      <c r="C1526" s="208">
        <v>1</v>
      </c>
    </row>
    <row r="1527" spans="1:6" x14ac:dyDescent="0.2">
      <c r="A1527" s="208" t="s">
        <v>1728</v>
      </c>
      <c r="B1527">
        <f>IF(ISBLANK(PedBerAfspr!$D$30),"",PedBerAfspr!$D$30)</f>
        <v>1</v>
      </c>
      <c r="C1527" s="208">
        <v>1</v>
      </c>
    </row>
    <row r="1528" spans="1:6" x14ac:dyDescent="0.2">
      <c r="A1528" s="208" t="s">
        <v>1729</v>
      </c>
      <c r="B1528">
        <f>IF(ISBLANK(PedBerAfspr!$D$31),"",PedBerAfspr!$D$31)</f>
        <v>1</v>
      </c>
      <c r="C1528" s="208">
        <v>1</v>
      </c>
    </row>
    <row r="1529" spans="1:6" x14ac:dyDescent="0.2">
      <c r="A1529" s="208" t="s">
        <v>1730</v>
      </c>
      <c r="B1529">
        <f>IF(ISBLANK(PedBerAfspr!$D$35),"",PedBerAfspr!$D$35)</f>
        <v>1</v>
      </c>
      <c r="C1529" s="208">
        <v>1</v>
      </c>
    </row>
    <row r="1530" spans="1:6" x14ac:dyDescent="0.2">
      <c r="A1530" s="208" t="s">
        <v>1731</v>
      </c>
      <c r="B1530">
        <f>IF(ISBLANK(PedBerAfspr!$D$33),"",PedBerAfspr!$D$33)</f>
        <v>1</v>
      </c>
      <c r="C1530" s="208">
        <v>1</v>
      </c>
    </row>
    <row r="1531" spans="1:6" x14ac:dyDescent="0.2">
      <c r="A1531" s="208" t="s">
        <v>1732</v>
      </c>
      <c r="B1531">
        <f>IF(ISBLANK(PedBerAfspr!$D$34),"",PedBerAfspr!$D$34)</f>
        <v>1</v>
      </c>
      <c r="C1531" s="208">
        <v>1</v>
      </c>
    </row>
    <row r="1532" spans="1:6" x14ac:dyDescent="0.2">
      <c r="A1532" s="208" t="s">
        <v>2491</v>
      </c>
      <c r="B1532" t="str">
        <f>IF(ISBLANK(PedBerAfspr!$H$18),"",PedBerAfspr!$H$18)</f>
        <v/>
      </c>
      <c r="C1532" s="208">
        <v>0</v>
      </c>
    </row>
    <row r="1533" spans="1:6" x14ac:dyDescent="0.2">
      <c r="A1533" s="208" t="s">
        <v>1733</v>
      </c>
      <c r="B1533" t="str">
        <f>IF(ISBLANK(PedBerAfspr!$H$18),"",PedBerAfspr!$H$18)</f>
        <v/>
      </c>
      <c r="C1533" s="99"/>
    </row>
    <row r="1534" spans="1:6" x14ac:dyDescent="0.2">
      <c r="A1534" s="208" t="s">
        <v>1734</v>
      </c>
      <c r="B1534">
        <f>IF(ISBLANK(PedBerAfspr!$G$18),"",PedBerAfspr!$G$18)</f>
        <v>0</v>
      </c>
      <c r="C1534" s="208">
        <v>0</v>
      </c>
    </row>
    <row r="1535" spans="1:6" x14ac:dyDescent="0.2">
      <c r="A1535" s="208" t="s">
        <v>1556</v>
      </c>
      <c r="B1535" t="str">
        <f>IF(ISBLANK(PedBerAfspr!$F$17),"",PedBerAfspr!$F$17)</f>
        <v/>
      </c>
      <c r="C1535" s="99"/>
    </row>
    <row r="1536" spans="1:6" x14ac:dyDescent="0.2">
      <c r="A1536" s="208" t="s">
        <v>2492</v>
      </c>
      <c r="B1536">
        <f>IF(ISBLANK(PedBerEnt!$B$4),"",PedBerEnt!$B$4)</f>
        <v>1</v>
      </c>
      <c r="C1536" s="208">
        <v>1</v>
      </c>
    </row>
    <row r="1537" spans="1:6" x14ac:dyDescent="0.2">
      <c r="A1537" s="208" t="s">
        <v>2493</v>
      </c>
      <c r="B1537">
        <f>IF(ISBLANK(PedBerEnt!$B$5),"",PedBerEnt!$B$5)</f>
        <v>1</v>
      </c>
      <c r="C1537" s="208">
        <v>1</v>
      </c>
    </row>
    <row r="1538" spans="1:6" s="208" customFormat="1" x14ac:dyDescent="0.2">
      <c r="A1538" s="208" t="s">
        <v>2494</v>
      </c>
      <c r="B1538">
        <f>IF(ISBLANK(PedBerEnt!$B$6),"",PedBerEnt!$B$6)</f>
        <v>1</v>
      </c>
      <c r="C1538" s="208">
        <v>1</v>
      </c>
      <c r="D1538"/>
      <c r="E1538"/>
      <c r="F1538"/>
    </row>
    <row r="1539" spans="1:6" s="208" customFormat="1" x14ac:dyDescent="0.2">
      <c r="A1539" s="208" t="s">
        <v>2495</v>
      </c>
      <c r="B1539">
        <f>IF(ISBLANK(PedBerEnt!$B$7),"",PedBerEnt!$B$7)</f>
        <v>1</v>
      </c>
      <c r="C1539" s="208">
        <v>1</v>
      </c>
      <c r="D1539"/>
      <c r="E1539"/>
      <c r="F1539"/>
    </row>
    <row r="1540" spans="1:6" s="208" customFormat="1" x14ac:dyDescent="0.2">
      <c r="A1540" s="208" t="s">
        <v>2496</v>
      </c>
      <c r="B1540">
        <f>IF(ISBLANK(PedBerEnt!$F$4),"",PedBerEnt!$F$4)</f>
        <v>1</v>
      </c>
      <c r="C1540" s="208">
        <v>1</v>
      </c>
      <c r="D1540"/>
      <c r="E1540"/>
      <c r="F1540"/>
    </row>
    <row r="1541" spans="1:6" s="208" customFormat="1" x14ac:dyDescent="0.2">
      <c r="A1541" s="208" t="s">
        <v>2497</v>
      </c>
      <c r="B1541">
        <f>IF(ISBLANK(PedBerEnt!$F$5),"",PedBerEnt!$F$5)</f>
        <v>1</v>
      </c>
      <c r="C1541" s="208">
        <v>1</v>
      </c>
      <c r="D1541"/>
      <c r="E1541"/>
      <c r="F1541"/>
    </row>
    <row r="1542" spans="1:6" s="208" customFormat="1" x14ac:dyDescent="0.2">
      <c r="A1542" s="208" t="s">
        <v>2498</v>
      </c>
      <c r="B1542">
        <f>IF(ISBLANK(PedBerEnt!$F$6),"",PedBerEnt!$F$6)</f>
        <v>1</v>
      </c>
      <c r="C1542" s="208">
        <v>1</v>
      </c>
      <c r="D1542"/>
      <c r="E1542"/>
      <c r="F1542"/>
    </row>
    <row r="1543" spans="1:6" x14ac:dyDescent="0.2">
      <c r="A1543" s="208" t="s">
        <v>2499</v>
      </c>
      <c r="B1543">
        <f>IF(ISBLANK(PedBerEnt!$F$7),"",PedBerEnt!$F$7)</f>
        <v>1</v>
      </c>
      <c r="C1543" s="208">
        <v>1</v>
      </c>
    </row>
    <row r="1544" spans="1:6" x14ac:dyDescent="0.2">
      <c r="A1544" s="208" t="s">
        <v>2500</v>
      </c>
      <c r="B1544" t="str">
        <f>IF(ISBLANK(PedBerEnt!$B$9),"",PedBerEnt!$B$9)</f>
        <v/>
      </c>
      <c r="C1544" s="208"/>
    </row>
    <row r="1545" spans="1:6" x14ac:dyDescent="0.2">
      <c r="A1545" s="208" t="s">
        <v>2501</v>
      </c>
      <c r="B1545">
        <f>IF(ISBLANK(PedBerEnt!$F$3),"",PedBerEnt!$F$3)</f>
        <v>1</v>
      </c>
      <c r="C1545" s="208">
        <v>1</v>
      </c>
    </row>
    <row r="1546" spans="1:6" x14ac:dyDescent="0.2">
      <c r="A1546" s="208" t="s">
        <v>2502</v>
      </c>
      <c r="B1546">
        <f>IF(ISBLANK(PedBerEnt!$C$4),"",PedBerEnt!$C$4)</f>
        <v>0</v>
      </c>
      <c r="C1546" s="210">
        <v>0</v>
      </c>
    </row>
    <row r="1547" spans="1:6" x14ac:dyDescent="0.2">
      <c r="A1547" s="208" t="s">
        <v>2503</v>
      </c>
      <c r="B1547">
        <f>IF(ISBLANK(PedBerEnt!$C$5),"",PedBerEnt!$C$5)</f>
        <v>0</v>
      </c>
      <c r="C1547" s="210">
        <v>0</v>
      </c>
    </row>
    <row r="1548" spans="1:6" x14ac:dyDescent="0.2">
      <c r="A1548" s="208" t="s">
        <v>2504</v>
      </c>
      <c r="B1548">
        <f>IF(ISBLANK(PedBerEnt!$C$6),"",PedBerEnt!$C$6)</f>
        <v>0</v>
      </c>
      <c r="C1548" s="210">
        <v>0</v>
      </c>
    </row>
    <row r="1549" spans="1:6" x14ac:dyDescent="0.2">
      <c r="A1549" s="208" t="s">
        <v>2505</v>
      </c>
      <c r="B1549">
        <f>IF(ISBLANK(PedBerEnt!$C$7),"",PedBerEnt!$C$7)</f>
        <v>0</v>
      </c>
      <c r="C1549" s="210">
        <v>0</v>
      </c>
    </row>
    <row r="1550" spans="1:6" x14ac:dyDescent="0.2">
      <c r="A1550" s="208" t="s">
        <v>2506</v>
      </c>
      <c r="B1550" t="b">
        <f>IF(ISBLANK(PedBerLab!$E$4),"",PedBerLab!$E$4)</f>
        <v>0</v>
      </c>
      <c r="C1550" s="208" t="b">
        <v>0</v>
      </c>
    </row>
    <row r="1551" spans="1:6" x14ac:dyDescent="0.2">
      <c r="A1551" s="208" t="s">
        <v>2507</v>
      </c>
      <c r="B1551" t="b">
        <f>IF(ISBLANK(PedBerLab!$E$5),"",PedBerLab!$E$5)</f>
        <v>0</v>
      </c>
      <c r="C1551" s="208" t="b">
        <v>0</v>
      </c>
    </row>
    <row r="1552" spans="1:6" x14ac:dyDescent="0.2">
      <c r="A1552" s="208" t="s">
        <v>2508</v>
      </c>
      <c r="B1552" t="b">
        <f>IF(ISBLANK(PedBerLab!$E$6),"",PedBerLab!$E$6)</f>
        <v>0</v>
      </c>
      <c r="C1552" s="208" t="b">
        <v>0</v>
      </c>
    </row>
    <row r="1553" spans="1:3" x14ac:dyDescent="0.2">
      <c r="A1553" s="208" t="s">
        <v>2509</v>
      </c>
      <c r="B1553" t="b">
        <f>IF(ISBLANK(PedBerLab!$E$7),"",PedBerLab!$E$7)</f>
        <v>0</v>
      </c>
      <c r="C1553" s="208" t="b">
        <v>0</v>
      </c>
    </row>
    <row r="1554" spans="1:3" x14ac:dyDescent="0.2">
      <c r="A1554" s="208" t="s">
        <v>2510</v>
      </c>
      <c r="B1554" t="b">
        <f>IF(ISBLANK(PedBerLab!$E$8),"",PedBerLab!$E$8)</f>
        <v>0</v>
      </c>
      <c r="C1554" s="208" t="b">
        <v>0</v>
      </c>
    </row>
    <row r="1555" spans="1:3" x14ac:dyDescent="0.2">
      <c r="A1555" s="208" t="s">
        <v>2511</v>
      </c>
      <c r="B1555" t="b">
        <f>IF(ISBLANK(PedBerLab!$E$9),"",PedBerLab!$E$9)</f>
        <v>0</v>
      </c>
      <c r="C1555" s="208" t="b">
        <v>0</v>
      </c>
    </row>
    <row r="1556" spans="1:3" x14ac:dyDescent="0.2">
      <c r="A1556" s="208" t="s">
        <v>2512</v>
      </c>
      <c r="B1556" t="b">
        <f>IF(ISBLANK(PedBerLab!$E$10),"",PedBerLab!$E$10)</f>
        <v>0</v>
      </c>
      <c r="C1556" s="208" t="b">
        <v>0</v>
      </c>
    </row>
    <row r="1557" spans="1:3" x14ac:dyDescent="0.2">
      <c r="A1557" s="208" t="s">
        <v>2513</v>
      </c>
      <c r="B1557" t="b">
        <f>IF(ISBLANK(PedBerLab!$E$11),"",PedBerLab!$E$11)</f>
        <v>0</v>
      </c>
      <c r="C1557" s="208" t="b">
        <v>0</v>
      </c>
    </row>
    <row r="1558" spans="1:3" x14ac:dyDescent="0.2">
      <c r="A1558" s="208" t="s">
        <v>2514</v>
      </c>
      <c r="B1558" t="b">
        <f>IF(ISBLANK(PedBerLab!$E$12),"",PedBerLab!$E$12)</f>
        <v>0</v>
      </c>
      <c r="C1558" s="208" t="b">
        <v>0</v>
      </c>
    </row>
    <row r="1559" spans="1:3" x14ac:dyDescent="0.2">
      <c r="A1559" s="208" t="s">
        <v>2515</v>
      </c>
      <c r="B1559" t="b">
        <f>IF(ISBLANK(PedBerLab!$E$13),"",PedBerLab!$E$13)</f>
        <v>0</v>
      </c>
      <c r="C1559" s="208" t="b">
        <v>0</v>
      </c>
    </row>
    <row r="1560" spans="1:3" x14ac:dyDescent="0.2">
      <c r="A1560" s="208" t="s">
        <v>2516</v>
      </c>
      <c r="B1560" t="b">
        <f>IF(ISBLANK(PedBerLab!$E$14),"",PedBerLab!$E$14)</f>
        <v>0</v>
      </c>
      <c r="C1560" s="208" t="b">
        <v>0</v>
      </c>
    </row>
    <row r="1561" spans="1:3" x14ac:dyDescent="0.2">
      <c r="A1561" s="208" t="s">
        <v>2517</v>
      </c>
      <c r="B1561" t="b">
        <f>IF(ISBLANK(PedBerLab!$E$15),"",PedBerLab!$E$15)</f>
        <v>0</v>
      </c>
      <c r="C1561" s="208" t="b">
        <v>0</v>
      </c>
    </row>
    <row r="1562" spans="1:3" x14ac:dyDescent="0.2">
      <c r="A1562" s="208" t="s">
        <v>2518</v>
      </c>
      <c r="B1562" t="b">
        <f>IF(ISBLANK(PedBerLab!$E$16),"",PedBerLab!$E$16)</f>
        <v>0</v>
      </c>
      <c r="C1562" s="208" t="b">
        <v>0</v>
      </c>
    </row>
    <row r="1563" spans="1:3" x14ac:dyDescent="0.2">
      <c r="A1563" s="208" t="s">
        <v>2519</v>
      </c>
      <c r="B1563" t="b">
        <f>IF(ISBLANK(PedBerLab!$E$17),"",PedBerLab!$E$17)</f>
        <v>0</v>
      </c>
      <c r="C1563" s="208" t="b">
        <v>0</v>
      </c>
    </row>
    <row r="1564" spans="1:3" x14ac:dyDescent="0.2">
      <c r="A1564" s="208" t="s">
        <v>2520</v>
      </c>
      <c r="B1564" t="b">
        <f>IF(ISBLANK(PedBerLab!$E$18),"",PedBerLab!$E$18)</f>
        <v>0</v>
      </c>
      <c r="C1564" s="208" t="b">
        <v>0</v>
      </c>
    </row>
    <row r="1565" spans="1:3" x14ac:dyDescent="0.2">
      <c r="A1565" s="208" t="s">
        <v>2521</v>
      </c>
      <c r="B1565" t="b">
        <f>IF(ISBLANK(PedBerLab!$E$19),"",PedBerLab!$E$19)</f>
        <v>0</v>
      </c>
      <c r="C1565" s="208" t="b">
        <v>0</v>
      </c>
    </row>
    <row r="1566" spans="1:3" x14ac:dyDescent="0.2">
      <c r="A1566" s="208" t="s">
        <v>2522</v>
      </c>
      <c r="B1566" t="b">
        <f>IF(ISBLANK(PedBerLab!$E$20),"",PedBerLab!$E$20)</f>
        <v>0</v>
      </c>
      <c r="C1566" s="208" t="b">
        <v>0</v>
      </c>
    </row>
    <row r="1567" spans="1:3" x14ac:dyDescent="0.2">
      <c r="A1567" s="208" t="s">
        <v>2523</v>
      </c>
      <c r="B1567" t="b">
        <f>IF(ISBLANK(PedBerLab!$E$21),"",PedBerLab!$E$21)</f>
        <v>0</v>
      </c>
      <c r="C1567" s="208" t="b">
        <v>0</v>
      </c>
    </row>
    <row r="1568" spans="1:3" x14ac:dyDescent="0.2">
      <c r="A1568" s="208" t="s">
        <v>2524</v>
      </c>
      <c r="B1568" t="b">
        <f>IF(ISBLANK(PedBerLab!$E$22),"",PedBerLab!$E$22)</f>
        <v>0</v>
      </c>
      <c r="C1568" s="208" t="b">
        <v>0</v>
      </c>
    </row>
    <row r="1569" spans="1:6" x14ac:dyDescent="0.2">
      <c r="A1569" s="208" t="s">
        <v>2525</v>
      </c>
      <c r="B1569" t="b">
        <f>IF(ISBLANK(PedBerLab!$E$23),"",PedBerLab!$E$23)</f>
        <v>0</v>
      </c>
      <c r="C1569" s="208" t="b">
        <v>0</v>
      </c>
    </row>
    <row r="1570" spans="1:6" x14ac:dyDescent="0.2">
      <c r="A1570" s="208" t="s">
        <v>2526</v>
      </c>
      <c r="B1570" t="b">
        <f>IF(ISBLANK(PedBerLab!$E$24),"",PedBerLab!$E$24)</f>
        <v>0</v>
      </c>
      <c r="C1570" s="208" t="b">
        <v>0</v>
      </c>
    </row>
    <row r="1571" spans="1:6" x14ac:dyDescent="0.2">
      <c r="A1571" s="208" t="s">
        <v>2527</v>
      </c>
      <c r="B1571" t="b">
        <f>IF(ISBLANK(PedBerLab!$E$25),"",PedBerLab!$E$25)</f>
        <v>0</v>
      </c>
      <c r="C1571" s="208" t="b">
        <v>0</v>
      </c>
    </row>
    <row r="1572" spans="1:6" x14ac:dyDescent="0.2">
      <c r="A1572" s="208" t="s">
        <v>2528</v>
      </c>
      <c r="B1572" t="b">
        <f>IF(ISBLANK(PedBerLab!$E$26),"",PedBerLab!$E$26)</f>
        <v>0</v>
      </c>
      <c r="C1572" s="208" t="b">
        <v>0</v>
      </c>
    </row>
    <row r="1573" spans="1:6" x14ac:dyDescent="0.2">
      <c r="A1573" s="208" t="s">
        <v>2529</v>
      </c>
      <c r="B1573" t="b">
        <f>IF(ISBLANK(PedBerLab!$E$27),"",PedBerLab!$E$27)</f>
        <v>0</v>
      </c>
      <c r="C1573" s="208" t="b">
        <v>0</v>
      </c>
    </row>
    <row r="1574" spans="1:6" x14ac:dyDescent="0.2">
      <c r="A1574" s="208" t="s">
        <v>2530</v>
      </c>
      <c r="B1574" t="b">
        <f>IF(ISBLANK(PedBerLab!$E$28),"",PedBerLab!$E$28)</f>
        <v>0</v>
      </c>
      <c r="C1574" s="208" t="b">
        <v>0</v>
      </c>
    </row>
    <row r="1575" spans="1:6" x14ac:dyDescent="0.2">
      <c r="A1575" s="208" t="s">
        <v>2531</v>
      </c>
      <c r="B1575" t="b">
        <f>IF(ISBLANK(PedBerLab!$E$29),"",PedBerLab!$E$29)</f>
        <v>0</v>
      </c>
      <c r="C1575" s="208" t="b">
        <v>0</v>
      </c>
    </row>
    <row r="1576" spans="1:6" x14ac:dyDescent="0.2">
      <c r="A1576" s="208" t="s">
        <v>2532</v>
      </c>
      <c r="B1576" t="b">
        <f>IF(ISBLANK(PedBerLab!$E$30),"",PedBerLab!$E$30)</f>
        <v>0</v>
      </c>
      <c r="C1576" s="208" t="b">
        <v>0</v>
      </c>
    </row>
    <row r="1577" spans="1:6" x14ac:dyDescent="0.2">
      <c r="A1577" s="208" t="s">
        <v>2533</v>
      </c>
      <c r="B1577" t="b">
        <f>IF(ISBLANK(PedBerLab!$E$31),"",PedBerLab!$E$31)</f>
        <v>0</v>
      </c>
      <c r="C1577" s="208" t="b">
        <v>0</v>
      </c>
      <c r="F1577" s="208"/>
    </row>
    <row r="1578" spans="1:6" x14ac:dyDescent="0.2">
      <c r="A1578" s="208" t="s">
        <v>2534</v>
      </c>
      <c r="B1578" t="b">
        <f>IF(ISBLANK(PedBerLab!$E$32),"",PedBerLab!$E$32)</f>
        <v>0</v>
      </c>
      <c r="C1578" s="208" t="b">
        <v>0</v>
      </c>
      <c r="F1578" s="208"/>
    </row>
    <row r="1579" spans="1:6" x14ac:dyDescent="0.2">
      <c r="A1579" s="208" t="s">
        <v>2535</v>
      </c>
      <c r="B1579" t="b">
        <f>IF(ISBLANK(PedBerLab!$E$33),"",PedBerLab!$E$33)</f>
        <v>0</v>
      </c>
      <c r="C1579" s="208" t="b">
        <v>0</v>
      </c>
      <c r="F1579" s="208"/>
    </row>
    <row r="1580" spans="1:6" x14ac:dyDescent="0.2">
      <c r="A1580" s="208" t="s">
        <v>2536</v>
      </c>
      <c r="B1580" t="b">
        <f>IF(ISBLANK(PedBerLab!$E$34),"",PedBerLab!$E$34)</f>
        <v>0</v>
      </c>
      <c r="C1580" s="208" t="b">
        <v>0</v>
      </c>
      <c r="F1580" s="208"/>
    </row>
    <row r="1581" spans="1:6" x14ac:dyDescent="0.2">
      <c r="A1581" s="208" t="s">
        <v>2537</v>
      </c>
      <c r="B1581" t="b">
        <f>IF(ISBLANK(PedBerLab!$G$4),"",PedBerLab!$G$4)</f>
        <v>0</v>
      </c>
      <c r="C1581" s="208" t="b">
        <v>0</v>
      </c>
      <c r="F1581" s="208"/>
    </row>
    <row r="1582" spans="1:6" x14ac:dyDescent="0.2">
      <c r="A1582" s="208" t="s">
        <v>2538</v>
      </c>
      <c r="B1582" t="b">
        <f>IF(ISBLANK(PedBerLab!$G$5),"",PedBerLab!$G$5)</f>
        <v>0</v>
      </c>
      <c r="C1582" s="208" t="b">
        <v>0</v>
      </c>
    </row>
    <row r="1583" spans="1:6" x14ac:dyDescent="0.2">
      <c r="A1583" s="208" t="s">
        <v>2539</v>
      </c>
      <c r="B1583" t="b">
        <f>IF(ISBLANK(PedBerLab!$G$6),"",PedBerLab!$G$6)</f>
        <v>0</v>
      </c>
      <c r="C1583" s="208" t="b">
        <v>0</v>
      </c>
    </row>
    <row r="1584" spans="1:6" x14ac:dyDescent="0.2">
      <c r="A1584" s="208" t="s">
        <v>2540</v>
      </c>
      <c r="B1584" t="b">
        <f>IF(ISBLANK(PedBerLab!$G$7),"",PedBerLab!$G$7)</f>
        <v>0</v>
      </c>
      <c r="C1584" s="208" t="b">
        <v>0</v>
      </c>
    </row>
    <row r="1585" spans="1:6" x14ac:dyDescent="0.2">
      <c r="A1585" s="208" t="s">
        <v>2541</v>
      </c>
      <c r="B1585" t="b">
        <f>IF(ISBLANK(PedBerLab!$G$8),"",PedBerLab!$G$8)</f>
        <v>0</v>
      </c>
      <c r="C1585" s="208" t="b">
        <v>0</v>
      </c>
    </row>
    <row r="1586" spans="1:6" x14ac:dyDescent="0.2">
      <c r="A1586" s="208" t="s">
        <v>2542</v>
      </c>
      <c r="B1586" t="b">
        <f>IF(ISBLANK(PedBerLab!$G$9),"",PedBerLab!$G$9)</f>
        <v>0</v>
      </c>
      <c r="C1586" t="b">
        <v>0</v>
      </c>
    </row>
    <row r="1587" spans="1:6" x14ac:dyDescent="0.2">
      <c r="A1587" s="208" t="s">
        <v>2543</v>
      </c>
      <c r="B1587" t="b">
        <f>IF(ISBLANK(PedBerLab!$G$10),"",PedBerLab!$G$10)</f>
        <v>0</v>
      </c>
      <c r="C1587" s="208" t="b">
        <v>0</v>
      </c>
    </row>
    <row r="1588" spans="1:6" x14ac:dyDescent="0.2">
      <c r="A1588" s="208" t="s">
        <v>2544</v>
      </c>
      <c r="B1588" t="b">
        <f>IF(ISBLANK(PedBerLab!$G$11),"",PedBerLab!$G$11)</f>
        <v>0</v>
      </c>
      <c r="C1588" s="208" t="b">
        <v>0</v>
      </c>
    </row>
    <row r="1589" spans="1:6" x14ac:dyDescent="0.2">
      <c r="A1589" s="208" t="s">
        <v>2545</v>
      </c>
      <c r="B1589" t="b">
        <f>IF(ISBLANK(PedBerLab!$G$12),"",PedBerLab!$G$12)</f>
        <v>0</v>
      </c>
      <c r="C1589" s="208" t="b">
        <v>0</v>
      </c>
    </row>
    <row r="1590" spans="1:6" x14ac:dyDescent="0.2">
      <c r="A1590" s="208" t="s">
        <v>2546</v>
      </c>
      <c r="B1590" t="b">
        <f>IF(ISBLANK(PedBerLab!$G$13),"",PedBerLab!$G$13)</f>
        <v>0</v>
      </c>
      <c r="C1590" s="208" t="b">
        <v>0</v>
      </c>
    </row>
    <row r="1591" spans="1:6" x14ac:dyDescent="0.2">
      <c r="A1591" s="208" t="s">
        <v>2547</v>
      </c>
      <c r="B1591" t="b">
        <f>IF(ISBLANK(PedBerLab!$G$14),"",PedBerLab!$G$14)</f>
        <v>0</v>
      </c>
      <c r="C1591" s="208" t="b">
        <v>0</v>
      </c>
    </row>
    <row r="1592" spans="1:6" x14ac:dyDescent="0.2">
      <c r="A1592" s="208" t="s">
        <v>2548</v>
      </c>
      <c r="B1592" t="b">
        <f>IF(ISBLANK(PedBerLab!$G$15),"",PedBerLab!$G$15)</f>
        <v>0</v>
      </c>
      <c r="C1592" s="208" t="b">
        <v>0</v>
      </c>
    </row>
    <row r="1593" spans="1:6" x14ac:dyDescent="0.2">
      <c r="A1593" s="208" t="s">
        <v>2549</v>
      </c>
      <c r="B1593" t="b">
        <f>IF(ISBLANK(PedBerLab!$G$16),"",PedBerLab!$G$16)</f>
        <v>0</v>
      </c>
      <c r="C1593" s="208" t="b">
        <v>0</v>
      </c>
    </row>
    <row r="1594" spans="1:6" x14ac:dyDescent="0.2">
      <c r="A1594" s="208" t="s">
        <v>2550</v>
      </c>
      <c r="B1594" t="b">
        <f>IF(ISBLANK(PedBerLab!$G$17),"",PedBerLab!$G$17)</f>
        <v>0</v>
      </c>
      <c r="C1594" s="208" t="b">
        <v>0</v>
      </c>
    </row>
    <row r="1595" spans="1:6" x14ac:dyDescent="0.2">
      <c r="A1595" s="208" t="s">
        <v>2551</v>
      </c>
      <c r="B1595" t="b">
        <f>IF(ISBLANK(PedBerLab!$G$18),"",PedBerLab!$G$18)</f>
        <v>0</v>
      </c>
      <c r="C1595" s="208" t="b">
        <v>0</v>
      </c>
    </row>
    <row r="1596" spans="1:6" x14ac:dyDescent="0.2">
      <c r="A1596" s="208" t="s">
        <v>2552</v>
      </c>
      <c r="B1596" t="b">
        <f>IF(ISBLANK(PedBerLab!$G$19),"",PedBerLab!$G$19)</f>
        <v>0</v>
      </c>
      <c r="C1596" s="208" t="b">
        <v>0</v>
      </c>
    </row>
    <row r="1597" spans="1:6" x14ac:dyDescent="0.2">
      <c r="A1597" s="208" t="s">
        <v>2553</v>
      </c>
      <c r="B1597" t="b">
        <f>IF(ISBLANK(PedBerLab!$G$20),"",PedBerLab!$G$20)</f>
        <v>0</v>
      </c>
      <c r="C1597" s="208" t="b">
        <v>0</v>
      </c>
      <c r="F1597" s="208"/>
    </row>
    <row r="1598" spans="1:6" x14ac:dyDescent="0.2">
      <c r="A1598" s="208" t="s">
        <v>2554</v>
      </c>
      <c r="B1598" t="b">
        <f>IF(ISBLANK(PedBerLab!$G$21),"",PedBerLab!$G$21)</f>
        <v>0</v>
      </c>
      <c r="C1598" s="208" t="b">
        <v>0</v>
      </c>
      <c r="F1598" s="208"/>
    </row>
    <row r="1599" spans="1:6" x14ac:dyDescent="0.2">
      <c r="A1599" s="208" t="s">
        <v>2555</v>
      </c>
      <c r="B1599" t="b">
        <f>IF(ISBLANK(PedBerLab!$G$22),"",PedBerLab!$G$22)</f>
        <v>0</v>
      </c>
      <c r="C1599" s="208" t="b">
        <v>0</v>
      </c>
      <c r="F1599" s="208"/>
    </row>
    <row r="1600" spans="1:6" x14ac:dyDescent="0.2">
      <c r="A1600" s="208" t="s">
        <v>2556</v>
      </c>
      <c r="B1600" t="b">
        <f>IF(ISBLANK(PedBerLab!$G$23),"",PedBerLab!$G$23)</f>
        <v>0</v>
      </c>
      <c r="C1600" s="208" t="b">
        <v>0</v>
      </c>
      <c r="F1600" s="208"/>
    </row>
    <row r="1601" spans="1:6" x14ac:dyDescent="0.2">
      <c r="A1601" s="208" t="s">
        <v>2557</v>
      </c>
      <c r="B1601" t="b">
        <f>IF(ISBLANK(PedBerLab!$G$24),"",PedBerLab!$G$24)</f>
        <v>0</v>
      </c>
      <c r="C1601" s="208" t="b">
        <v>0</v>
      </c>
      <c r="F1601" s="208"/>
    </row>
    <row r="1602" spans="1:6" x14ac:dyDescent="0.2">
      <c r="A1602" s="208" t="s">
        <v>2558</v>
      </c>
      <c r="B1602" t="b">
        <f>IF(ISBLANK(PedBerLab!$G$25),"",PedBerLab!$G$25)</f>
        <v>0</v>
      </c>
      <c r="C1602" s="208" t="b">
        <v>0</v>
      </c>
    </row>
    <row r="1603" spans="1:6" x14ac:dyDescent="0.2">
      <c r="A1603" s="208" t="s">
        <v>2559</v>
      </c>
      <c r="B1603" t="b">
        <f>IF(ISBLANK(PedBerLab!$G$26),"",PedBerLab!$G$26)</f>
        <v>0</v>
      </c>
      <c r="C1603" s="208" t="b">
        <v>0</v>
      </c>
    </row>
    <row r="1604" spans="1:6" x14ac:dyDescent="0.2">
      <c r="A1604" s="208" t="s">
        <v>2560</v>
      </c>
      <c r="B1604" t="b">
        <f>IF(ISBLANK(PedBerLab!$G$27),"",PedBerLab!$G$27)</f>
        <v>0</v>
      </c>
      <c r="C1604" s="208" t="b">
        <v>0</v>
      </c>
    </row>
    <row r="1605" spans="1:6" x14ac:dyDescent="0.2">
      <c r="A1605" s="208" t="s">
        <v>2561</v>
      </c>
      <c r="B1605" t="b">
        <f>IF(ISBLANK(PedBerLab!$G$28),"",PedBerLab!$G$28)</f>
        <v>0</v>
      </c>
      <c r="C1605" s="208" t="b">
        <v>0</v>
      </c>
    </row>
    <row r="1606" spans="1:6" x14ac:dyDescent="0.2">
      <c r="A1606" s="208" t="s">
        <v>2562</v>
      </c>
      <c r="B1606" t="b">
        <f>IF(ISBLANK(PedBerLab!$G$29),"",PedBerLab!$G$29)</f>
        <v>0</v>
      </c>
      <c r="C1606" s="208" t="b">
        <v>0</v>
      </c>
    </row>
    <row r="1607" spans="1:6" x14ac:dyDescent="0.2">
      <c r="A1607" s="208" t="s">
        <v>2563</v>
      </c>
      <c r="B1607" t="b">
        <f>IF(ISBLANK(PedBerLab!$G$30),"",PedBerLab!$G$30)</f>
        <v>0</v>
      </c>
      <c r="C1607" s="208" t="b">
        <v>0</v>
      </c>
      <c r="E1607" s="208"/>
    </row>
    <row r="1608" spans="1:6" x14ac:dyDescent="0.2">
      <c r="A1608" s="208" t="s">
        <v>2564</v>
      </c>
      <c r="B1608" t="b">
        <f>IF(ISBLANK(PedBerLab!$G$31),"",PedBerLab!$G$31)</f>
        <v>0</v>
      </c>
      <c r="C1608" s="208" t="b">
        <v>0</v>
      </c>
      <c r="D1608" s="208"/>
      <c r="E1608" s="208"/>
    </row>
    <row r="1609" spans="1:6" x14ac:dyDescent="0.2">
      <c r="A1609" s="208" t="s">
        <v>2565</v>
      </c>
      <c r="B1609" t="b">
        <f>IF(ISBLANK(PedBerLab!$G$32),"",PedBerLab!$G$32)</f>
        <v>0</v>
      </c>
      <c r="C1609" s="208" t="b">
        <v>0</v>
      </c>
      <c r="D1609" s="208"/>
      <c r="E1609" s="208"/>
    </row>
    <row r="1610" spans="1:6" x14ac:dyDescent="0.2">
      <c r="A1610" s="208" t="s">
        <v>2566</v>
      </c>
      <c r="B1610" t="b">
        <f>IF(ISBLANK(PedBerLab!$G$33),"",PedBerLab!$G$33)</f>
        <v>0</v>
      </c>
      <c r="C1610" s="208" t="b">
        <v>0</v>
      </c>
      <c r="D1610" s="208"/>
      <c r="E1610" s="208"/>
    </row>
    <row r="1611" spans="1:6" x14ac:dyDescent="0.2">
      <c r="A1611" s="208" t="s">
        <v>2567</v>
      </c>
      <c r="B1611" t="b">
        <f>IF(ISBLANK(PedBerLab!$G$34),"",PedBerLab!$G$34)</f>
        <v>0</v>
      </c>
      <c r="C1611" s="208" t="b">
        <v>0</v>
      </c>
      <c r="D1611" s="208"/>
      <c r="E1611" s="208"/>
    </row>
    <row r="1612" spans="1:6" x14ac:dyDescent="0.2">
      <c r="A1612" s="208" t="s">
        <v>2568</v>
      </c>
      <c r="B1612" t="b">
        <f>IF(ISBLANK(PedBerLab!$G$35),"",PedBerLab!$G$35)</f>
        <v>0</v>
      </c>
      <c r="C1612" s="208" t="b">
        <v>0</v>
      </c>
      <c r="D1612" s="208"/>
    </row>
    <row r="1613" spans="1:6" x14ac:dyDescent="0.2">
      <c r="A1613" s="208" t="s">
        <v>2569</v>
      </c>
      <c r="B1613" t="b">
        <f>IF(ISBLANK(PedBerLab!$I$4),"",PedBerLab!$I$4)</f>
        <v>0</v>
      </c>
      <c r="C1613" s="208" t="b">
        <v>0</v>
      </c>
    </row>
    <row r="1614" spans="1:6" x14ac:dyDescent="0.2">
      <c r="A1614" s="208" t="s">
        <v>2570</v>
      </c>
      <c r="B1614" t="b">
        <f>IF(ISBLANK(PedBerLab!$I$5),"",PedBerLab!$I$5)</f>
        <v>0</v>
      </c>
      <c r="C1614" s="208" t="b">
        <v>0</v>
      </c>
    </row>
    <row r="1615" spans="1:6" x14ac:dyDescent="0.2">
      <c r="A1615" s="208" t="s">
        <v>2571</v>
      </c>
      <c r="B1615" t="b">
        <f>IF(ISBLANK(PedBerLab!$I$6),"",PedBerLab!$I$6)</f>
        <v>0</v>
      </c>
      <c r="C1615" s="208" t="b">
        <v>0</v>
      </c>
    </row>
    <row r="1616" spans="1:6" x14ac:dyDescent="0.2">
      <c r="A1616" s="208" t="s">
        <v>2572</v>
      </c>
      <c r="B1616" t="b">
        <f>IF(ISBLANK(PedBerLab!$I$7),"",PedBerLab!$I$7)</f>
        <v>0</v>
      </c>
      <c r="C1616" s="208" t="b">
        <v>0</v>
      </c>
    </row>
    <row r="1617" spans="1:6" x14ac:dyDescent="0.2">
      <c r="A1617" s="208" t="s">
        <v>2573</v>
      </c>
      <c r="B1617" t="b">
        <f>IF(ISBLANK(PedBerLab!$I$8),"",PedBerLab!$I$8)</f>
        <v>0</v>
      </c>
      <c r="C1617" s="208" t="b">
        <v>0</v>
      </c>
      <c r="F1617" s="208"/>
    </row>
    <row r="1618" spans="1:6" x14ac:dyDescent="0.2">
      <c r="A1618" s="208" t="s">
        <v>2574</v>
      </c>
      <c r="B1618" s="208" t="b">
        <f>IF(ISBLANK(PedBerLab!$I$9),"",PedBerLab!$I$9)</f>
        <v>0</v>
      </c>
      <c r="C1618" s="208" t="b">
        <v>0</v>
      </c>
      <c r="F1618" s="208"/>
    </row>
    <row r="1619" spans="1:6" x14ac:dyDescent="0.2">
      <c r="A1619" s="208" t="s">
        <v>2575</v>
      </c>
      <c r="B1619" s="208" t="b">
        <f>IF(ISBLANK(PedBerLab!$I$10),"",PedBerLab!$I$10)</f>
        <v>0</v>
      </c>
      <c r="C1619" s="208" t="b">
        <v>0</v>
      </c>
      <c r="F1619" s="208"/>
    </row>
    <row r="1620" spans="1:6" x14ac:dyDescent="0.2">
      <c r="A1620" s="208" t="s">
        <v>2576</v>
      </c>
      <c r="B1620" s="208" t="b">
        <f>IF(ISBLANK(PedBerLab!$I$11),"",PedBerLab!$I$11)</f>
        <v>0</v>
      </c>
      <c r="C1620" s="208" t="b">
        <v>0</v>
      </c>
      <c r="F1620" s="208"/>
    </row>
    <row r="1621" spans="1:6" x14ac:dyDescent="0.2">
      <c r="A1621" s="208" t="s">
        <v>2577</v>
      </c>
      <c r="B1621" s="208" t="b">
        <f>IF(ISBLANK(PedBerLab!$I$12),"",PedBerLab!$I$12)</f>
        <v>0</v>
      </c>
      <c r="C1621" s="208" t="b">
        <v>0</v>
      </c>
      <c r="F1621" s="208"/>
    </row>
    <row r="1622" spans="1:6" x14ac:dyDescent="0.2">
      <c r="A1622" s="208" t="s">
        <v>2578</v>
      </c>
      <c r="B1622" s="208" t="b">
        <f>IF(ISBLANK(PedBerLab!$I$13),"",PedBerLab!$I$13)</f>
        <v>0</v>
      </c>
      <c r="C1622" s="208" t="b">
        <v>0</v>
      </c>
    </row>
    <row r="1623" spans="1:6" x14ac:dyDescent="0.2">
      <c r="A1623" s="208" t="s">
        <v>2579</v>
      </c>
      <c r="B1623" s="208" t="b">
        <f>IF(ISBLANK(PedBerLab!$I$14),"",PedBerLab!$I$14)</f>
        <v>0</v>
      </c>
      <c r="C1623" s="208" t="b">
        <v>0</v>
      </c>
    </row>
    <row r="1624" spans="1:6" x14ac:dyDescent="0.2">
      <c r="A1624" s="208" t="s">
        <v>2580</v>
      </c>
      <c r="B1624" s="208" t="b">
        <f>IF(ISBLANK(PedBerLab!$I$15),"",PedBerLab!$I$15)</f>
        <v>0</v>
      </c>
      <c r="C1624" s="208" t="b">
        <v>0</v>
      </c>
    </row>
    <row r="1625" spans="1:6" x14ac:dyDescent="0.2">
      <c r="A1625" s="208" t="s">
        <v>2581</v>
      </c>
      <c r="B1625" t="b">
        <f>IF(ISBLANK(PedBerLab!$I$16),"",PedBerLab!$I$16)</f>
        <v>0</v>
      </c>
      <c r="C1625" t="b">
        <v>0</v>
      </c>
    </row>
    <row r="1626" spans="1:6" x14ac:dyDescent="0.2">
      <c r="A1626" s="208" t="s">
        <v>2582</v>
      </c>
      <c r="B1626" t="b">
        <f>IF(ISBLANK(PedBerLab!$I$17),"",PedBerLab!$I$17)</f>
        <v>0</v>
      </c>
      <c r="C1626" t="b">
        <v>0</v>
      </c>
    </row>
    <row r="1627" spans="1:6" x14ac:dyDescent="0.2">
      <c r="A1627" s="208" t="s">
        <v>2583</v>
      </c>
      <c r="B1627" t="b">
        <f>IF(ISBLANK(PedBerLab!$I$18),"",PedBerLab!$I$18)</f>
        <v>0</v>
      </c>
      <c r="C1627" t="b">
        <v>0</v>
      </c>
      <c r="E1627" s="208"/>
    </row>
    <row r="1628" spans="1:6" x14ac:dyDescent="0.2">
      <c r="A1628" s="208" t="s">
        <v>2584</v>
      </c>
      <c r="B1628" t="b">
        <f>IF(ISBLANK(PedBerLab!$I$19),"",PedBerLab!$I$19)</f>
        <v>0</v>
      </c>
      <c r="C1628" t="b">
        <v>0</v>
      </c>
      <c r="D1628" s="208"/>
      <c r="E1628" s="208"/>
    </row>
    <row r="1629" spans="1:6" x14ac:dyDescent="0.2">
      <c r="A1629" s="208" t="s">
        <v>2585</v>
      </c>
      <c r="B1629" t="b">
        <f>IF(ISBLANK(PedBerLab!$I$20),"",PedBerLab!$I$20)</f>
        <v>0</v>
      </c>
      <c r="C1629" t="b">
        <v>0</v>
      </c>
      <c r="D1629" s="208"/>
      <c r="E1629" s="208"/>
    </row>
    <row r="1630" spans="1:6" x14ac:dyDescent="0.2">
      <c r="A1630" s="208" t="s">
        <v>2586</v>
      </c>
      <c r="B1630" t="b">
        <f>IF(ISBLANK(PedBerLab!$I$21),"",PedBerLab!$I$21)</f>
        <v>0</v>
      </c>
      <c r="C1630" t="b">
        <v>0</v>
      </c>
      <c r="D1630" s="208"/>
      <c r="E1630" s="208"/>
    </row>
    <row r="1631" spans="1:6" x14ac:dyDescent="0.2">
      <c r="A1631" s="208" t="s">
        <v>2587</v>
      </c>
      <c r="B1631" t="b">
        <f>IF(ISBLANK(PedBerLab!$I$22),"",PedBerLab!$I$22)</f>
        <v>0</v>
      </c>
      <c r="C1631" t="b">
        <v>0</v>
      </c>
      <c r="D1631" s="208"/>
      <c r="E1631" s="208"/>
    </row>
    <row r="1632" spans="1:6" x14ac:dyDescent="0.2">
      <c r="A1632" s="208" t="s">
        <v>2588</v>
      </c>
      <c r="B1632" t="b">
        <f>IF(ISBLANK(PedBerLab!$I$23),"",PedBerLab!$I$23)</f>
        <v>0</v>
      </c>
      <c r="C1632" t="b">
        <v>0</v>
      </c>
      <c r="D1632" s="208"/>
    </row>
    <row r="1633" spans="1:6" x14ac:dyDescent="0.2">
      <c r="A1633" s="208" t="s">
        <v>2589</v>
      </c>
      <c r="B1633" t="b">
        <f>IF(ISBLANK(PedBerLab!$I$24),"",PedBerLab!$I$24)</f>
        <v>0</v>
      </c>
      <c r="C1633" t="b">
        <v>0</v>
      </c>
    </row>
    <row r="1634" spans="1:6" x14ac:dyDescent="0.2">
      <c r="A1634" s="208" t="s">
        <v>2590</v>
      </c>
      <c r="B1634" t="b">
        <f>IF(ISBLANK(PedBerLab!$I$25),"",PedBerLab!$I$25)</f>
        <v>0</v>
      </c>
      <c r="C1634" t="b">
        <v>0</v>
      </c>
    </row>
    <row r="1635" spans="1:6" x14ac:dyDescent="0.2">
      <c r="A1635" s="208" t="s">
        <v>2591</v>
      </c>
      <c r="B1635" t="b">
        <f>IF(ISBLANK(PedBerLab!$I$26),"",PedBerLab!$I$26)</f>
        <v>0</v>
      </c>
      <c r="C1635" s="208" t="b">
        <v>0</v>
      </c>
    </row>
    <row r="1636" spans="1:6" x14ac:dyDescent="0.2">
      <c r="A1636" s="208" t="s">
        <v>2592</v>
      </c>
      <c r="B1636" t="b">
        <f>IF(ISBLANK(PedBerLab!$I$27),"",PedBerLab!$I$27)</f>
        <v>0</v>
      </c>
      <c r="C1636" s="208" t="b">
        <v>0</v>
      </c>
    </row>
    <row r="1637" spans="1:6" x14ac:dyDescent="0.2">
      <c r="A1637" s="208" t="s">
        <v>2593</v>
      </c>
      <c r="B1637" t="b">
        <f>IF(ISBLANK(PedBerLab!$I$28),"",PedBerLab!$I$28)</f>
        <v>0</v>
      </c>
      <c r="C1637" s="208" t="b">
        <v>0</v>
      </c>
    </row>
    <row r="1638" spans="1:6" x14ac:dyDescent="0.2">
      <c r="A1638" s="208" t="s">
        <v>2594</v>
      </c>
      <c r="B1638" t="b">
        <f>IF(ISBLANK(PedBerLab!$I$29),"",PedBerLab!$I$29)</f>
        <v>0</v>
      </c>
      <c r="C1638" s="208" t="b">
        <v>0</v>
      </c>
      <c r="F1638" s="208"/>
    </row>
    <row r="1639" spans="1:6" x14ac:dyDescent="0.2">
      <c r="A1639" s="208" t="s">
        <v>2595</v>
      </c>
      <c r="B1639" t="b">
        <f>IF(ISBLANK(PedBerLab!$I$30),"",PedBerLab!$I$30)</f>
        <v>0</v>
      </c>
      <c r="C1639" s="208" t="b">
        <v>0</v>
      </c>
      <c r="F1639" s="208"/>
    </row>
    <row r="1640" spans="1:6" x14ac:dyDescent="0.2">
      <c r="A1640" s="208" t="s">
        <v>2596</v>
      </c>
      <c r="B1640" s="208" t="b">
        <f>IF(ISBLANK(PedBerLab!$I$31),"",PedBerLab!$I$31)</f>
        <v>0</v>
      </c>
      <c r="C1640" s="208" t="b">
        <v>0</v>
      </c>
      <c r="F1640" s="208"/>
    </row>
    <row r="1641" spans="1:6" x14ac:dyDescent="0.2">
      <c r="A1641" s="208" t="s">
        <v>2597</v>
      </c>
      <c r="B1641" s="208" t="b">
        <f>IF(ISBLANK(PedBerLab!$I$32),"",PedBerLab!$I$32)</f>
        <v>0</v>
      </c>
      <c r="C1641" s="208" t="b">
        <v>0</v>
      </c>
      <c r="F1641" s="208"/>
    </row>
    <row r="1642" spans="1:6" x14ac:dyDescent="0.2">
      <c r="A1642" s="208" t="s">
        <v>2598</v>
      </c>
      <c r="B1642" s="208" t="b">
        <f>IF(ISBLANK(PedBerLab!$I$33),"",PedBerLab!$I$33)</f>
        <v>0</v>
      </c>
      <c r="C1642" s="208" t="b">
        <v>0</v>
      </c>
      <c r="F1642" s="208"/>
    </row>
    <row r="1643" spans="1:6" x14ac:dyDescent="0.2">
      <c r="A1643" s="208" t="s">
        <v>2599</v>
      </c>
      <c r="B1643" s="208" t="b">
        <f>IF(ISBLANK(PedBerLab!$I$34),"",PedBerLab!$I$34)</f>
        <v>0</v>
      </c>
      <c r="C1643" s="208" t="b">
        <v>0</v>
      </c>
    </row>
    <row r="1644" spans="1:6" x14ac:dyDescent="0.2">
      <c r="A1644" s="208" t="s">
        <v>2600</v>
      </c>
      <c r="B1644" s="208" t="b">
        <f>IF(ISBLANK(PedBerLab!$L$4),"",PedBerLab!$L$4)</f>
        <v>0</v>
      </c>
      <c r="C1644" s="208" t="b">
        <v>0</v>
      </c>
    </row>
    <row r="1645" spans="1:6" x14ac:dyDescent="0.2">
      <c r="A1645" s="208" t="s">
        <v>2601</v>
      </c>
      <c r="B1645" t="b">
        <f>IF(ISBLANK(PedBerLab!$L$5),"",PedBerLab!$L$5)</f>
        <v>0</v>
      </c>
      <c r="C1645" t="b">
        <v>0</v>
      </c>
    </row>
    <row r="1646" spans="1:6" x14ac:dyDescent="0.2">
      <c r="A1646" s="208" t="s">
        <v>2602</v>
      </c>
      <c r="B1646" t="b">
        <f>IF(ISBLANK(PedBerLab!$L$6),"",PedBerLab!$L$6)</f>
        <v>0</v>
      </c>
      <c r="C1646" t="b">
        <v>0</v>
      </c>
    </row>
    <row r="1647" spans="1:6" x14ac:dyDescent="0.2">
      <c r="A1647" s="208" t="s">
        <v>2603</v>
      </c>
      <c r="B1647" t="b">
        <f>IF(ISBLANK(PedBerLab!$L$7),"",PedBerLab!$L$7)</f>
        <v>0</v>
      </c>
      <c r="C1647" t="b">
        <v>0</v>
      </c>
      <c r="E1647" s="208"/>
    </row>
    <row r="1648" spans="1:6" x14ac:dyDescent="0.2">
      <c r="A1648" s="208" t="s">
        <v>2604</v>
      </c>
      <c r="B1648" t="b">
        <f>IF(ISBLANK(PedBerLab!$L$8),"",PedBerLab!$L$8)</f>
        <v>0</v>
      </c>
      <c r="C1648" t="b">
        <v>0</v>
      </c>
      <c r="D1648" s="208"/>
      <c r="E1648" s="208"/>
    </row>
    <row r="1649" spans="1:6" x14ac:dyDescent="0.2">
      <c r="A1649" s="208" t="s">
        <v>2605</v>
      </c>
      <c r="B1649" t="b">
        <f>IF(ISBLANK(PedBerLab!$L$9),"",PedBerLab!$L$9)</f>
        <v>0</v>
      </c>
      <c r="C1649" t="b">
        <v>0</v>
      </c>
      <c r="D1649" s="208"/>
      <c r="E1649" s="208"/>
    </row>
    <row r="1650" spans="1:6" x14ac:dyDescent="0.2">
      <c r="A1650" s="208" t="s">
        <v>2606</v>
      </c>
      <c r="B1650" t="b">
        <f>IF(ISBLANK(PedBerLab!$L$10),"",PedBerLab!$L$10)</f>
        <v>0</v>
      </c>
      <c r="C1650" t="b">
        <v>0</v>
      </c>
      <c r="D1650" s="208"/>
      <c r="E1650" s="208"/>
    </row>
    <row r="1651" spans="1:6" x14ac:dyDescent="0.2">
      <c r="A1651" s="208" t="s">
        <v>2607</v>
      </c>
      <c r="B1651" t="b">
        <f>IF(ISBLANK(PedBerLab!$L$11),"",PedBerLab!$L$11)</f>
        <v>0</v>
      </c>
      <c r="C1651" t="b">
        <v>0</v>
      </c>
      <c r="D1651" s="208"/>
      <c r="E1651" s="208"/>
    </row>
    <row r="1652" spans="1:6" x14ac:dyDescent="0.2">
      <c r="A1652" s="208" t="s">
        <v>2608</v>
      </c>
      <c r="B1652" t="b">
        <f>IF(ISBLANK(PedBerLab!$L$12),"",PedBerLab!$L$12)</f>
        <v>0</v>
      </c>
      <c r="C1652" t="b">
        <v>0</v>
      </c>
      <c r="D1652" s="208"/>
    </row>
    <row r="1653" spans="1:6" x14ac:dyDescent="0.2">
      <c r="A1653" s="208" t="s">
        <v>2609</v>
      </c>
      <c r="B1653" t="b">
        <f>IF(ISBLANK(PedBerLab!$L$13),"",PedBerLab!$L$13)</f>
        <v>0</v>
      </c>
      <c r="C1653" t="b">
        <v>0</v>
      </c>
    </row>
    <row r="1654" spans="1:6" x14ac:dyDescent="0.2">
      <c r="A1654" s="208" t="s">
        <v>2610</v>
      </c>
      <c r="B1654" t="b">
        <f>IF(ISBLANK(PedBerLab!$L$14),"",PedBerLab!$L$14)</f>
        <v>0</v>
      </c>
      <c r="C1654" t="b">
        <v>0</v>
      </c>
    </row>
    <row r="1655" spans="1:6" x14ac:dyDescent="0.2">
      <c r="A1655" s="208" t="s">
        <v>2611</v>
      </c>
      <c r="B1655" t="b">
        <f>IF(ISBLANK(PedBerLab!$L$15),"",PedBerLab!$L$15)</f>
        <v>0</v>
      </c>
      <c r="C1655" t="b">
        <v>0</v>
      </c>
    </row>
    <row r="1656" spans="1:6" x14ac:dyDescent="0.2">
      <c r="A1656" s="208" t="s">
        <v>2612</v>
      </c>
      <c r="B1656" t="b">
        <f>IF(ISBLANK(PedBerLab!$L$16),"",PedBerLab!$L$16)</f>
        <v>0</v>
      </c>
      <c r="C1656" t="b">
        <v>0</v>
      </c>
    </row>
    <row r="1657" spans="1:6" x14ac:dyDescent="0.2">
      <c r="A1657" s="208" t="s">
        <v>2613</v>
      </c>
      <c r="B1657" t="b">
        <f>IF(ISBLANK(PedBerLab!$L$17),"",PedBerLab!$L$17)</f>
        <v>0</v>
      </c>
      <c r="C1657" t="b">
        <v>0</v>
      </c>
    </row>
    <row r="1658" spans="1:6" x14ac:dyDescent="0.2">
      <c r="A1658" s="208" t="s">
        <v>2614</v>
      </c>
      <c r="B1658" t="b">
        <f>IF(ISBLANK(PedBerLab!$L$18),"",PedBerLab!$L$18)</f>
        <v>0</v>
      </c>
      <c r="C1658" t="b">
        <v>0</v>
      </c>
      <c r="F1658" s="208"/>
    </row>
    <row r="1659" spans="1:6" x14ac:dyDescent="0.2">
      <c r="A1659" s="208" t="s">
        <v>2615</v>
      </c>
      <c r="B1659" t="b">
        <f>IF(ISBLANK(PedBerLab!$L$19),"",PedBerLab!$L$19)</f>
        <v>0</v>
      </c>
      <c r="C1659" t="b">
        <v>0</v>
      </c>
      <c r="F1659" s="208"/>
    </row>
    <row r="1660" spans="1:6" x14ac:dyDescent="0.2">
      <c r="A1660" s="208" t="s">
        <v>2616</v>
      </c>
      <c r="B1660" s="208" t="b">
        <f>IF(ISBLANK(PedBerLab!$L$20),"",PedBerLab!$L$20)</f>
        <v>0</v>
      </c>
      <c r="C1660" s="208" t="b">
        <v>0</v>
      </c>
      <c r="F1660" s="208"/>
    </row>
    <row r="1661" spans="1:6" x14ac:dyDescent="0.2">
      <c r="A1661" s="208" t="s">
        <v>2617</v>
      </c>
      <c r="B1661" s="208" t="b">
        <f>IF(ISBLANK(PedBerLab!$L$21),"",PedBerLab!$L$21)</f>
        <v>0</v>
      </c>
      <c r="C1661" s="208" t="b">
        <v>0</v>
      </c>
      <c r="F1661" s="208"/>
    </row>
    <row r="1662" spans="1:6" x14ac:dyDescent="0.2">
      <c r="A1662" s="208" t="s">
        <v>2618</v>
      </c>
      <c r="B1662" s="208" t="b">
        <f>IF(ISBLANK(PedBerLab!$L$22),"",PedBerLab!$L$22)</f>
        <v>0</v>
      </c>
      <c r="C1662" s="208" t="b">
        <v>0</v>
      </c>
      <c r="F1662" s="208"/>
    </row>
    <row r="1663" spans="1:6" x14ac:dyDescent="0.2">
      <c r="A1663" s="208" t="s">
        <v>2619</v>
      </c>
      <c r="B1663" s="208" t="b">
        <f>IF(ISBLANK(PedBerLab!$L$23),"",PedBerLab!$L$23)</f>
        <v>0</v>
      </c>
      <c r="C1663" s="208" t="b">
        <v>0</v>
      </c>
    </row>
    <row r="1664" spans="1:6" x14ac:dyDescent="0.2">
      <c r="A1664" s="208" t="s">
        <v>2620</v>
      </c>
      <c r="B1664" s="208" t="b">
        <f>IF(ISBLANK(PedBerLab!$L$24),"",PedBerLab!$L$24)</f>
        <v>0</v>
      </c>
      <c r="C1664" s="208" t="b">
        <v>0</v>
      </c>
    </row>
    <row r="1665" spans="1:5" x14ac:dyDescent="0.2">
      <c r="A1665" s="208" t="s">
        <v>2621</v>
      </c>
      <c r="B1665" t="b">
        <f>IF(ISBLANK(PedBerLab!$L$25),"",PedBerLab!$L$25)</f>
        <v>0</v>
      </c>
      <c r="C1665" s="208" t="b">
        <v>0</v>
      </c>
    </row>
    <row r="1666" spans="1:5" x14ac:dyDescent="0.2">
      <c r="A1666" s="208" t="s">
        <v>2622</v>
      </c>
      <c r="B1666" t="b">
        <f>IF(ISBLANK(PedBerLab!$L$26),"",PedBerLab!$L$26)</f>
        <v>0</v>
      </c>
      <c r="C1666" s="208" t="b">
        <v>0</v>
      </c>
    </row>
    <row r="1667" spans="1:5" x14ac:dyDescent="0.2">
      <c r="A1667" s="208" t="s">
        <v>2623</v>
      </c>
      <c r="B1667" t="b">
        <f>IF(ISBLANK(PedBerLab!$L$27),"",PedBerLab!$L$27)</f>
        <v>0</v>
      </c>
      <c r="C1667" s="208" t="b">
        <v>0</v>
      </c>
    </row>
    <row r="1668" spans="1:5" x14ac:dyDescent="0.2">
      <c r="A1668" s="208" t="s">
        <v>2624</v>
      </c>
      <c r="B1668" t="b">
        <f>IF(ISBLANK(PedBerLab!$L$28),"",PedBerLab!$L$28)</f>
        <v>0</v>
      </c>
      <c r="C1668" s="208" t="b">
        <v>0</v>
      </c>
      <c r="E1668" s="208"/>
    </row>
    <row r="1669" spans="1:5" x14ac:dyDescent="0.2">
      <c r="A1669" s="208" t="s">
        <v>2625</v>
      </c>
      <c r="B1669" t="b">
        <f>IF(ISBLANK(PedBerLab!$L$29),"",PedBerLab!$L$29)</f>
        <v>0</v>
      </c>
      <c r="C1669" s="208" t="b">
        <v>0</v>
      </c>
      <c r="D1669" s="208"/>
      <c r="E1669" s="208"/>
    </row>
    <row r="1670" spans="1:5" x14ac:dyDescent="0.2">
      <c r="A1670" s="208" t="s">
        <v>2626</v>
      </c>
      <c r="B1670" t="b">
        <f>IF(ISBLANK(PedBerLab!$L$30),"",PedBerLab!$L$30)</f>
        <v>0</v>
      </c>
      <c r="C1670" s="208" t="b">
        <v>0</v>
      </c>
      <c r="D1670" s="208"/>
      <c r="E1670" s="208"/>
    </row>
    <row r="1671" spans="1:5" x14ac:dyDescent="0.2">
      <c r="A1671" s="208" t="s">
        <v>2627</v>
      </c>
      <c r="B1671" t="b">
        <f>IF(ISBLANK(PedBerLab!$L$31),"",PedBerLab!$L$31)</f>
        <v>0</v>
      </c>
      <c r="C1671" s="208" t="b">
        <v>0</v>
      </c>
      <c r="D1671" s="208"/>
      <c r="E1671" s="208"/>
    </row>
    <row r="1672" spans="1:5" x14ac:dyDescent="0.2">
      <c r="A1672" s="208" t="s">
        <v>2628</v>
      </c>
      <c r="B1672" t="b">
        <f>IF(ISBLANK(PedBerLab!$L$32),"",PedBerLab!$L$32)</f>
        <v>0</v>
      </c>
      <c r="C1672" s="208" t="b">
        <v>0</v>
      </c>
      <c r="D1672" s="208"/>
      <c r="E1672" s="208"/>
    </row>
    <row r="1673" spans="1:5" x14ac:dyDescent="0.2">
      <c r="A1673" s="208" t="s">
        <v>2629</v>
      </c>
      <c r="B1673" t="b">
        <f>IF(ISBLANK(PedBerLab!$L$33),"",PedBerLab!$L$33)</f>
        <v>0</v>
      </c>
      <c r="C1673" s="208" t="b">
        <v>0</v>
      </c>
      <c r="D1673" s="208"/>
    </row>
    <row r="1674" spans="1:5" x14ac:dyDescent="0.2">
      <c r="A1674" s="208" t="s">
        <v>2630</v>
      </c>
      <c r="B1674" t="b">
        <f>IF(ISBLANK(PedBerLab!$L$34),"",PedBerLab!$L$34)</f>
        <v>0</v>
      </c>
      <c r="C1674" s="208" t="b">
        <v>0</v>
      </c>
    </row>
    <row r="1675" spans="1:5" x14ac:dyDescent="0.2">
      <c r="A1675" s="208" t="s">
        <v>2631</v>
      </c>
      <c r="B1675" t="str">
        <f>IF(ISBLANK(PedBerLab!$B$37),"",PedBerLab!$B$37)</f>
        <v/>
      </c>
      <c r="C1675" s="99"/>
    </row>
    <row r="1676" spans="1:5" x14ac:dyDescent="0.2">
      <c r="A1676" s="208" t="s">
        <v>2632</v>
      </c>
      <c r="B1676" t="b">
        <f>IF(ISBLANK(PedBerLab!$C$4),"",PedBerLab!$C$4)</f>
        <v>0</v>
      </c>
      <c r="C1676" s="208" t="b">
        <v>0</v>
      </c>
    </row>
    <row r="1677" spans="1:5" x14ac:dyDescent="0.2">
      <c r="A1677" s="208" t="s">
        <v>2633</v>
      </c>
      <c r="B1677" t="b">
        <f>IF(ISBLANK(PedBerLab!$C$5),"",PedBerLab!$C$5)</f>
        <v>0</v>
      </c>
      <c r="C1677" s="208" t="b">
        <v>0</v>
      </c>
    </row>
    <row r="1678" spans="1:5" x14ac:dyDescent="0.2">
      <c r="A1678" s="208" t="s">
        <v>2634</v>
      </c>
      <c r="B1678" t="b">
        <f>IF(ISBLANK(PedBerLab!$C$6),"",PedBerLab!$C$6)</f>
        <v>0</v>
      </c>
      <c r="C1678" s="208" t="b">
        <v>0</v>
      </c>
    </row>
    <row r="1679" spans="1:5" x14ac:dyDescent="0.2">
      <c r="A1679" s="208" t="s">
        <v>2635</v>
      </c>
      <c r="B1679" t="b">
        <f>IF(ISBLANK(PedBerLab!$C$7),"",PedBerLab!$C$7)</f>
        <v>0</v>
      </c>
      <c r="C1679" s="208" t="b">
        <v>0</v>
      </c>
    </row>
    <row r="1680" spans="1:5" x14ac:dyDescent="0.2">
      <c r="A1680" s="208" t="s">
        <v>2636</v>
      </c>
      <c r="B1680" s="208" t="b">
        <f>IF(ISBLANK(PedBerLab!$C$8),"",PedBerLab!$C$8)</f>
        <v>0</v>
      </c>
      <c r="C1680" s="208" t="b">
        <v>0</v>
      </c>
    </row>
    <row r="1681" spans="1:5" x14ac:dyDescent="0.2">
      <c r="A1681" s="208" t="s">
        <v>2637</v>
      </c>
      <c r="B1681" s="208" t="b">
        <f>IF(ISBLANK(PedBerLab!$C$9),"",PedBerLab!$C$9)</f>
        <v>0</v>
      </c>
      <c r="C1681" s="208" t="b">
        <v>0</v>
      </c>
    </row>
    <row r="1682" spans="1:5" x14ac:dyDescent="0.2">
      <c r="A1682" s="208" t="s">
        <v>2638</v>
      </c>
      <c r="B1682" s="208" t="b">
        <f>IF(ISBLANK(PedBerLab!$C$10),"",PedBerLab!$C$10)</f>
        <v>0</v>
      </c>
      <c r="C1682" s="208" t="b">
        <v>0</v>
      </c>
    </row>
    <row r="1683" spans="1:5" x14ac:dyDescent="0.2">
      <c r="A1683" s="208" t="s">
        <v>2639</v>
      </c>
      <c r="B1683" s="208" t="b">
        <f>IF(ISBLANK(PedBerLab!$C$11),"",PedBerLab!$C$11)</f>
        <v>0</v>
      </c>
      <c r="C1683" s="208" t="b">
        <v>0</v>
      </c>
    </row>
    <row r="1684" spans="1:5" x14ac:dyDescent="0.2">
      <c r="A1684" s="208" t="s">
        <v>2640</v>
      </c>
      <c r="B1684" s="208" t="b">
        <f>IF(ISBLANK(PedBerLab!$C$12),"",PedBerLab!$C$12)</f>
        <v>0</v>
      </c>
      <c r="C1684" s="208" t="b">
        <v>0</v>
      </c>
    </row>
    <row r="1685" spans="1:5" x14ac:dyDescent="0.2">
      <c r="A1685" s="208" t="s">
        <v>2641</v>
      </c>
      <c r="B1685" t="b">
        <f>IF(ISBLANK(PedBerLab!$C$13),"",PedBerLab!$C$13)</f>
        <v>0</v>
      </c>
      <c r="C1685" s="208" t="b">
        <v>0</v>
      </c>
    </row>
    <row r="1686" spans="1:5" x14ac:dyDescent="0.2">
      <c r="A1686" s="208" t="s">
        <v>2642</v>
      </c>
      <c r="B1686" t="b">
        <f>IF(ISBLANK(PedBerLab!$C$14),"",PedBerLab!$C$14)</f>
        <v>0</v>
      </c>
      <c r="C1686" s="208" t="b">
        <v>0</v>
      </c>
    </row>
    <row r="1687" spans="1:5" x14ac:dyDescent="0.2">
      <c r="A1687" s="208" t="s">
        <v>2643</v>
      </c>
      <c r="B1687" t="b">
        <f>IF(ISBLANK(PedBerLab!$C$15),"",PedBerLab!$C$15)</f>
        <v>0</v>
      </c>
      <c r="C1687" s="208" t="b">
        <v>0</v>
      </c>
    </row>
    <row r="1688" spans="1:5" x14ac:dyDescent="0.2">
      <c r="A1688" s="208" t="s">
        <v>2644</v>
      </c>
      <c r="B1688" t="b">
        <f>IF(ISBLANK(PedBerLab!$C$16),"",PedBerLab!$C$16)</f>
        <v>0</v>
      </c>
      <c r="C1688" s="208" t="b">
        <v>0</v>
      </c>
      <c r="E1688" s="208"/>
    </row>
    <row r="1689" spans="1:5" x14ac:dyDescent="0.2">
      <c r="A1689" s="208" t="s">
        <v>2645</v>
      </c>
      <c r="B1689" t="b">
        <f>IF(ISBLANK(PedBerLab!$C$17),"",PedBerLab!$C$17)</f>
        <v>0</v>
      </c>
      <c r="C1689" s="208" t="b">
        <v>0</v>
      </c>
      <c r="D1689" s="208"/>
      <c r="E1689" s="208"/>
    </row>
    <row r="1690" spans="1:5" x14ac:dyDescent="0.2">
      <c r="A1690" s="208" t="s">
        <v>2646</v>
      </c>
      <c r="B1690" t="b">
        <f>IF(ISBLANK(PedBerLab!$C$18),"",PedBerLab!$C$18)</f>
        <v>0</v>
      </c>
      <c r="C1690" s="208" t="b">
        <v>0</v>
      </c>
      <c r="D1690" s="208"/>
      <c r="E1690" s="208"/>
    </row>
    <row r="1691" spans="1:5" x14ac:dyDescent="0.2">
      <c r="A1691" s="208" t="s">
        <v>2647</v>
      </c>
      <c r="B1691" t="b">
        <f>IF(ISBLANK(PedBerLab!$C$19),"",PedBerLab!$C$19)</f>
        <v>0</v>
      </c>
      <c r="C1691" s="208" t="b">
        <v>0</v>
      </c>
      <c r="D1691" s="208"/>
      <c r="E1691" s="208"/>
    </row>
    <row r="1692" spans="1:5" x14ac:dyDescent="0.2">
      <c r="A1692" s="208" t="s">
        <v>2648</v>
      </c>
      <c r="B1692" t="b">
        <f>IF(ISBLANK(PedBerLab!$C$20),"",PedBerLab!$C$20)</f>
        <v>0</v>
      </c>
      <c r="C1692" s="208" t="b">
        <v>0</v>
      </c>
      <c r="D1692" s="208"/>
      <c r="E1692" s="208"/>
    </row>
    <row r="1693" spans="1:5" x14ac:dyDescent="0.2">
      <c r="A1693" s="208" t="s">
        <v>2649</v>
      </c>
      <c r="B1693" t="b">
        <f>IF(ISBLANK(PedBerLab!$C$21),"",PedBerLab!$C$21)</f>
        <v>0</v>
      </c>
      <c r="C1693" s="208" t="b">
        <v>0</v>
      </c>
      <c r="D1693" s="208"/>
    </row>
    <row r="1694" spans="1:5" x14ac:dyDescent="0.2">
      <c r="A1694" s="208" t="s">
        <v>2650</v>
      </c>
      <c r="B1694" t="b">
        <f>IF(ISBLANK(PedBerLab!$C$22),"",PedBerLab!$C$22)</f>
        <v>0</v>
      </c>
      <c r="C1694" s="208" t="b">
        <v>0</v>
      </c>
    </row>
    <row r="1695" spans="1:5" x14ac:dyDescent="0.2">
      <c r="A1695" s="208" t="s">
        <v>2651</v>
      </c>
      <c r="B1695" t="b">
        <f>IF(ISBLANK(PedBerLab!$C$23),"",PedBerLab!$C$23)</f>
        <v>0</v>
      </c>
      <c r="C1695" s="208" t="b">
        <v>0</v>
      </c>
    </row>
    <row r="1696" spans="1:5" x14ac:dyDescent="0.2">
      <c r="A1696" s="208" t="s">
        <v>2652</v>
      </c>
      <c r="B1696" t="b">
        <f>IF(ISBLANK(PedBerLab!$C$24),"",PedBerLab!$C$24)</f>
        <v>0</v>
      </c>
      <c r="C1696" s="208" t="b">
        <v>0</v>
      </c>
    </row>
    <row r="1697" spans="1:3" x14ac:dyDescent="0.2">
      <c r="A1697" s="208" t="s">
        <v>2653</v>
      </c>
      <c r="B1697" t="b">
        <f>IF(ISBLANK(PedBerLab!$C$25),"",PedBerLab!$C$25)</f>
        <v>0</v>
      </c>
      <c r="C1697" s="208" t="b">
        <v>0</v>
      </c>
    </row>
    <row r="1698" spans="1:3" x14ac:dyDescent="0.2">
      <c r="A1698" s="208" t="s">
        <v>2654</v>
      </c>
      <c r="B1698" t="b">
        <f>IF(ISBLANK(PedBerLab!$C$26),"",PedBerLab!$C$26)</f>
        <v>0</v>
      </c>
      <c r="C1698" s="208" t="b">
        <v>0</v>
      </c>
    </row>
    <row r="1699" spans="1:3" x14ac:dyDescent="0.2">
      <c r="A1699" s="208" t="s">
        <v>2655</v>
      </c>
      <c r="B1699" t="b">
        <f>IF(ISBLANK(PedBerLab!$C$27),"",PedBerLab!$C$27)</f>
        <v>0</v>
      </c>
      <c r="C1699" s="208" t="b">
        <v>0</v>
      </c>
    </row>
    <row r="1700" spans="1:3" x14ac:dyDescent="0.2">
      <c r="A1700" s="208" t="s">
        <v>2656</v>
      </c>
      <c r="B1700" t="b">
        <f>IF(ISBLANK(PedBerLab!$C$28),"",PedBerLab!$C$28)</f>
        <v>0</v>
      </c>
      <c r="C1700" s="208" t="b">
        <v>0</v>
      </c>
    </row>
    <row r="1701" spans="1:3" x14ac:dyDescent="0.2">
      <c r="A1701" s="208" t="s">
        <v>2657</v>
      </c>
      <c r="B1701" s="208" t="b">
        <f>IF(ISBLANK(PedBerLab!$C$29),"",PedBerLab!$C$29)</f>
        <v>0</v>
      </c>
      <c r="C1701" s="208" t="b">
        <v>0</v>
      </c>
    </row>
    <row r="1702" spans="1:3" x14ac:dyDescent="0.2">
      <c r="A1702" s="208" t="s">
        <v>2658</v>
      </c>
      <c r="B1702" s="208" t="b">
        <f>IF(ISBLANK(PedBerLab!$C$30),"",PedBerLab!$C$30)</f>
        <v>0</v>
      </c>
      <c r="C1702" s="208" t="b">
        <v>0</v>
      </c>
    </row>
    <row r="1703" spans="1:3" x14ac:dyDescent="0.2">
      <c r="A1703" s="208" t="s">
        <v>2659</v>
      </c>
      <c r="B1703" s="208" t="b">
        <f>IF(ISBLANK(PedBerLab!$C$31),"",PedBerLab!$C$31)</f>
        <v>0</v>
      </c>
      <c r="C1703" s="208" t="b">
        <v>0</v>
      </c>
    </row>
    <row r="1704" spans="1:3" x14ac:dyDescent="0.2">
      <c r="A1704" s="208" t="s">
        <v>2660</v>
      </c>
      <c r="B1704" s="208" t="b">
        <f>IF(ISBLANK(PedBerLab!$C$32),"",PedBerLab!$C$32)</f>
        <v>0</v>
      </c>
      <c r="C1704" s="208" t="b">
        <v>0</v>
      </c>
    </row>
    <row r="1705" spans="1:3" x14ac:dyDescent="0.2">
      <c r="A1705" s="208" t="s">
        <v>2661</v>
      </c>
      <c r="B1705" s="208" t="b">
        <f>IF(ISBLANK(PedBerLab!$C$33),"",PedBerLab!$C$33)</f>
        <v>0</v>
      </c>
      <c r="C1705" s="208" t="b">
        <v>0</v>
      </c>
    </row>
    <row r="1706" spans="1:3" x14ac:dyDescent="0.2">
      <c r="A1706" s="208" t="s">
        <v>2662</v>
      </c>
      <c r="B1706" t="b">
        <f>IF(ISBLANK(PedBerLab!$C$34),"",PedBerLab!$C$34)</f>
        <v>0</v>
      </c>
      <c r="C1706" s="208" t="b">
        <v>0</v>
      </c>
    </row>
    <row r="1707" spans="1:3" x14ac:dyDescent="0.2">
      <c r="A1707" s="208" t="s">
        <v>2663</v>
      </c>
      <c r="B1707" t="b">
        <f>IF(ISBLANK(PedBerLab!$C$35),"",PedBerLab!$C$35)</f>
        <v>0</v>
      </c>
      <c r="C1707" s="208" t="b">
        <v>0</v>
      </c>
    </row>
    <row r="1708" spans="1:3" x14ac:dyDescent="0.2">
      <c r="A1708" s="208" t="s">
        <v>4742</v>
      </c>
      <c r="B1708">
        <f>IF(ISBLANK(PedBerIVenPM!$B$2),"",PedBerIVenPM!$B$2)</f>
        <v>1</v>
      </c>
      <c r="C1708" s="208">
        <v>1</v>
      </c>
    </row>
    <row r="1709" spans="1:3" x14ac:dyDescent="0.2">
      <c r="A1709" s="208" t="s">
        <v>4743</v>
      </c>
      <c r="B1709">
        <f>IF(ISBLANK(PedBerIVenPM!$B$3),"",PedBerIVenPM!$B$3)</f>
        <v>1</v>
      </c>
      <c r="C1709" s="208">
        <v>1</v>
      </c>
    </row>
    <row r="1710" spans="1:3" x14ac:dyDescent="0.2">
      <c r="A1710" s="208" t="s">
        <v>4744</v>
      </c>
      <c r="B1710">
        <f>IF(ISBLANK(PedBerIVenPM!$B$4),"",PedBerIVenPM!$B$4)</f>
        <v>1</v>
      </c>
      <c r="C1710" s="208">
        <v>1</v>
      </c>
    </row>
    <row r="1711" spans="1:3" x14ac:dyDescent="0.2">
      <c r="A1711" s="208" t="s">
        <v>4745</v>
      </c>
      <c r="B1711">
        <f>IF(ISBLANK(PedBerIVenPM!$B$5),"",PedBerIVenPM!$B$5)</f>
        <v>1</v>
      </c>
      <c r="C1711" s="208">
        <v>1</v>
      </c>
    </row>
    <row r="1712" spans="1:3" x14ac:dyDescent="0.2">
      <c r="A1712" s="208" t="s">
        <v>4746</v>
      </c>
      <c r="B1712">
        <f>IF(ISBLANK(PedBerIVenPM!$B$6),"",PedBerIVenPM!$B$6)</f>
        <v>1</v>
      </c>
      <c r="C1712" s="208">
        <v>1</v>
      </c>
    </row>
    <row r="1713" spans="1:3" x14ac:dyDescent="0.2">
      <c r="A1713" s="208" t="s">
        <v>4747</v>
      </c>
      <c r="B1713">
        <f>IF(ISBLANK(PedBerIVenPM!$B$7),"",PedBerIVenPM!$B$7)</f>
        <v>1</v>
      </c>
      <c r="C1713" s="208">
        <v>1</v>
      </c>
    </row>
    <row r="1714" spans="1:3" x14ac:dyDescent="0.2">
      <c r="A1714" s="208" t="s">
        <v>4748</v>
      </c>
      <c r="B1714" t="str">
        <f>IF(ISBLANK(PedBerIVenPM!$B$9),"",PedBerIVenPM!$B$9)</f>
        <v/>
      </c>
      <c r="C1714" s="99"/>
    </row>
    <row r="1715" spans="1:3" x14ac:dyDescent="0.2">
      <c r="A1715" s="208" t="s">
        <v>2664</v>
      </c>
      <c r="B1715">
        <f>IF(ISBLANK(PedBerMedIV!$C$5),"",PedBerMedIV!$C$5)</f>
        <v>1</v>
      </c>
      <c r="C1715" s="208">
        <v>1</v>
      </c>
    </row>
    <row r="1716" spans="1:3" x14ac:dyDescent="0.2">
      <c r="A1716" s="208" t="s">
        <v>2665</v>
      </c>
      <c r="B1716">
        <f>IF(ISBLANK(PedBerMedIV!$C$6),"",PedBerMedIV!$C$6)</f>
        <v>1</v>
      </c>
      <c r="C1716" s="208">
        <v>1</v>
      </c>
    </row>
    <row r="1717" spans="1:3" x14ac:dyDescent="0.2">
      <c r="A1717" s="208" t="s">
        <v>2666</v>
      </c>
      <c r="B1717">
        <f>IF(ISBLANK(PedBerMedIV!$C$7),"",PedBerMedIV!$C$7)</f>
        <v>1</v>
      </c>
      <c r="C1717" s="208">
        <v>1</v>
      </c>
    </row>
    <row r="1718" spans="1:3" x14ac:dyDescent="0.2">
      <c r="A1718" s="208" t="s">
        <v>2667</v>
      </c>
      <c r="B1718">
        <f>IF(ISBLANK(PedBerMedIV!$C$8),"",PedBerMedIV!$C$8)</f>
        <v>1</v>
      </c>
      <c r="C1718" s="208">
        <v>1</v>
      </c>
    </row>
    <row r="1719" spans="1:3" x14ac:dyDescent="0.2">
      <c r="A1719" s="208" t="s">
        <v>2668</v>
      </c>
      <c r="B1719">
        <f>IF(ISBLANK(PedBerMedIV!$C$9),"",PedBerMedIV!$C$9)</f>
        <v>1</v>
      </c>
      <c r="C1719" s="208">
        <v>1</v>
      </c>
    </row>
    <row r="1720" spans="1:3" x14ac:dyDescent="0.2">
      <c r="A1720" s="208" t="s">
        <v>2669</v>
      </c>
      <c r="B1720">
        <f>IF(ISBLANK(PedBerMedIV!$C$10),"",PedBerMedIV!$C$10)</f>
        <v>1</v>
      </c>
      <c r="C1720" s="208">
        <v>1</v>
      </c>
    </row>
    <row r="1721" spans="1:3" x14ac:dyDescent="0.2">
      <c r="A1721" s="208" t="s">
        <v>2670</v>
      </c>
      <c r="B1721" s="208">
        <f>IF(ISBLANK(PedBerMedIV!$C$11),"",PedBerMedIV!$C$11)</f>
        <v>1</v>
      </c>
      <c r="C1721" s="208">
        <v>1</v>
      </c>
    </row>
    <row r="1722" spans="1:3" x14ac:dyDescent="0.2">
      <c r="A1722" s="208" t="s">
        <v>2671</v>
      </c>
      <c r="B1722" s="208">
        <f>IF(ISBLANK(PedBerMedIV!$C$12),"",PedBerMedIV!$C$12)</f>
        <v>1</v>
      </c>
      <c r="C1722" s="208">
        <v>1</v>
      </c>
    </row>
    <row r="1723" spans="1:3" x14ac:dyDescent="0.2">
      <c r="A1723" s="208" t="s">
        <v>2672</v>
      </c>
      <c r="B1723" s="208">
        <f>IF(ISBLANK(PedBerMedIV!$C$13),"",PedBerMedIV!$C$13)</f>
        <v>1</v>
      </c>
      <c r="C1723" s="208">
        <v>1</v>
      </c>
    </row>
    <row r="1724" spans="1:3" x14ac:dyDescent="0.2">
      <c r="A1724" s="208" t="s">
        <v>2673</v>
      </c>
      <c r="B1724" s="208">
        <f>IF(ISBLANK(PedBerMedIV!$C$14),"",PedBerMedIV!$C$14)</f>
        <v>1</v>
      </c>
      <c r="C1724" s="208">
        <v>1</v>
      </c>
    </row>
    <row r="1725" spans="1:3" x14ac:dyDescent="0.2">
      <c r="A1725" s="208" t="s">
        <v>2674</v>
      </c>
      <c r="B1725" s="208">
        <f>IF(ISBLANK(PedBerMedIV!$C$15),"",PedBerMedIV!$C$15)</f>
        <v>1</v>
      </c>
      <c r="C1725" s="208">
        <v>1</v>
      </c>
    </row>
    <row r="1726" spans="1:3" x14ac:dyDescent="0.2">
      <c r="A1726" s="208" t="s">
        <v>2675</v>
      </c>
      <c r="B1726">
        <f>IF(ISBLANK(PedBerMedIV!$C$16),"",PedBerMedIV!$C$16)</f>
        <v>1</v>
      </c>
      <c r="C1726">
        <v>1</v>
      </c>
    </row>
    <row r="1727" spans="1:3" x14ac:dyDescent="0.2">
      <c r="A1727" s="208" t="s">
        <v>2676</v>
      </c>
      <c r="B1727">
        <f>IF(ISBLANK(PedBerMedIV!$C$17),"",PedBerMedIV!$C$17)</f>
        <v>1</v>
      </c>
      <c r="C1727">
        <v>1</v>
      </c>
    </row>
    <row r="1728" spans="1:3" x14ac:dyDescent="0.2">
      <c r="A1728" s="208" t="s">
        <v>2677</v>
      </c>
      <c r="B1728">
        <f>IF(ISBLANK(PedBerMedIV!$C$18),"",PedBerMedIV!$C$18)</f>
        <v>1</v>
      </c>
      <c r="C1728">
        <v>1</v>
      </c>
    </row>
    <row r="1729" spans="1:3" x14ac:dyDescent="0.2">
      <c r="A1729" s="208" t="s">
        <v>2678</v>
      </c>
      <c r="B1729">
        <f>IF(ISBLANK(PedBerMedIV!$C$19),"",PedBerMedIV!$C$19)</f>
        <v>1</v>
      </c>
      <c r="C1729">
        <v>1</v>
      </c>
    </row>
    <row r="1730" spans="1:3" x14ac:dyDescent="0.2">
      <c r="A1730" s="209" t="s">
        <v>3286</v>
      </c>
      <c r="B1730" t="str">
        <f>IF(ISBLANK(PedBerMedIV!$C$21),"",PedBerMedIV!$C$21)</f>
        <v/>
      </c>
      <c r="C1730" s="99"/>
    </row>
    <row r="1731" spans="1:3" x14ac:dyDescent="0.2">
      <c r="A1731" s="209" t="s">
        <v>3287</v>
      </c>
      <c r="B1731" t="str">
        <f>IF(ISBLANK(PedBerMedIV!$C$22),"",PedBerMedIV!$C$22)</f>
        <v/>
      </c>
      <c r="C1731" s="99"/>
    </row>
    <row r="1732" spans="1:3" x14ac:dyDescent="0.2">
      <c r="A1732" s="209" t="s">
        <v>3288</v>
      </c>
      <c r="B1732" t="str">
        <f>IF(ISBLANK(PedBerMedIV!$C$23),"",PedBerMedIV!$C$23)</f>
        <v/>
      </c>
      <c r="C1732" s="99"/>
    </row>
    <row r="1733" spans="1:3" x14ac:dyDescent="0.2">
      <c r="A1733" s="209" t="s">
        <v>3289</v>
      </c>
      <c r="B1733" t="str">
        <f>IF(ISBLANK(PedBerMedIV!$C$24),"",PedBerMedIV!$C$24)</f>
        <v/>
      </c>
      <c r="C1733" s="99"/>
    </row>
    <row r="1734" spans="1:3" x14ac:dyDescent="0.2">
      <c r="A1734" s="209" t="s">
        <v>3290</v>
      </c>
      <c r="B1734" t="str">
        <f>IF(ISBLANK(PedBerMedIV!$C$25),"",PedBerMedIV!$C$25)</f>
        <v/>
      </c>
      <c r="C1734" s="99"/>
    </row>
    <row r="1735" spans="1:3" x14ac:dyDescent="0.2">
      <c r="A1735" s="208" t="s">
        <v>2679</v>
      </c>
      <c r="B1735">
        <f>IF(ISBLANK(PedBerMedIV!$F$5),"",PedBerMedIV!$F$5)</f>
        <v>1</v>
      </c>
      <c r="C1735" s="208">
        <v>1</v>
      </c>
    </row>
    <row r="1736" spans="1:3" x14ac:dyDescent="0.2">
      <c r="A1736" s="208" t="s">
        <v>2680</v>
      </c>
      <c r="B1736" s="208">
        <f>IF(ISBLANK(PedBerMedIV!$F$6),"",PedBerMedIV!$F$6)</f>
        <v>1</v>
      </c>
      <c r="C1736" s="208">
        <v>1</v>
      </c>
    </row>
    <row r="1737" spans="1:3" x14ac:dyDescent="0.2">
      <c r="A1737" s="208" t="s">
        <v>2681</v>
      </c>
      <c r="B1737">
        <f>IF(ISBLANK(PedBerMedIV!$F$7),"",PedBerMedIV!$F$7)</f>
        <v>1</v>
      </c>
      <c r="C1737">
        <v>1</v>
      </c>
    </row>
    <row r="1738" spans="1:3" x14ac:dyDescent="0.2">
      <c r="A1738" s="208" t="s">
        <v>2682</v>
      </c>
      <c r="B1738">
        <f>IF(ISBLANK(PedBerMedIV!$F$8),"",PedBerMedIV!$F$8)</f>
        <v>1</v>
      </c>
      <c r="C1738">
        <v>1</v>
      </c>
    </row>
    <row r="1739" spans="1:3" x14ac:dyDescent="0.2">
      <c r="A1739" s="208" t="s">
        <v>2683</v>
      </c>
      <c r="B1739">
        <f>IF(ISBLANK(PedBerMedIV!$F$9),"",PedBerMedIV!$F$9)</f>
        <v>1</v>
      </c>
      <c r="C1739" s="208">
        <v>1</v>
      </c>
    </row>
    <row r="1740" spans="1:3" x14ac:dyDescent="0.2">
      <c r="A1740" s="208" t="s">
        <v>2684</v>
      </c>
      <c r="B1740">
        <f>IF(ISBLANK(PedBerMedIV!$F$10),"",PedBerMedIV!$F$10)</f>
        <v>1</v>
      </c>
      <c r="C1740" s="208">
        <v>1</v>
      </c>
    </row>
    <row r="1741" spans="1:3" x14ac:dyDescent="0.2">
      <c r="A1741" s="208" t="s">
        <v>2685</v>
      </c>
      <c r="B1741">
        <f>IF(ISBLANK(PedBerMedIV!$F$11),"",PedBerMedIV!$F$11)</f>
        <v>1</v>
      </c>
      <c r="C1741">
        <v>1</v>
      </c>
    </row>
    <row r="1742" spans="1:3" x14ac:dyDescent="0.2">
      <c r="A1742" s="208" t="s">
        <v>2686</v>
      </c>
      <c r="B1742">
        <f>IF(ISBLANK(PedBerMedIV!$F$12),"",PedBerMedIV!$F$12)</f>
        <v>1</v>
      </c>
      <c r="C1742">
        <v>1</v>
      </c>
    </row>
    <row r="1743" spans="1:3" x14ac:dyDescent="0.2">
      <c r="A1743" s="208" t="s">
        <v>2687</v>
      </c>
      <c r="B1743">
        <f>IF(ISBLANK(PedBerMedIV!$F$13),"",PedBerMedIV!$F$13)</f>
        <v>1</v>
      </c>
      <c r="C1743" s="208">
        <v>1</v>
      </c>
    </row>
    <row r="1744" spans="1:3" x14ac:dyDescent="0.2">
      <c r="A1744" s="208" t="s">
        <v>2688</v>
      </c>
      <c r="B1744">
        <f>IF(ISBLANK(PedBerMedIV!$F$14),"",PedBerMedIV!$F$14)</f>
        <v>1</v>
      </c>
      <c r="C1744" s="208">
        <v>1</v>
      </c>
    </row>
    <row r="1745" spans="1:3" x14ac:dyDescent="0.2">
      <c r="A1745" s="208" t="s">
        <v>2689</v>
      </c>
      <c r="B1745">
        <f>IF(ISBLANK(PedBerMedIV!$F$15),"",PedBerMedIV!$F$15)</f>
        <v>1</v>
      </c>
      <c r="C1745">
        <v>1</v>
      </c>
    </row>
    <row r="1746" spans="1:3" x14ac:dyDescent="0.2">
      <c r="A1746" s="208" t="s">
        <v>2690</v>
      </c>
      <c r="B1746">
        <f>IF(ISBLANK(PedBerMedIV!$F$16),"",PedBerMedIV!$F$16)</f>
        <v>1</v>
      </c>
      <c r="C1746" s="208">
        <v>1</v>
      </c>
    </row>
    <row r="1747" spans="1:3" x14ac:dyDescent="0.2">
      <c r="A1747" s="208" t="s">
        <v>2691</v>
      </c>
      <c r="B1747">
        <f>IF(ISBLANK(PedBerMedIV!$F$17),"",PedBerMedIV!$F$17)</f>
        <v>1</v>
      </c>
      <c r="C1747">
        <v>1</v>
      </c>
    </row>
    <row r="1748" spans="1:3" x14ac:dyDescent="0.2">
      <c r="A1748" s="208" t="s">
        <v>2692</v>
      </c>
      <c r="B1748">
        <f>IF(ISBLANK(PedBerMedIV!$F$18),"",PedBerMedIV!$F$18)</f>
        <v>1</v>
      </c>
      <c r="C1748" s="208">
        <v>1</v>
      </c>
    </row>
    <row r="1749" spans="1:3" x14ac:dyDescent="0.2">
      <c r="A1749" s="208" t="s">
        <v>2693</v>
      </c>
      <c r="B1749">
        <f>IF(ISBLANK(PedBerMedIV!$F$19),"",PedBerMedIV!$F$19)</f>
        <v>1</v>
      </c>
      <c r="C1749" s="208">
        <v>1</v>
      </c>
    </row>
    <row r="1750" spans="1:3" x14ac:dyDescent="0.2">
      <c r="A1750" s="209" t="s">
        <v>3291</v>
      </c>
      <c r="B1750">
        <f>IF(ISBLANK(PedBerMedIV!$F$21),"",PedBerMedIV!$F$21)</f>
        <v>1</v>
      </c>
      <c r="C1750" s="208">
        <v>1</v>
      </c>
    </row>
    <row r="1751" spans="1:3" x14ac:dyDescent="0.2">
      <c r="A1751" s="209" t="s">
        <v>3292</v>
      </c>
      <c r="B1751">
        <f>IF(ISBLANK(PedBerMedIV!$F$22),"",PedBerMedIV!$F$22)</f>
        <v>1</v>
      </c>
      <c r="C1751" s="208">
        <v>1</v>
      </c>
    </row>
    <row r="1752" spans="1:3" x14ac:dyDescent="0.2">
      <c r="A1752" s="209" t="s">
        <v>3293</v>
      </c>
      <c r="B1752">
        <f>IF(ISBLANK(PedBerMedIV!$F$23),"",PedBerMedIV!$F$23)</f>
        <v>1</v>
      </c>
      <c r="C1752" s="208">
        <v>1</v>
      </c>
    </row>
    <row r="1753" spans="1:3" x14ac:dyDescent="0.2">
      <c r="A1753" s="209" t="s">
        <v>3294</v>
      </c>
      <c r="B1753">
        <f>IF(ISBLANK(PedBerMedIV!$F$24),"",PedBerMedIV!$F$24)</f>
        <v>1</v>
      </c>
      <c r="C1753" s="208">
        <v>1</v>
      </c>
    </row>
    <row r="1754" spans="1:3" x14ac:dyDescent="0.2">
      <c r="A1754" s="209" t="s">
        <v>3295</v>
      </c>
      <c r="B1754">
        <f>IF(ISBLANK(PedBerMedIV!$F$25),"",PedBerMedIV!$F$25)</f>
        <v>1</v>
      </c>
      <c r="C1754">
        <v>1</v>
      </c>
    </row>
    <row r="1755" spans="1:3" x14ac:dyDescent="0.2">
      <c r="A1755" s="208" t="s">
        <v>2694</v>
      </c>
      <c r="B1755">
        <f>IF(ISBLANK(PedBerMedIV!$E$5),"",PedBerMedIV!$E$5)</f>
        <v>0</v>
      </c>
      <c r="C1755" s="210">
        <v>0</v>
      </c>
    </row>
    <row r="1756" spans="1:3" x14ac:dyDescent="0.2">
      <c r="A1756" s="208" t="s">
        <v>2695</v>
      </c>
      <c r="B1756">
        <f>IF(ISBLANK(PedBerMedIV!$E$6),"",PedBerMedIV!$E$6)</f>
        <v>0</v>
      </c>
      <c r="C1756" s="210">
        <v>0</v>
      </c>
    </row>
    <row r="1757" spans="1:3" x14ac:dyDescent="0.2">
      <c r="A1757" s="208" t="s">
        <v>2696</v>
      </c>
      <c r="B1757">
        <f>IF(ISBLANK(PedBerMedIV!$E$7),"",PedBerMedIV!$E$7)</f>
        <v>0</v>
      </c>
      <c r="C1757" s="210">
        <v>0</v>
      </c>
    </row>
    <row r="1758" spans="1:3" x14ac:dyDescent="0.2">
      <c r="A1758" s="208" t="s">
        <v>2697</v>
      </c>
      <c r="B1758">
        <f>IF(ISBLANK(PedBerMedIV!$E$8),"",PedBerMedIV!$E$8)</f>
        <v>0</v>
      </c>
      <c r="C1758" s="210">
        <v>0</v>
      </c>
    </row>
    <row r="1759" spans="1:3" x14ac:dyDescent="0.2">
      <c r="A1759" s="208" t="s">
        <v>2698</v>
      </c>
      <c r="B1759">
        <f>IF(ISBLANK(PedBerMedIV!$E$9),"",PedBerMedIV!$E$9)</f>
        <v>0</v>
      </c>
      <c r="C1759" s="210">
        <v>0</v>
      </c>
    </row>
    <row r="1760" spans="1:3" x14ac:dyDescent="0.2">
      <c r="A1760" s="208" t="s">
        <v>2699</v>
      </c>
      <c r="B1760">
        <f>IF(ISBLANK(PedBerMedIV!$E$10),"",PedBerMedIV!$E$10)</f>
        <v>0</v>
      </c>
      <c r="C1760" s="210">
        <v>0</v>
      </c>
    </row>
    <row r="1761" spans="1:3" x14ac:dyDescent="0.2">
      <c r="A1761" s="208" t="s">
        <v>2700</v>
      </c>
      <c r="B1761">
        <f>IF(ISBLANK(PedBerMedIV!$E$11),"",PedBerMedIV!$E$11)</f>
        <v>0</v>
      </c>
      <c r="C1761" s="210">
        <v>0</v>
      </c>
    </row>
    <row r="1762" spans="1:3" x14ac:dyDescent="0.2">
      <c r="A1762" s="208" t="s">
        <v>2701</v>
      </c>
      <c r="B1762">
        <f>IF(ISBLANK(PedBerMedIV!$E$12),"",PedBerMedIV!$E$12)</f>
        <v>0</v>
      </c>
      <c r="C1762" s="210">
        <v>0</v>
      </c>
    </row>
    <row r="1763" spans="1:3" x14ac:dyDescent="0.2">
      <c r="A1763" s="208" t="s">
        <v>2702</v>
      </c>
      <c r="B1763">
        <f>IF(ISBLANK(PedBerMedIV!$E$13),"",PedBerMedIV!$E$13)</f>
        <v>0</v>
      </c>
      <c r="C1763" s="210">
        <v>0</v>
      </c>
    </row>
    <row r="1764" spans="1:3" x14ac:dyDescent="0.2">
      <c r="A1764" s="208" t="s">
        <v>2703</v>
      </c>
      <c r="B1764">
        <f>IF(ISBLANK(PedBerMedIV!$E$14),"",PedBerMedIV!$E$14)</f>
        <v>0</v>
      </c>
      <c r="C1764" s="210">
        <v>0</v>
      </c>
    </row>
    <row r="1765" spans="1:3" x14ac:dyDescent="0.2">
      <c r="A1765" s="208" t="s">
        <v>2704</v>
      </c>
      <c r="B1765">
        <f>IF(ISBLANK(PedBerMedIV!$E$15),"",PedBerMedIV!$E$15)</f>
        <v>0</v>
      </c>
      <c r="C1765" s="210">
        <v>0</v>
      </c>
    </row>
    <row r="1766" spans="1:3" x14ac:dyDescent="0.2">
      <c r="A1766" s="208" t="s">
        <v>2705</v>
      </c>
      <c r="B1766">
        <f>IF(ISBLANK(PedBerMedIV!$E$16),"",PedBerMedIV!$E$16)</f>
        <v>0</v>
      </c>
      <c r="C1766" s="210">
        <v>0</v>
      </c>
    </row>
    <row r="1767" spans="1:3" x14ac:dyDescent="0.2">
      <c r="A1767" s="208" t="s">
        <v>2706</v>
      </c>
      <c r="B1767">
        <f>IF(ISBLANK(PedBerMedIV!$E$17),"",PedBerMedIV!$E$17)</f>
        <v>0</v>
      </c>
      <c r="C1767" s="210">
        <v>0</v>
      </c>
    </row>
    <row r="1768" spans="1:3" x14ac:dyDescent="0.2">
      <c r="A1768" s="208" t="s">
        <v>2707</v>
      </c>
      <c r="B1768">
        <f>IF(ISBLANK(PedBerMedIV!$E$18),"",PedBerMedIV!$E$18)</f>
        <v>0</v>
      </c>
      <c r="C1768" s="210">
        <v>0</v>
      </c>
    </row>
    <row r="1769" spans="1:3" x14ac:dyDescent="0.2">
      <c r="A1769" s="208" t="s">
        <v>2708</v>
      </c>
      <c r="B1769">
        <f>IF(ISBLANK(PedBerMedIV!$E$19),"",PedBerMedIV!$E$19)</f>
        <v>0</v>
      </c>
      <c r="C1769" s="210">
        <v>0</v>
      </c>
    </row>
    <row r="1770" spans="1:3" x14ac:dyDescent="0.2">
      <c r="A1770" s="209" t="s">
        <v>3297</v>
      </c>
      <c r="B1770">
        <f>IF(ISBLANK(PedBerMedIV!$E$21),"",PedBerMedIV!$E$21)</f>
        <v>0</v>
      </c>
      <c r="C1770" s="210">
        <v>0</v>
      </c>
    </row>
    <row r="1771" spans="1:3" x14ac:dyDescent="0.2">
      <c r="A1771" s="209" t="s">
        <v>3299</v>
      </c>
      <c r="B1771">
        <f>IF(ISBLANK(PedBerMedIV!$E$22),"",PedBerMedIV!$E$22)</f>
        <v>0</v>
      </c>
      <c r="C1771" s="210">
        <v>0</v>
      </c>
    </row>
    <row r="1772" spans="1:3" x14ac:dyDescent="0.2">
      <c r="A1772" s="209" t="s">
        <v>3300</v>
      </c>
      <c r="B1772">
        <f>IF(ISBLANK(PedBerMedIV!$E$23),"",PedBerMedIV!$E$23)</f>
        <v>0</v>
      </c>
      <c r="C1772" s="210">
        <v>0</v>
      </c>
    </row>
    <row r="1773" spans="1:3" x14ac:dyDescent="0.2">
      <c r="A1773" s="209" t="s">
        <v>3302</v>
      </c>
      <c r="B1773">
        <f>IF(ISBLANK(PedBerMedIV!$E$24),"",PedBerMedIV!$E$24)</f>
        <v>0</v>
      </c>
      <c r="C1773" s="210">
        <v>0</v>
      </c>
    </row>
    <row r="1774" spans="1:3" x14ac:dyDescent="0.2">
      <c r="A1774" s="209" t="s">
        <v>3304</v>
      </c>
      <c r="B1774">
        <f>IF(ISBLANK(PedBerMedIV!$E$25),"",PedBerMedIV!$E$25)</f>
        <v>0</v>
      </c>
      <c r="C1774" s="210">
        <v>0</v>
      </c>
    </row>
    <row r="1775" spans="1:3" x14ac:dyDescent="0.2">
      <c r="A1775" s="208" t="s">
        <v>2709</v>
      </c>
      <c r="B1775" t="str">
        <f>IF(ISBLANK(PedBerMedIV!$C$29),"",PedBerMedIV!$C$29)</f>
        <v/>
      </c>
      <c r="C1775" s="99"/>
    </row>
    <row r="1776" spans="1:3" x14ac:dyDescent="0.2">
      <c r="A1776" s="208" t="s">
        <v>2710</v>
      </c>
      <c r="B1776">
        <f>IF(ISBLANK(PedBerMedIV!$G$5),"",PedBerMedIV!$G$5)</f>
        <v>0</v>
      </c>
      <c r="C1776" s="210">
        <v>0</v>
      </c>
    </row>
    <row r="1777" spans="1:3" x14ac:dyDescent="0.2">
      <c r="A1777" s="208" t="s">
        <v>2711</v>
      </c>
      <c r="B1777">
        <f>IF(ISBLANK(PedBerMedIV!$G$6),"",PedBerMedIV!$G$6)</f>
        <v>0</v>
      </c>
      <c r="C1777" s="210">
        <v>0</v>
      </c>
    </row>
    <row r="1778" spans="1:3" x14ac:dyDescent="0.2">
      <c r="A1778" s="208" t="s">
        <v>2712</v>
      </c>
      <c r="B1778">
        <f>IF(ISBLANK(PedBerMedIV!$G$7),"",PedBerMedIV!$G$7)</f>
        <v>0</v>
      </c>
      <c r="C1778" s="210">
        <v>0</v>
      </c>
    </row>
    <row r="1779" spans="1:3" x14ac:dyDescent="0.2">
      <c r="A1779" s="208" t="s">
        <v>2713</v>
      </c>
      <c r="B1779">
        <f>IF(ISBLANK(PedBerMedIV!$G$8),"",PedBerMedIV!$G$8)</f>
        <v>0</v>
      </c>
      <c r="C1779" s="210">
        <v>0</v>
      </c>
    </row>
    <row r="1780" spans="1:3" x14ac:dyDescent="0.2">
      <c r="A1780" s="208" t="s">
        <v>2714</v>
      </c>
      <c r="B1780">
        <f>IF(ISBLANK(PedBerMedIV!$G$9),"",PedBerMedIV!$G$9)</f>
        <v>0</v>
      </c>
      <c r="C1780" s="210">
        <v>0</v>
      </c>
    </row>
    <row r="1781" spans="1:3" x14ac:dyDescent="0.2">
      <c r="A1781" s="208" t="s">
        <v>2715</v>
      </c>
      <c r="B1781">
        <f>IF(ISBLANK(PedBerMedIV!$G$10),"",PedBerMedIV!$G$10)</f>
        <v>0</v>
      </c>
      <c r="C1781" s="210">
        <v>0</v>
      </c>
    </row>
    <row r="1782" spans="1:3" x14ac:dyDescent="0.2">
      <c r="A1782" s="208" t="s">
        <v>2716</v>
      </c>
      <c r="B1782">
        <f>IF(ISBLANK(PedBerMedIV!$G$11),"",PedBerMedIV!$G$11)</f>
        <v>0</v>
      </c>
      <c r="C1782" s="210">
        <v>0</v>
      </c>
    </row>
    <row r="1783" spans="1:3" x14ac:dyDescent="0.2">
      <c r="A1783" s="208" t="s">
        <v>2717</v>
      </c>
      <c r="B1783">
        <f>IF(ISBLANK(PedBerMedIV!$G$12),"",PedBerMedIV!$G$12)</f>
        <v>0</v>
      </c>
      <c r="C1783" s="210">
        <v>0</v>
      </c>
    </row>
    <row r="1784" spans="1:3" x14ac:dyDescent="0.2">
      <c r="A1784" s="208" t="s">
        <v>2718</v>
      </c>
      <c r="B1784">
        <f>IF(ISBLANK(PedBerMedIV!$G$13),"",PedBerMedIV!$G$13)</f>
        <v>0</v>
      </c>
      <c r="C1784" s="210">
        <v>0</v>
      </c>
    </row>
    <row r="1785" spans="1:3" x14ac:dyDescent="0.2">
      <c r="A1785" s="208" t="s">
        <v>2719</v>
      </c>
      <c r="B1785">
        <f>IF(ISBLANK(PedBerMedIV!$G$14),"",PedBerMedIV!$G$14)</f>
        <v>0</v>
      </c>
      <c r="C1785" s="210">
        <v>0</v>
      </c>
    </row>
    <row r="1786" spans="1:3" x14ac:dyDescent="0.2">
      <c r="A1786" s="208" t="s">
        <v>2720</v>
      </c>
      <c r="B1786">
        <f>IF(ISBLANK(PedBerMedIV!$G$15),"",PedBerMedIV!$G$15)</f>
        <v>0</v>
      </c>
      <c r="C1786" s="210">
        <v>0</v>
      </c>
    </row>
    <row r="1787" spans="1:3" x14ac:dyDescent="0.2">
      <c r="A1787" s="208" t="s">
        <v>2721</v>
      </c>
      <c r="B1787">
        <f>IF(ISBLANK(PedBerMedIV!$G$16),"",PedBerMedIV!$G$16)</f>
        <v>0</v>
      </c>
      <c r="C1787" s="210">
        <v>0</v>
      </c>
    </row>
    <row r="1788" spans="1:3" x14ac:dyDescent="0.2">
      <c r="A1788" s="208" t="s">
        <v>2722</v>
      </c>
      <c r="B1788">
        <f>IF(ISBLANK(PedBerMedIV!$G$17),"",PedBerMedIV!$G$17)</f>
        <v>0</v>
      </c>
      <c r="C1788" s="210">
        <v>0</v>
      </c>
    </row>
    <row r="1789" spans="1:3" x14ac:dyDescent="0.2">
      <c r="A1789" s="208" t="s">
        <v>2723</v>
      </c>
      <c r="B1789">
        <f>IF(ISBLANK(PedBerMedIV!$G$18),"",PedBerMedIV!$G$18)</f>
        <v>0</v>
      </c>
      <c r="C1789" s="210">
        <v>0</v>
      </c>
    </row>
    <row r="1790" spans="1:3" x14ac:dyDescent="0.2">
      <c r="A1790" s="208" t="s">
        <v>2724</v>
      </c>
      <c r="B1790">
        <f>IF(ISBLANK(PedBerMedIV!$G$19),"",PedBerMedIV!$G$19)</f>
        <v>0</v>
      </c>
      <c r="C1790" s="210">
        <v>0</v>
      </c>
    </row>
    <row r="1791" spans="1:3" x14ac:dyDescent="0.2">
      <c r="A1791" s="209" t="s">
        <v>3305</v>
      </c>
      <c r="B1791">
        <f>IF(ISBLANK(PedBerMedIV!$G$21),"",PedBerMedIV!$G$21)</f>
        <v>0</v>
      </c>
      <c r="C1791" s="210">
        <v>0</v>
      </c>
    </row>
    <row r="1792" spans="1:3" x14ac:dyDescent="0.2">
      <c r="A1792" s="209" t="s">
        <v>3306</v>
      </c>
      <c r="B1792">
        <f>IF(ISBLANK(PedBerMedIV!$G$22),"",PedBerMedIV!$G$22)</f>
        <v>0</v>
      </c>
      <c r="C1792" s="210">
        <v>0</v>
      </c>
    </row>
    <row r="1793" spans="1:3" x14ac:dyDescent="0.2">
      <c r="A1793" s="209" t="s">
        <v>3307</v>
      </c>
      <c r="B1793">
        <f>IF(ISBLANK(PedBerMedIV!$G$23),"",PedBerMedIV!$G$23)</f>
        <v>0</v>
      </c>
      <c r="C1793" s="210">
        <v>0</v>
      </c>
    </row>
    <row r="1794" spans="1:3" x14ac:dyDescent="0.2">
      <c r="A1794" s="209" t="s">
        <v>3308</v>
      </c>
      <c r="B1794">
        <f>IF(ISBLANK(PedBerMedIV!$G$24),"",PedBerMedIV!$G$24)</f>
        <v>0</v>
      </c>
      <c r="C1794" s="210">
        <v>0</v>
      </c>
    </row>
    <row r="1795" spans="1:3" x14ac:dyDescent="0.2">
      <c r="A1795" s="209" t="s">
        <v>3309</v>
      </c>
      <c r="B1795">
        <f>IF(ISBLANK(PedBerMedIV!$G$25),"",PedBerMedIV!$G$25)</f>
        <v>0</v>
      </c>
      <c r="C1795" s="210">
        <v>0</v>
      </c>
    </row>
    <row r="1796" spans="1:3" x14ac:dyDescent="0.2">
      <c r="A1796" s="208" t="s">
        <v>2725</v>
      </c>
      <c r="B1796">
        <f>IF(ISBLANK(PedBerMedIV!$D$5),"",PedBerMedIV!$D$5)</f>
        <v>0</v>
      </c>
      <c r="C1796" s="210">
        <v>0</v>
      </c>
    </row>
    <row r="1797" spans="1:3" x14ac:dyDescent="0.2">
      <c r="A1797" s="208" t="s">
        <v>2726</v>
      </c>
      <c r="B1797">
        <f>IF(ISBLANK(PedBerMedIV!$D$6),"",PedBerMedIV!$D$6)</f>
        <v>0</v>
      </c>
      <c r="C1797" s="210">
        <v>0</v>
      </c>
    </row>
    <row r="1798" spans="1:3" x14ac:dyDescent="0.2">
      <c r="A1798" s="208" t="s">
        <v>2727</v>
      </c>
      <c r="B1798">
        <f>IF(ISBLANK(PedBerMedIV!$D$7),"",PedBerMedIV!$D$7)</f>
        <v>0</v>
      </c>
      <c r="C1798" s="210">
        <v>0</v>
      </c>
    </row>
    <row r="1799" spans="1:3" x14ac:dyDescent="0.2">
      <c r="A1799" s="208" t="s">
        <v>2728</v>
      </c>
      <c r="B1799">
        <f>IF(ISBLANK(PedBerMedIV!$D$8),"",PedBerMedIV!$D$8)</f>
        <v>0</v>
      </c>
      <c r="C1799" s="210">
        <v>0</v>
      </c>
    </row>
    <row r="1800" spans="1:3" x14ac:dyDescent="0.2">
      <c r="A1800" s="208" t="s">
        <v>2729</v>
      </c>
      <c r="B1800">
        <f>IF(ISBLANK(PedBerMedIV!$D$9),"",PedBerMedIV!$D$9)</f>
        <v>0</v>
      </c>
      <c r="C1800" s="210">
        <v>0</v>
      </c>
    </row>
    <row r="1801" spans="1:3" x14ac:dyDescent="0.2">
      <c r="A1801" s="208" t="s">
        <v>2730</v>
      </c>
      <c r="B1801">
        <f>IF(ISBLANK(PedBerMedIV!$D$10),"",PedBerMedIV!$D$10)</f>
        <v>0</v>
      </c>
      <c r="C1801" s="210">
        <v>0</v>
      </c>
    </row>
    <row r="1802" spans="1:3" x14ac:dyDescent="0.2">
      <c r="A1802" s="208" t="s">
        <v>2731</v>
      </c>
      <c r="B1802">
        <f>IF(ISBLANK(PedBerMedIV!$D$11),"",PedBerMedIV!$D$11)</f>
        <v>0</v>
      </c>
      <c r="C1802" s="210">
        <v>0</v>
      </c>
    </row>
    <row r="1803" spans="1:3" x14ac:dyDescent="0.2">
      <c r="A1803" s="208" t="s">
        <v>2732</v>
      </c>
      <c r="B1803">
        <f>IF(ISBLANK(PedBerMedIV!$D$12),"",PedBerMedIV!$D$12)</f>
        <v>0</v>
      </c>
      <c r="C1803" s="210">
        <v>0</v>
      </c>
    </row>
    <row r="1804" spans="1:3" x14ac:dyDescent="0.2">
      <c r="A1804" s="208" t="s">
        <v>2733</v>
      </c>
      <c r="B1804">
        <f>IF(ISBLANK(PedBerMedIV!$D$13),"",PedBerMedIV!$D$13)</f>
        <v>0</v>
      </c>
      <c r="C1804" s="210">
        <v>0</v>
      </c>
    </row>
    <row r="1805" spans="1:3" x14ac:dyDescent="0.2">
      <c r="A1805" s="208" t="s">
        <v>2734</v>
      </c>
      <c r="B1805">
        <f>IF(ISBLANK(PedBerMedIV!$D$14),"",PedBerMedIV!$D$14)</f>
        <v>0</v>
      </c>
      <c r="C1805" s="210">
        <v>0</v>
      </c>
    </row>
    <row r="1806" spans="1:3" x14ac:dyDescent="0.2">
      <c r="A1806" s="208" t="s">
        <v>2735</v>
      </c>
      <c r="B1806">
        <f>IF(ISBLANK(PedBerMedIV!$D$15),"",PedBerMedIV!$D$15)</f>
        <v>0</v>
      </c>
      <c r="C1806" s="210">
        <v>0</v>
      </c>
    </row>
    <row r="1807" spans="1:3" x14ac:dyDescent="0.2">
      <c r="A1807" s="208" t="s">
        <v>2736</v>
      </c>
      <c r="B1807">
        <f>IF(ISBLANK(PedBerMedIV!$D$16),"",PedBerMedIV!$D$16)</f>
        <v>0</v>
      </c>
      <c r="C1807" s="210">
        <v>0</v>
      </c>
    </row>
    <row r="1808" spans="1:3" x14ac:dyDescent="0.2">
      <c r="A1808" s="208" t="s">
        <v>2737</v>
      </c>
      <c r="B1808">
        <f>IF(ISBLANK(PedBerMedIV!$D$17),"",PedBerMedIV!$D$17)</f>
        <v>0</v>
      </c>
      <c r="C1808" s="210">
        <v>0</v>
      </c>
    </row>
    <row r="1809" spans="1:3" x14ac:dyDescent="0.2">
      <c r="A1809" s="208" t="s">
        <v>2738</v>
      </c>
      <c r="B1809">
        <f>IF(ISBLANK(PedBerMedIV!$D$18),"",PedBerMedIV!$D$18)</f>
        <v>0</v>
      </c>
      <c r="C1809" s="210">
        <v>0</v>
      </c>
    </row>
    <row r="1810" spans="1:3" x14ac:dyDescent="0.2">
      <c r="A1810" s="208" t="s">
        <v>2739</v>
      </c>
      <c r="B1810">
        <f>IF(ISBLANK(PedBerMedIV!$D$19),"",PedBerMedIV!$D$19)</f>
        <v>0</v>
      </c>
      <c r="C1810" s="210">
        <v>0</v>
      </c>
    </row>
    <row r="1811" spans="1:3" x14ac:dyDescent="0.2">
      <c r="A1811" s="209" t="s">
        <v>3311</v>
      </c>
      <c r="B1811">
        <f>IF(ISBLANK(PedBerMedIV!$D$21),"",PedBerMedIV!$D$21)</f>
        <v>0</v>
      </c>
      <c r="C1811" s="210">
        <v>0</v>
      </c>
    </row>
    <row r="1812" spans="1:3" x14ac:dyDescent="0.2">
      <c r="A1812" s="209" t="s">
        <v>3313</v>
      </c>
      <c r="B1812">
        <f>IF(ISBLANK(PedBerMedIV!$D$22),"",PedBerMedIV!$D$22)</f>
        <v>0</v>
      </c>
      <c r="C1812" s="210">
        <v>0</v>
      </c>
    </row>
    <row r="1813" spans="1:3" x14ac:dyDescent="0.2">
      <c r="A1813" s="209" t="s">
        <v>3314</v>
      </c>
      <c r="B1813">
        <f>IF(ISBLANK(PedBerMedIV!$D$23),"",PedBerMedIV!$D$23)</f>
        <v>0</v>
      </c>
      <c r="C1813" s="210">
        <v>0</v>
      </c>
    </row>
    <row r="1814" spans="1:3" x14ac:dyDescent="0.2">
      <c r="A1814" s="209" t="s">
        <v>3316</v>
      </c>
      <c r="B1814">
        <f>IF(ISBLANK(PedBerMedIV!$D$24),"",PedBerMedIV!$D$24)</f>
        <v>0</v>
      </c>
      <c r="C1814" s="210">
        <v>0</v>
      </c>
    </row>
    <row r="1815" spans="1:3" x14ac:dyDescent="0.2">
      <c r="A1815" s="209" t="s">
        <v>3318</v>
      </c>
      <c r="B1815">
        <f>IF(ISBLANK(PedBerMedIV!$D$25),"",PedBerMedIV!$D$25)</f>
        <v>0</v>
      </c>
      <c r="C1815" s="210">
        <v>0</v>
      </c>
    </row>
    <row r="1816" spans="1:3" x14ac:dyDescent="0.2">
      <c r="A1816" s="208" t="s">
        <v>2740</v>
      </c>
      <c r="B1816">
        <f>IF(ISBLANK(PedBerIVenPM!$A$13),"",PedBerIVenPM!$A$13)</f>
        <v>1</v>
      </c>
      <c r="C1816">
        <v>1</v>
      </c>
    </row>
    <row r="1817" spans="1:3" x14ac:dyDescent="0.2">
      <c r="A1817" s="208" t="s">
        <v>2741</v>
      </c>
      <c r="B1817">
        <f>IF(ISBLANK(PedBerIVenPM!$D$13),"",PedBerIVenPM!$D$13)</f>
        <v>1</v>
      </c>
      <c r="C1817">
        <v>1</v>
      </c>
    </row>
    <row r="1818" spans="1:3" x14ac:dyDescent="0.2">
      <c r="A1818" s="208" t="s">
        <v>2742</v>
      </c>
      <c r="B1818">
        <f>IF(ISBLANK(PedBerIVenPM!$D$16),"",PedBerIVenPM!$D$16)</f>
        <v>2</v>
      </c>
      <c r="C1818">
        <v>2</v>
      </c>
    </row>
    <row r="1819" spans="1:3" x14ac:dyDescent="0.2">
      <c r="A1819" s="208" t="s">
        <v>2743</v>
      </c>
      <c r="B1819">
        <f>IF(ISBLANK(PedBerIVenPM!$D$15),"",PedBerIVenPM!$D$15)</f>
        <v>20</v>
      </c>
      <c r="C1819">
        <v>20</v>
      </c>
    </row>
    <row r="1820" spans="1:3" x14ac:dyDescent="0.2">
      <c r="A1820" s="208" t="s">
        <v>2744</v>
      </c>
      <c r="B1820">
        <f>IF(ISBLANK(PedBerIVenPM!$D$12),"",PedBerIVenPM!$D$12)</f>
        <v>30</v>
      </c>
      <c r="C1820">
        <v>30</v>
      </c>
    </row>
    <row r="1821" spans="1:3" x14ac:dyDescent="0.2">
      <c r="A1821" s="208" t="s">
        <v>2745</v>
      </c>
      <c r="B1821">
        <f>IF(ISBLANK(PedBerIVenPM!$B$13),"",PedBerIVenPM!$B$13)</f>
        <v>1</v>
      </c>
      <c r="C1821">
        <v>1</v>
      </c>
    </row>
    <row r="1822" spans="1:3" x14ac:dyDescent="0.2">
      <c r="A1822" s="208" t="s">
        <v>2746</v>
      </c>
      <c r="B1822">
        <f>IF(ISBLANK(PedBerIVenPM!$D$14),"",PedBerIVenPM!$D$14)</f>
        <v>1</v>
      </c>
      <c r="C1822">
        <v>1</v>
      </c>
    </row>
    <row r="1823" spans="1:3" x14ac:dyDescent="0.2">
      <c r="A1823" s="208" t="s">
        <v>2747</v>
      </c>
      <c r="B1823">
        <f>IF(ISBLANK(PedBerIVenPM!$D$17),"",PedBerIVenPM!$D$17)</f>
        <v>10</v>
      </c>
      <c r="C1823">
        <v>10</v>
      </c>
    </row>
    <row r="1824" spans="1:3" x14ac:dyDescent="0.2">
      <c r="A1824" s="208" t="s">
        <v>2748</v>
      </c>
      <c r="B1824" t="b">
        <f>IF(ISBLANK(PedBerTPN!$B$12),"",PedBerTPN!$B$12)</f>
        <v>0</v>
      </c>
      <c r="C1824" t="b">
        <v>0</v>
      </c>
    </row>
    <row r="1825" spans="1:3" x14ac:dyDescent="0.2">
      <c r="A1825" s="208" t="s">
        <v>2749</v>
      </c>
      <c r="B1825">
        <f>IF(ISBLANK(PedBerTPN!$C$12),"",PedBerTPN!$C$12)</f>
        <v>0</v>
      </c>
      <c r="C1825" s="210">
        <v>0</v>
      </c>
    </row>
    <row r="1826" spans="1:3" x14ac:dyDescent="0.2">
      <c r="A1826" s="208" t="s">
        <v>4790</v>
      </c>
      <c r="B1826">
        <f>IF(ISBLANK(PedBerTPN!$B$4),"",PedBerTPN!$B$4)</f>
        <v>0</v>
      </c>
      <c r="C1826" s="7">
        <v>0</v>
      </c>
    </row>
    <row r="1827" spans="1:3" x14ac:dyDescent="0.2">
      <c r="A1827" s="208" t="s">
        <v>2750</v>
      </c>
      <c r="B1827" t="b">
        <f>IF(ISBLANK(PedBerTPN!$B$10),"",PedBerTPN!$B$10)</f>
        <v>0</v>
      </c>
      <c r="C1827" t="b">
        <v>0</v>
      </c>
    </row>
    <row r="1828" spans="1:3" x14ac:dyDescent="0.2">
      <c r="A1828" s="208" t="s">
        <v>2751</v>
      </c>
      <c r="B1828" t="b">
        <f>IF(ISBLANK(PedBerTPN!$B$24),"",PedBerTPN!$B$24)</f>
        <v>0</v>
      </c>
      <c r="C1828" t="b">
        <v>0</v>
      </c>
    </row>
    <row r="1829" spans="1:3" x14ac:dyDescent="0.2">
      <c r="A1829" s="208" t="s">
        <v>2752</v>
      </c>
      <c r="B1829">
        <f>IF(ISBLANK(PedBerTPN!$C$10),"",PedBerTPN!$C$10)</f>
        <v>0</v>
      </c>
      <c r="C1829" s="210">
        <v>0</v>
      </c>
    </row>
    <row r="1830" spans="1:3" x14ac:dyDescent="0.2">
      <c r="A1830" s="208" t="s">
        <v>2753</v>
      </c>
      <c r="B1830">
        <f>IF(ISBLANK(PedBerTPN!$C$24),"",PedBerTPN!$C$24)</f>
        <v>0</v>
      </c>
      <c r="C1830" s="210">
        <v>0</v>
      </c>
    </row>
    <row r="1831" spans="1:3" x14ac:dyDescent="0.2">
      <c r="A1831" s="208" t="s">
        <v>2754</v>
      </c>
      <c r="B1831">
        <f>IF(ISBLANK(PedBerTPN!$B$5),"",PedBerTPN!$B$5)</f>
        <v>1</v>
      </c>
      <c r="C1831">
        <v>1</v>
      </c>
    </row>
    <row r="1832" spans="1:3" x14ac:dyDescent="0.2">
      <c r="A1832" s="208" t="s">
        <v>2755</v>
      </c>
      <c r="B1832" t="b">
        <f>IF(ISBLANK(PedBerTPN!$B$15),"",PedBerTPN!$B$15)</f>
        <v>0</v>
      </c>
      <c r="C1832" t="b">
        <v>0</v>
      </c>
    </row>
    <row r="1833" spans="1:3" x14ac:dyDescent="0.2">
      <c r="A1833" s="208" t="s">
        <v>2756</v>
      </c>
      <c r="B1833">
        <f>IF(ISBLANK(PedBerTPN!$C$15),"",PedBerTPN!$C$15)</f>
        <v>0</v>
      </c>
      <c r="C1833" s="210">
        <v>0</v>
      </c>
    </row>
    <row r="1834" spans="1:3" x14ac:dyDescent="0.2">
      <c r="A1834" s="208" t="s">
        <v>2757</v>
      </c>
      <c r="B1834">
        <f>IF(ISBLANK(PedBerTPN!$C$16),"",PedBerTPN!$C$16)</f>
        <v>0</v>
      </c>
      <c r="C1834" s="210">
        <v>0</v>
      </c>
    </row>
    <row r="1835" spans="1:3" x14ac:dyDescent="0.2">
      <c r="A1835" s="208" t="s">
        <v>2758</v>
      </c>
      <c r="B1835" t="b">
        <f>IF(ISBLANK(PedBerTPN!$B$13),"",PedBerTPN!$B$13)</f>
        <v>0</v>
      </c>
      <c r="C1835" t="b">
        <v>0</v>
      </c>
    </row>
    <row r="1836" spans="1:3" x14ac:dyDescent="0.2">
      <c r="A1836" s="208" t="s">
        <v>2759</v>
      </c>
      <c r="B1836">
        <f>IF(ISBLANK(PedBerTPN!$C$13),"",PedBerTPN!$C$13)</f>
        <v>0</v>
      </c>
      <c r="C1836" s="210">
        <v>0</v>
      </c>
    </row>
    <row r="1837" spans="1:3" x14ac:dyDescent="0.2">
      <c r="A1837" s="208" t="s">
        <v>2760</v>
      </c>
      <c r="B1837" t="b">
        <f>IF(ISBLANK(PedBerTPN!$B$9),"",PedBerTPN!$B$9)</f>
        <v>0</v>
      </c>
      <c r="C1837" t="b">
        <v>0</v>
      </c>
    </row>
    <row r="1838" spans="1:3" x14ac:dyDescent="0.2">
      <c r="A1838" s="208" t="s">
        <v>2761</v>
      </c>
      <c r="B1838" t="b">
        <f>IF(ISBLANK(PedBerTPN!$B$23),"",PedBerTPN!$B$23)</f>
        <v>0</v>
      </c>
      <c r="C1838" t="b">
        <v>0</v>
      </c>
    </row>
    <row r="1839" spans="1:3" x14ac:dyDescent="0.2">
      <c r="A1839" s="208" t="s">
        <v>2762</v>
      </c>
      <c r="B1839">
        <f>IF(ISBLANK(PedBerTPN!$C$9),"",PedBerTPN!$C$9)</f>
        <v>0</v>
      </c>
      <c r="C1839" s="210">
        <v>0</v>
      </c>
    </row>
    <row r="1840" spans="1:3" x14ac:dyDescent="0.2">
      <c r="A1840" s="208" t="s">
        <v>2763</v>
      </c>
      <c r="B1840">
        <f>IF(ISBLANK(PedBerTPN!$C$23),"",PedBerTPN!$C$23)</f>
        <v>0</v>
      </c>
      <c r="C1840" s="210">
        <v>0</v>
      </c>
    </row>
    <row r="1841" spans="1:3" x14ac:dyDescent="0.2">
      <c r="A1841" s="208" t="s">
        <v>2764</v>
      </c>
      <c r="B1841">
        <f>IF(ISBLANK(PedBerTPN!$B$28),"",PedBerTPN!$B$28)</f>
        <v>0</v>
      </c>
      <c r="C1841" s="210">
        <v>0</v>
      </c>
    </row>
    <row r="1842" spans="1:3" x14ac:dyDescent="0.2">
      <c r="A1842" s="208" t="s">
        <v>2765</v>
      </c>
      <c r="B1842">
        <f>IF(ISBLANK(PedBerTPN!$C$6),"",PedBerTPN!$C$6)</f>
        <v>0</v>
      </c>
      <c r="C1842" s="210">
        <v>0</v>
      </c>
    </row>
    <row r="1843" spans="1:3" x14ac:dyDescent="0.2">
      <c r="A1843" s="208" t="s">
        <v>2766</v>
      </c>
      <c r="B1843">
        <f>IF(ISBLANK(PedBerTPN!$B$20),"",PedBerTPN!$B$20)</f>
        <v>0</v>
      </c>
      <c r="C1843" s="210">
        <v>0</v>
      </c>
    </row>
    <row r="1844" spans="1:3" x14ac:dyDescent="0.2">
      <c r="A1844" s="208" t="s">
        <v>2767</v>
      </c>
      <c r="B1844" t="b">
        <f>IF(ISBLANK(PedBerTPN!$B$19),"",PedBerTPN!$B$19)</f>
        <v>0</v>
      </c>
      <c r="C1844" t="b">
        <v>0</v>
      </c>
    </row>
    <row r="1845" spans="1:3" x14ac:dyDescent="0.2">
      <c r="A1845" s="208" t="s">
        <v>2768</v>
      </c>
      <c r="B1845">
        <f>IF(ISBLANK(PedBerTPN!$C$19),"",PedBerTPN!$C$19)</f>
        <v>1</v>
      </c>
      <c r="C1845">
        <v>1</v>
      </c>
    </row>
    <row r="1846" spans="1:3" x14ac:dyDescent="0.2">
      <c r="A1846" s="208" t="s">
        <v>2769</v>
      </c>
      <c r="B1846">
        <f>IF(ISBLANK(PedBerTPN!$B$8),"",PedBerTPN!$B$8)</f>
        <v>1</v>
      </c>
      <c r="C1846">
        <v>1</v>
      </c>
    </row>
    <row r="1847" spans="1:3" x14ac:dyDescent="0.2">
      <c r="A1847" s="208" t="s">
        <v>2770</v>
      </c>
      <c r="B1847">
        <f>IF(ISBLANK(PedBerTPN!$C$3),"",PedBerTPN!$C$3)</f>
        <v>0</v>
      </c>
      <c r="C1847" s="210">
        <v>0</v>
      </c>
    </row>
    <row r="1848" spans="1:3" x14ac:dyDescent="0.2">
      <c r="A1848" s="208" t="s">
        <v>2771</v>
      </c>
      <c r="B1848">
        <f>IF(ISBLANK(PedBerTPN!$B$22),"",PedBerTPN!$B$22)</f>
        <v>1</v>
      </c>
      <c r="C1848">
        <v>1</v>
      </c>
    </row>
    <row r="1849" spans="1:3" x14ac:dyDescent="0.2">
      <c r="A1849" s="208" t="s">
        <v>2772</v>
      </c>
      <c r="B1849">
        <f>IF(ISBLANK(PedBerTPN!$C$21),"",PedBerTPN!$C$21)</f>
        <v>0</v>
      </c>
      <c r="C1849" s="210">
        <v>0</v>
      </c>
    </row>
    <row r="1850" spans="1:3" x14ac:dyDescent="0.2">
      <c r="A1850" s="208" t="s">
        <v>2773</v>
      </c>
      <c r="B1850" t="b">
        <f>IF(ISBLANK(PedBerTPN!$B$18),"",PedBerTPN!$B$18)</f>
        <v>0</v>
      </c>
      <c r="C1850" t="b">
        <v>0</v>
      </c>
    </row>
    <row r="1851" spans="1:3" x14ac:dyDescent="0.2">
      <c r="A1851" s="208" t="s">
        <v>2774</v>
      </c>
      <c r="B1851">
        <f>IF(ISBLANK(PedBerTPN!$C$18),"",PedBerTPN!$C$18)</f>
        <v>1</v>
      </c>
      <c r="C1851">
        <v>1</v>
      </c>
    </row>
    <row r="1852" spans="1:3" x14ac:dyDescent="0.2">
      <c r="A1852" s="208" t="s">
        <v>2775</v>
      </c>
      <c r="B1852">
        <f>IF(ISBLANK(PedBerTPN!$C$5),"",PedBerTPN!$C$5)</f>
        <v>0</v>
      </c>
      <c r="C1852" s="210">
        <v>0</v>
      </c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GridLines="0" showRowColHeaders="0" showZeros="0" showOutlineSymbols="0" workbookViewId="0">
      <selection activeCell="G30" sqref="G30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</row>
    <row r="2" spans="1:7" x14ac:dyDescent="0.2">
      <c r="A2" s="209" t="s">
        <v>398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2843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5280</v>
      </c>
    </row>
    <row r="9" spans="1:7" x14ac:dyDescent="0.2">
      <c r="A9" s="209" t="s">
        <v>2842</v>
      </c>
      <c r="B9">
        <v>0</v>
      </c>
    </row>
    <row r="10" spans="1:7" x14ac:dyDescent="0.2">
      <c r="A10" s="209" t="s">
        <v>2841</v>
      </c>
      <c r="B10" s="98">
        <v>1462</v>
      </c>
      <c r="E10" s="98"/>
    </row>
    <row r="11" spans="1:7" s="208" customFormat="1" x14ac:dyDescent="0.2">
      <c r="A11" s="209" t="s">
        <v>4127</v>
      </c>
      <c r="B11" s="7">
        <v>0</v>
      </c>
      <c r="E11" s="98"/>
    </row>
    <row r="12" spans="1:7" s="208" customFormat="1" x14ac:dyDescent="0.2">
      <c r="A12" s="209" t="s">
        <v>4128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42999</v>
      </c>
    </row>
    <row r="16" spans="1:7" x14ac:dyDescent="0.2">
      <c r="A16" t="s">
        <v>353</v>
      </c>
      <c r="B16" s="98"/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4544</v>
      </c>
      <c r="B18" s="98" t="str">
        <f ca="1">DateToString(Var_AfspraakDatum)</f>
        <v>21-sep-2017</v>
      </c>
      <c r="E18" s="108"/>
    </row>
    <row r="19" spans="1:5" s="208" customFormat="1" x14ac:dyDescent="0.2">
      <c r="A19" s="209" t="s">
        <v>3335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2843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3336</v>
      </c>
      <c r="B21" s="7" t="str">
        <f>IF(__0_PatNum&gt;0,__0_PatNum,"")</f>
        <v/>
      </c>
      <c r="E21" s="637"/>
    </row>
    <row r="22" spans="1:5" x14ac:dyDescent="0.2">
      <c r="A22" s="209" t="s">
        <v>3331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3332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2840</v>
      </c>
      <c r="B24" s="208" t="str">
        <f ca="1">IF(Var_AfspraakDatum-__4_GebDatum&lt;=28,B23,B22)</f>
        <v/>
      </c>
    </row>
    <row r="25" spans="1:5" x14ac:dyDescent="0.2">
      <c r="A25" s="209" t="s">
        <v>3330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3333</v>
      </c>
      <c r="B26" t="str">
        <f ca="1">IF(AND(__4_GebDatum&gt;0,_Pat_OpnDatum&gt;0),"(dag "&amp;ROUND(Var_AfspraakDatum-_Pat_OpnDatum+1,0)&amp;")", "")</f>
        <v>(dag 41538)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3334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/>
      </c>
    </row>
    <row r="31" spans="1:5" x14ac:dyDescent="0.2">
      <c r="A31" s="209" t="s">
        <v>2842</v>
      </c>
      <c r="B31" t="str">
        <f>IF(_Pat_GebGew=0,"",_Pat_GebGew&amp;" gram")</f>
        <v/>
      </c>
    </row>
    <row r="32" spans="1:5" x14ac:dyDescent="0.2">
      <c r="A32" s="209" t="s">
        <v>4546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5280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90" customWidth="1"/>
    <col min="2" max="2" width="6" style="490" customWidth="1"/>
    <col min="3" max="3" width="7.5703125" style="490" customWidth="1"/>
    <col min="4" max="4" width="4.28515625" style="490" customWidth="1"/>
    <col min="5" max="5" width="27" style="490" customWidth="1"/>
    <col min="6" max="6" width="13.42578125" style="490" customWidth="1"/>
    <col min="7" max="7" width="11.140625" style="490" customWidth="1"/>
    <col min="8" max="8" width="16.7109375" style="490" customWidth="1"/>
    <col min="9" max="9" width="16.5703125" style="490" customWidth="1"/>
    <col min="10" max="10" width="20.140625" style="490" customWidth="1"/>
    <col min="11" max="11" width="13.28515625" style="490" customWidth="1"/>
    <col min="12" max="12" width="9.140625" style="490"/>
    <col min="13" max="13" width="12.7109375" style="490" customWidth="1"/>
    <col min="14" max="15" width="9.140625" style="490"/>
    <col min="16" max="17" width="9.42578125" style="490" bestFit="1" customWidth="1"/>
    <col min="18" max="16384" width="9.140625" style="490"/>
  </cols>
  <sheetData>
    <row r="1" spans="1:84" s="355" customFormat="1" ht="17.25" customHeight="1" x14ac:dyDescent="0.2">
      <c r="A1" s="489"/>
      <c r="B1" s="829"/>
      <c r="C1" s="829"/>
      <c r="D1" s="829"/>
      <c r="E1" s="829"/>
      <c r="F1" s="829"/>
      <c r="G1" s="829"/>
      <c r="H1" s="829"/>
      <c r="I1" s="829"/>
      <c r="J1" s="829"/>
      <c r="K1" s="829"/>
      <c r="L1" s="829"/>
      <c r="M1" s="829"/>
      <c r="N1" s="829"/>
      <c r="O1" s="780"/>
      <c r="P1" s="353"/>
      <c r="Q1" s="353"/>
      <c r="R1" s="353"/>
    </row>
    <row r="2" spans="1:84" s="355" customFormat="1" ht="17.25" customHeight="1" x14ac:dyDescent="0.2">
      <c r="B2" s="780"/>
      <c r="C2" s="780" t="s">
        <v>235</v>
      </c>
      <c r="D2" s="646"/>
      <c r="E2" s="647" t="str">
        <f ca="1">Txt_Pat_AfspraakDat</f>
        <v>21-sep-2017</v>
      </c>
      <c r="F2" s="648"/>
      <c r="G2" s="649"/>
      <c r="H2" s="647" t="s">
        <v>3496</v>
      </c>
      <c r="I2" s="650" t="str">
        <f>Txt_Pat_OpnameDat</f>
        <v/>
      </c>
      <c r="J2" s="651"/>
      <c r="K2" s="780" t="str">
        <f>Txt_Pat_Gewicht</f>
        <v>Gewicht:</v>
      </c>
      <c r="L2" s="647"/>
      <c r="M2" s="647" t="str">
        <f>Txt_Pat_Bed</f>
        <v/>
      </c>
      <c r="N2" s="780"/>
      <c r="O2" s="780"/>
      <c r="P2" s="353"/>
      <c r="Q2" s="353"/>
      <c r="R2" s="353"/>
    </row>
    <row r="3" spans="1:84" s="355" customFormat="1" ht="17.25" customHeight="1" x14ac:dyDescent="0.2">
      <c r="B3" s="780"/>
      <c r="C3" s="780" t="s">
        <v>27</v>
      </c>
      <c r="D3" s="644"/>
      <c r="E3" s="647" t="str">
        <f>Txt_Pat_FullName</f>
        <v/>
      </c>
      <c r="F3" s="652"/>
      <c r="G3" s="652"/>
      <c r="H3" s="647" t="s">
        <v>3497</v>
      </c>
      <c r="I3" s="650" t="str">
        <f ca="1">Txt_Pat_GeboorteDat</f>
        <v/>
      </c>
      <c r="J3" s="651"/>
      <c r="K3" s="780" t="str">
        <f>Txt_Pat_Lengte</f>
        <v>Lengte:</v>
      </c>
      <c r="L3" s="647"/>
      <c r="M3" s="647"/>
      <c r="N3" s="780"/>
      <c r="O3" s="780"/>
      <c r="P3" s="353"/>
      <c r="Q3" s="353"/>
      <c r="R3" s="353"/>
    </row>
    <row r="4" spans="1:84" s="355" customFormat="1" ht="17.25" customHeight="1" x14ac:dyDescent="0.2">
      <c r="B4" s="780"/>
      <c r="C4" s="780" t="s">
        <v>3493</v>
      </c>
      <c r="D4" s="780"/>
      <c r="E4" s="653" t="str">
        <f>Txt_Pat_PatNo</f>
        <v/>
      </c>
      <c r="F4" s="654"/>
      <c r="G4" s="649"/>
      <c r="H4" s="647" t="s">
        <v>213</v>
      </c>
      <c r="I4" s="780" t="str">
        <f ca="1">Txt_Pat_Leeftijd</f>
        <v/>
      </c>
      <c r="J4" s="655"/>
      <c r="K4" s="780" t="str">
        <f>Txt_Pat_Oppervlak</f>
        <v>Lichamelijk oppervlak:</v>
      </c>
      <c r="L4" s="647"/>
      <c r="M4" s="647"/>
      <c r="N4" s="780"/>
      <c r="O4" s="780"/>
      <c r="P4" s="354"/>
      <c r="Q4" s="354"/>
      <c r="R4" s="354"/>
    </row>
    <row r="5" spans="1:84" s="355" customFormat="1" ht="8.1" customHeight="1" x14ac:dyDescent="0.2">
      <c r="B5" s="780"/>
      <c r="C5" s="780"/>
      <c r="D5" s="780"/>
      <c r="E5" s="647"/>
      <c r="F5" s="647"/>
      <c r="G5" s="649"/>
      <c r="H5" s="647"/>
      <c r="I5" s="780"/>
      <c r="J5" s="655"/>
      <c r="K5" s="647"/>
      <c r="L5" s="647"/>
      <c r="M5" s="647"/>
      <c r="N5" s="780"/>
      <c r="O5" s="780"/>
      <c r="P5" s="354"/>
      <c r="Q5" s="354"/>
      <c r="R5" s="354"/>
    </row>
    <row r="6" spans="1:84" ht="8.1" customHeight="1" x14ac:dyDescent="0.2">
      <c r="C6" s="356"/>
      <c r="D6" s="357"/>
      <c r="E6" s="782"/>
      <c r="F6" s="358"/>
      <c r="G6" s="359"/>
      <c r="H6" s="782"/>
      <c r="I6" s="360"/>
      <c r="J6" s="782"/>
      <c r="K6" s="782"/>
      <c r="L6" s="782"/>
      <c r="M6" s="782"/>
      <c r="N6" s="782"/>
      <c r="O6" s="357"/>
      <c r="P6" s="354"/>
      <c r="Q6" s="354"/>
      <c r="R6" s="354"/>
      <c r="S6" s="357"/>
      <c r="T6" s="357"/>
      <c r="U6" s="357"/>
      <c r="V6" s="357"/>
      <c r="W6" s="357"/>
      <c r="X6" s="357"/>
      <c r="Y6" s="357"/>
      <c r="Z6" s="357"/>
      <c r="AA6" s="357"/>
      <c r="AB6" s="361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1"/>
      <c r="AP6" s="361"/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1"/>
      <c r="BB6" s="361"/>
      <c r="BC6" s="361"/>
      <c r="BD6" s="361"/>
      <c r="BE6" s="361"/>
      <c r="BF6" s="361"/>
      <c r="BG6" s="361"/>
      <c r="BH6" s="361"/>
      <c r="BI6" s="361"/>
      <c r="BJ6" s="361"/>
      <c r="BK6" s="361"/>
      <c r="BL6" s="361"/>
      <c r="BM6" s="361"/>
      <c r="BN6" s="361"/>
      <c r="BO6" s="361"/>
      <c r="BP6" s="361"/>
      <c r="BQ6" s="361"/>
      <c r="BR6" s="361"/>
      <c r="BS6" s="361"/>
      <c r="BT6" s="361"/>
      <c r="BU6" s="361"/>
      <c r="BV6" s="361"/>
      <c r="BW6" s="361"/>
      <c r="BX6" s="361"/>
      <c r="BY6" s="361"/>
      <c r="BZ6" s="361"/>
      <c r="CA6" s="361"/>
      <c r="CB6" s="361"/>
      <c r="CC6" s="361"/>
      <c r="CD6" s="361"/>
      <c r="CE6" s="361"/>
      <c r="CF6" s="361"/>
    </row>
    <row r="7" spans="1:84" ht="20.100000000000001" customHeight="1" x14ac:dyDescent="0.2">
      <c r="B7" s="688" t="s">
        <v>3327</v>
      </c>
      <c r="C7" s="688"/>
      <c r="D7" s="688"/>
      <c r="E7" s="689" t="s">
        <v>261</v>
      </c>
      <c r="F7" s="688" t="s">
        <v>156</v>
      </c>
      <c r="G7" s="690" t="s">
        <v>241</v>
      </c>
      <c r="H7" s="690" t="s">
        <v>113</v>
      </c>
      <c r="I7" s="690" t="s">
        <v>43</v>
      </c>
      <c r="J7" s="690" t="s">
        <v>262</v>
      </c>
      <c r="K7" s="690" t="s">
        <v>3321</v>
      </c>
      <c r="L7" s="690" t="s">
        <v>86</v>
      </c>
      <c r="M7" s="690" t="s">
        <v>258</v>
      </c>
      <c r="N7" s="690"/>
      <c r="O7" s="690"/>
      <c r="P7" s="354"/>
      <c r="Q7" s="354"/>
      <c r="R7" s="354"/>
      <c r="S7" s="362"/>
      <c r="T7" s="362"/>
      <c r="U7" s="362"/>
      <c r="V7" s="354"/>
      <c r="W7" s="354"/>
      <c r="X7" s="354"/>
      <c r="Y7" s="354"/>
      <c r="Z7" s="354"/>
      <c r="AA7" s="354"/>
      <c r="AC7" s="361"/>
      <c r="AH7" s="361"/>
      <c r="AI7" s="361"/>
      <c r="AJ7" s="361"/>
      <c r="AK7" s="361"/>
      <c r="AL7" s="361"/>
      <c r="AM7" s="361"/>
      <c r="AN7" s="361"/>
      <c r="AO7" s="361"/>
      <c r="AP7" s="361"/>
      <c r="AQ7" s="361"/>
      <c r="AR7" s="361"/>
      <c r="AS7" s="361"/>
      <c r="AT7" s="361"/>
      <c r="AU7" s="361"/>
      <c r="AV7" s="361"/>
      <c r="AW7" s="361"/>
      <c r="AX7" s="361"/>
      <c r="AY7" s="361"/>
      <c r="AZ7" s="361"/>
      <c r="BA7" s="361"/>
      <c r="BB7" s="361"/>
      <c r="BC7" s="361"/>
      <c r="BD7" s="361"/>
      <c r="BE7" s="361"/>
      <c r="BF7" s="361"/>
      <c r="BG7" s="361"/>
      <c r="BH7" s="361"/>
      <c r="BI7" s="361"/>
      <c r="BJ7" s="361"/>
      <c r="BK7" s="361"/>
      <c r="BL7" s="361"/>
      <c r="BM7" s="361"/>
      <c r="BN7" s="361"/>
      <c r="BO7" s="361"/>
      <c r="BP7" s="361"/>
      <c r="BQ7" s="361"/>
      <c r="BR7" s="361"/>
      <c r="BS7" s="361"/>
      <c r="BT7" s="361"/>
      <c r="BU7" s="361"/>
      <c r="BV7" s="361"/>
      <c r="BW7" s="361"/>
      <c r="BX7" s="361"/>
      <c r="BY7" s="361"/>
      <c r="BZ7" s="361"/>
      <c r="CA7" s="361"/>
      <c r="CB7" s="361"/>
      <c r="CC7" s="361"/>
      <c r="CD7" s="361"/>
      <c r="CE7" s="361"/>
      <c r="CF7" s="361"/>
    </row>
    <row r="8" spans="1:84" ht="8.1" customHeight="1" x14ac:dyDescent="0.2">
      <c r="C8" s="357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7"/>
      <c r="P8" s="353"/>
      <c r="Q8" s="353"/>
      <c r="R8" s="353"/>
      <c r="S8" s="357"/>
      <c r="T8" s="357"/>
      <c r="U8" s="357"/>
      <c r="V8" s="357"/>
      <c r="W8" s="357"/>
      <c r="X8" s="357"/>
      <c r="Y8" s="357"/>
      <c r="Z8" s="357"/>
      <c r="AA8" s="357"/>
      <c r="AC8" s="361"/>
      <c r="AH8" s="361"/>
      <c r="AI8" s="361"/>
      <c r="AJ8" s="361"/>
      <c r="AK8" s="361"/>
      <c r="AL8" s="361"/>
      <c r="AM8" s="361"/>
      <c r="AN8" s="361"/>
      <c r="AO8" s="361"/>
      <c r="AP8" s="361"/>
      <c r="AQ8" s="361"/>
      <c r="AR8" s="361"/>
      <c r="AS8" s="361"/>
      <c r="AT8" s="361"/>
      <c r="AU8" s="361"/>
      <c r="AV8" s="361"/>
      <c r="AW8" s="361"/>
      <c r="AX8" s="361"/>
      <c r="AY8" s="361"/>
      <c r="AZ8" s="361"/>
      <c r="BA8" s="361"/>
      <c r="BB8" s="361"/>
      <c r="BC8" s="361"/>
      <c r="BD8" s="361"/>
      <c r="BE8" s="361"/>
      <c r="BF8" s="361"/>
      <c r="BG8" s="361"/>
      <c r="BH8" s="361"/>
      <c r="BI8" s="361"/>
      <c r="BJ8" s="361"/>
      <c r="BK8" s="361"/>
      <c r="BL8" s="361"/>
      <c r="BM8" s="361"/>
      <c r="BN8" s="361"/>
      <c r="BO8" s="361"/>
      <c r="BP8" s="361"/>
      <c r="BQ8" s="361"/>
      <c r="BR8" s="361"/>
      <c r="BS8" s="361"/>
      <c r="BT8" s="361"/>
      <c r="BU8" s="361"/>
      <c r="BV8" s="361"/>
      <c r="BW8" s="361"/>
      <c r="BX8" s="361"/>
      <c r="BY8" s="361"/>
      <c r="BZ8" s="361"/>
      <c r="CA8" s="361"/>
      <c r="CB8" s="361"/>
      <c r="CC8" s="361"/>
      <c r="CD8" s="361"/>
      <c r="CE8" s="361"/>
      <c r="CF8" s="361"/>
    </row>
    <row r="9" spans="1:84" ht="20.100000000000001" customHeight="1" thickBot="1" x14ac:dyDescent="0.25">
      <c r="B9" s="532" t="str">
        <f>PedBerMedIV!AD5</f>
        <v/>
      </c>
      <c r="C9" s="532" t="str">
        <f>PedBerMedIV!AE5</f>
        <v/>
      </c>
      <c r="D9" s="676">
        <v>1</v>
      </c>
      <c r="E9" s="536">
        <f>PedBerMedIV!C5</f>
        <v>1</v>
      </c>
      <c r="F9" s="537" t="str">
        <f>PedBerMedIV!AG5</f>
        <v/>
      </c>
      <c r="G9" s="537" t="str">
        <f>PedBerMedIV!AH5</f>
        <v/>
      </c>
      <c r="H9" s="506"/>
      <c r="I9" s="506" t="str">
        <f>PedBerMedIV!AJ5</f>
        <v/>
      </c>
      <c r="J9" s="506" t="str">
        <f>PedBerMedIV!AK5</f>
        <v/>
      </c>
      <c r="K9" s="506" t="str">
        <f>PedBerMedIV!AL5</f>
        <v/>
      </c>
      <c r="L9" s="506" t="str">
        <f>PedBerMedIV!AM5</f>
        <v/>
      </c>
      <c r="M9" s="506" t="str">
        <f>PedBerMedIV!AN5</f>
        <v/>
      </c>
      <c r="N9" s="506"/>
      <c r="O9" s="357"/>
      <c r="P9" s="354"/>
      <c r="Q9" s="354"/>
      <c r="R9" s="354"/>
      <c r="S9" s="357"/>
      <c r="T9" s="357"/>
      <c r="U9" s="357"/>
      <c r="V9" s="357"/>
      <c r="W9" s="357"/>
      <c r="X9" s="357"/>
      <c r="Y9" s="357"/>
      <c r="Z9" s="357"/>
      <c r="AA9" s="357"/>
      <c r="AC9" s="361"/>
      <c r="AD9" s="490">
        <f>IF(E9&lt;&gt;0,INDEX(Tbl_Ped_MedContIV,PedBerMedIV!$C5,6)*(PedBerMedIV!G5/10))</f>
        <v>0</v>
      </c>
      <c r="AE9" s="490">
        <f>IF(AD9&gt;=10,0,IF(AD9&gt;=1,1,IF(AD9&gt;=0,2,IF(AD9&gt;=0.1,3,IF(AD9&gt;=0.01,4,5)))))</f>
        <v>2</v>
      </c>
      <c r="AF9" s="490">
        <f>ROUND(AD9,AE9)</f>
        <v>0</v>
      </c>
      <c r="AH9" s="361"/>
      <c r="AI9" s="361"/>
      <c r="AJ9" s="361"/>
      <c r="AK9" s="361"/>
      <c r="AL9" s="361"/>
      <c r="AM9" s="361"/>
      <c r="AN9" s="361"/>
      <c r="AO9" s="361"/>
      <c r="AP9" s="361"/>
      <c r="AQ9" s="361"/>
      <c r="AR9" s="361"/>
      <c r="AS9" s="361"/>
      <c r="AT9" s="361"/>
      <c r="AU9" s="361"/>
      <c r="AV9" s="361"/>
      <c r="AW9" s="361"/>
      <c r="AX9" s="361"/>
      <c r="AY9" s="361"/>
      <c r="AZ9" s="361"/>
      <c r="BA9" s="361"/>
      <c r="BB9" s="361"/>
      <c r="BC9" s="361"/>
      <c r="BD9" s="361"/>
      <c r="BE9" s="361"/>
      <c r="BF9" s="361"/>
      <c r="BG9" s="361"/>
      <c r="BH9" s="361"/>
      <c r="BI9" s="361"/>
      <c r="BJ9" s="361"/>
      <c r="BK9" s="361"/>
      <c r="BL9" s="361"/>
      <c r="BM9" s="361"/>
      <c r="BN9" s="361"/>
      <c r="BO9" s="361"/>
      <c r="BP9" s="361"/>
      <c r="BQ9" s="361"/>
      <c r="BR9" s="361"/>
      <c r="BS9" s="361"/>
      <c r="BT9" s="361"/>
      <c r="BU9" s="361"/>
      <c r="BV9" s="361"/>
      <c r="BW9" s="361"/>
      <c r="BX9" s="361"/>
      <c r="BY9" s="361"/>
      <c r="BZ9" s="361"/>
      <c r="CA9" s="361"/>
      <c r="CB9" s="361"/>
      <c r="CC9" s="361"/>
      <c r="CD9" s="361"/>
      <c r="CE9" s="361"/>
      <c r="CF9" s="361"/>
    </row>
    <row r="10" spans="1:84" ht="20.100000000000001" customHeight="1" thickTop="1" thickBot="1" x14ac:dyDescent="0.25">
      <c r="B10" s="532" t="str">
        <f>PedBerMedIV!AD6</f>
        <v/>
      </c>
      <c r="C10" s="532" t="str">
        <f>PedBerMedIV!AE6</f>
        <v/>
      </c>
      <c r="D10" s="676">
        <v>2</v>
      </c>
      <c r="E10" s="491">
        <f>PedBerMedIV!C6</f>
        <v>1</v>
      </c>
      <c r="F10" s="493" t="str">
        <f>PedBerMedIV!AG6</f>
        <v/>
      </c>
      <c r="G10" s="493" t="str">
        <f>PedBerMedIV!AH6</f>
        <v/>
      </c>
      <c r="H10" s="495"/>
      <c r="I10" s="495" t="str">
        <f>PedBerMedIV!AJ6</f>
        <v/>
      </c>
      <c r="J10" s="495" t="str">
        <f>PedBerMedIV!AK6</f>
        <v/>
      </c>
      <c r="K10" s="495" t="str">
        <f>PedBerMedIV!AL6</f>
        <v/>
      </c>
      <c r="L10" s="495" t="str">
        <f>PedBerMedIV!AM6</f>
        <v/>
      </c>
      <c r="M10" s="495" t="str">
        <f>PedBerMedIV!AN6</f>
        <v/>
      </c>
      <c r="N10" s="495"/>
      <c r="O10" s="357"/>
      <c r="P10" s="353"/>
      <c r="Q10" s="353"/>
      <c r="R10" s="353"/>
      <c r="S10" s="357"/>
      <c r="T10" s="357"/>
      <c r="U10" s="357"/>
      <c r="V10" s="357"/>
      <c r="W10" s="357"/>
      <c r="X10" s="357"/>
      <c r="Y10" s="357"/>
      <c r="Z10" s="357"/>
      <c r="AA10" s="357"/>
      <c r="AC10" s="361"/>
      <c r="AD10" s="490">
        <f>IF(E10&lt;&gt;0,INDEX(Tbl_Ped_MedContIV,PedBerMedIV!$C6,6)*(PedBerMedIV!G6/10))</f>
        <v>0</v>
      </c>
      <c r="AE10" s="490">
        <f t="shared" ref="AE10:AE18" si="0">IF(AD10&gt;=10,0,IF(AD10&gt;=1,1,IF(AD10&gt;=0,2,IF(AD10&gt;=0.1,3,IF(AD10&gt;=0.01,4,5)))))</f>
        <v>2</v>
      </c>
      <c r="AF10" s="490">
        <f t="shared" ref="AF10:AF18" si="1">ROUND(AD10,AE10)</f>
        <v>0</v>
      </c>
      <c r="AH10" s="361"/>
      <c r="AI10" s="361"/>
      <c r="AJ10" s="361"/>
      <c r="AK10" s="361"/>
      <c r="AL10" s="361"/>
      <c r="AM10" s="361"/>
      <c r="AN10" s="361"/>
      <c r="AO10" s="361"/>
      <c r="AP10" s="361"/>
      <c r="AQ10" s="361"/>
      <c r="AR10" s="361"/>
      <c r="AS10" s="361"/>
      <c r="AT10" s="361"/>
      <c r="AU10" s="361"/>
      <c r="AV10" s="361"/>
      <c r="AW10" s="361"/>
      <c r="AX10" s="361"/>
      <c r="AY10" s="361"/>
      <c r="AZ10" s="361"/>
      <c r="BA10" s="361"/>
      <c r="BB10" s="361"/>
      <c r="BC10" s="361"/>
      <c r="BD10" s="361"/>
      <c r="BE10" s="361"/>
      <c r="BF10" s="361"/>
      <c r="BG10" s="361"/>
      <c r="BH10" s="361"/>
      <c r="BI10" s="361"/>
      <c r="BJ10" s="361"/>
      <c r="BK10" s="361"/>
      <c r="BL10" s="361"/>
      <c r="BM10" s="361"/>
      <c r="BN10" s="361"/>
      <c r="BO10" s="361"/>
      <c r="BP10" s="361"/>
      <c r="BQ10" s="361"/>
      <c r="BR10" s="361"/>
      <c r="BS10" s="361"/>
      <c r="BT10" s="361"/>
      <c r="BU10" s="361"/>
      <c r="BV10" s="361"/>
      <c r="BW10" s="361"/>
      <c r="BX10" s="361"/>
      <c r="BY10" s="361"/>
      <c r="BZ10" s="361"/>
      <c r="CA10" s="361"/>
      <c r="CB10" s="361"/>
      <c r="CC10" s="361"/>
      <c r="CD10" s="361"/>
      <c r="CE10" s="361"/>
      <c r="CF10" s="361"/>
    </row>
    <row r="11" spans="1:84" ht="20.100000000000001" customHeight="1" thickTop="1" thickBot="1" x14ac:dyDescent="0.25">
      <c r="B11" s="532" t="str">
        <f>PedBerMedIV!AD7</f>
        <v/>
      </c>
      <c r="C11" s="532" t="str">
        <f>PedBerMedIV!AE7</f>
        <v/>
      </c>
      <c r="D11" s="676">
        <v>3</v>
      </c>
      <c r="E11" s="491">
        <f>PedBerMedIV!C7</f>
        <v>1</v>
      </c>
      <c r="F11" s="493" t="str">
        <f>PedBerMedIV!AG7</f>
        <v/>
      </c>
      <c r="G11" s="493" t="str">
        <f>PedBerMedIV!AH7</f>
        <v/>
      </c>
      <c r="H11" s="495"/>
      <c r="I11" s="495" t="str">
        <f>PedBerMedIV!AJ7</f>
        <v/>
      </c>
      <c r="J11" s="495" t="str">
        <f>PedBerMedIV!AK7</f>
        <v/>
      </c>
      <c r="K11" s="495" t="str">
        <f>PedBerMedIV!AL7</f>
        <v/>
      </c>
      <c r="L11" s="495" t="str">
        <f>PedBerMedIV!AM7</f>
        <v/>
      </c>
      <c r="M11" s="495" t="str">
        <f>PedBerMedIV!AN7</f>
        <v/>
      </c>
      <c r="N11" s="495"/>
      <c r="O11" s="357"/>
      <c r="P11" s="353"/>
      <c r="Q11" s="353"/>
      <c r="R11" s="353"/>
      <c r="S11" s="357"/>
      <c r="T11" s="357"/>
      <c r="U11" s="357"/>
      <c r="V11" s="357"/>
      <c r="W11" s="357"/>
      <c r="X11" s="357"/>
      <c r="Y11" s="357"/>
      <c r="Z11" s="357"/>
      <c r="AA11" s="357"/>
      <c r="AC11" s="361"/>
      <c r="AD11" s="490">
        <f>IF(E11&lt;&gt;0,INDEX(Tbl_Ped_MedContIV,PedBerMedIV!$C7,6)*(PedBerMedIV!G7/10))</f>
        <v>0</v>
      </c>
      <c r="AE11" s="490">
        <f t="shared" si="0"/>
        <v>2</v>
      </c>
      <c r="AF11" s="490">
        <f t="shared" si="1"/>
        <v>0</v>
      </c>
      <c r="AH11" s="361"/>
      <c r="AI11" s="361"/>
      <c r="AJ11" s="361"/>
      <c r="AK11" s="361"/>
      <c r="AL11" s="361"/>
      <c r="AM11" s="361"/>
      <c r="AN11" s="361"/>
      <c r="AO11" s="361"/>
      <c r="AP11" s="361"/>
      <c r="AQ11" s="361"/>
      <c r="AR11" s="361"/>
      <c r="AS11" s="361"/>
      <c r="AT11" s="361"/>
      <c r="AU11" s="361"/>
      <c r="AV11" s="361"/>
      <c r="AW11" s="361"/>
      <c r="AX11" s="361"/>
      <c r="AY11" s="361"/>
      <c r="AZ11" s="361"/>
      <c r="BA11" s="361"/>
      <c r="BB11" s="361"/>
      <c r="BC11" s="361"/>
      <c r="BD11" s="361"/>
      <c r="BE11" s="361"/>
      <c r="BF11" s="361"/>
      <c r="BG11" s="361"/>
      <c r="BH11" s="361"/>
      <c r="BI11" s="361"/>
      <c r="BJ11" s="361"/>
      <c r="BK11" s="361"/>
      <c r="BL11" s="361"/>
      <c r="BM11" s="361"/>
      <c r="BN11" s="361"/>
      <c r="BO11" s="361"/>
      <c r="BP11" s="361"/>
      <c r="BQ11" s="361"/>
      <c r="BR11" s="361"/>
      <c r="BS11" s="361"/>
      <c r="BT11" s="361"/>
      <c r="BU11" s="361"/>
      <c r="BV11" s="361"/>
      <c r="BW11" s="361"/>
      <c r="BX11" s="361"/>
      <c r="BY11" s="361"/>
      <c r="BZ11" s="361"/>
      <c r="CA11" s="361"/>
      <c r="CB11" s="361"/>
      <c r="CC11" s="361"/>
      <c r="CD11" s="361"/>
      <c r="CE11" s="361"/>
      <c r="CF11" s="361"/>
    </row>
    <row r="12" spans="1:84" ht="20.100000000000001" customHeight="1" thickTop="1" thickBot="1" x14ac:dyDescent="0.25">
      <c r="B12" s="532" t="str">
        <f>PedBerMedIV!AD8</f>
        <v/>
      </c>
      <c r="C12" s="532" t="str">
        <f>PedBerMedIV!AE8</f>
        <v/>
      </c>
      <c r="D12" s="676">
        <v>4</v>
      </c>
      <c r="E12" s="491">
        <f>PedBerMedIV!C8</f>
        <v>1</v>
      </c>
      <c r="F12" s="493" t="str">
        <f>PedBerMedIV!AG8</f>
        <v/>
      </c>
      <c r="G12" s="493" t="str">
        <f>PedBerMedIV!AH8</f>
        <v/>
      </c>
      <c r="H12" s="495"/>
      <c r="I12" s="495" t="str">
        <f>PedBerMedIV!AJ8</f>
        <v/>
      </c>
      <c r="J12" s="495" t="str">
        <f>PedBerMedIV!AK8</f>
        <v/>
      </c>
      <c r="K12" s="495" t="str">
        <f>PedBerMedIV!AL8</f>
        <v/>
      </c>
      <c r="L12" s="495" t="str">
        <f>PedBerMedIV!AM8</f>
        <v/>
      </c>
      <c r="M12" s="495" t="str">
        <f>PedBerMedIV!AN8</f>
        <v/>
      </c>
      <c r="N12" s="495"/>
      <c r="O12" s="357"/>
      <c r="P12" s="357"/>
      <c r="Q12" s="357"/>
      <c r="R12" s="357"/>
      <c r="S12" s="357"/>
      <c r="T12" s="357"/>
      <c r="U12" s="357"/>
      <c r="V12" s="357"/>
      <c r="W12" s="357"/>
      <c r="X12" s="357"/>
      <c r="Y12" s="357"/>
      <c r="Z12" s="357"/>
      <c r="AA12" s="357"/>
      <c r="AC12" s="361"/>
      <c r="AD12" s="490">
        <f>IF(E12&lt;&gt;0,INDEX(Tbl_Ped_MedContIV,PedBerMedIV!$C8,6)*(PedBerMedIV!G8/10))</f>
        <v>0</v>
      </c>
      <c r="AE12" s="490">
        <f t="shared" si="0"/>
        <v>2</v>
      </c>
      <c r="AF12" s="490">
        <f t="shared" si="1"/>
        <v>0</v>
      </c>
      <c r="AH12" s="361"/>
      <c r="AI12" s="361"/>
      <c r="AJ12" s="361"/>
      <c r="AK12" s="361"/>
      <c r="AL12" s="361"/>
      <c r="AM12" s="361"/>
      <c r="AN12" s="361"/>
      <c r="AO12" s="361"/>
      <c r="AP12" s="361"/>
      <c r="AQ12" s="361"/>
      <c r="AR12" s="361"/>
      <c r="AS12" s="361"/>
      <c r="AT12" s="361"/>
      <c r="AU12" s="361"/>
      <c r="AV12" s="361"/>
      <c r="AW12" s="361"/>
      <c r="AX12" s="361"/>
      <c r="AY12" s="361"/>
      <c r="AZ12" s="361"/>
      <c r="BA12" s="361"/>
      <c r="BB12" s="361"/>
      <c r="BC12" s="361"/>
      <c r="BD12" s="361"/>
      <c r="BE12" s="361"/>
      <c r="BF12" s="361"/>
      <c r="BG12" s="361"/>
      <c r="BH12" s="361"/>
      <c r="BI12" s="361"/>
      <c r="BJ12" s="361"/>
      <c r="BK12" s="361"/>
      <c r="BL12" s="361"/>
      <c r="BM12" s="361"/>
      <c r="BN12" s="361"/>
      <c r="BO12" s="361"/>
      <c r="BP12" s="361"/>
      <c r="BQ12" s="361"/>
      <c r="BR12" s="361"/>
      <c r="BS12" s="361"/>
      <c r="BT12" s="361"/>
      <c r="BU12" s="361"/>
      <c r="BV12" s="361"/>
      <c r="BW12" s="361"/>
      <c r="BX12" s="361"/>
      <c r="BY12" s="361"/>
      <c r="BZ12" s="361"/>
      <c r="CA12" s="361"/>
      <c r="CB12" s="361"/>
      <c r="CC12" s="361"/>
      <c r="CD12" s="361"/>
      <c r="CE12" s="361"/>
      <c r="CF12" s="361"/>
    </row>
    <row r="13" spans="1:84" ht="20.100000000000001" customHeight="1" thickTop="1" thickBot="1" x14ac:dyDescent="0.25">
      <c r="B13" s="532" t="str">
        <f>PedBerMedIV!AD9</f>
        <v/>
      </c>
      <c r="C13" s="532" t="str">
        <f>PedBerMedIV!AE9</f>
        <v/>
      </c>
      <c r="D13" s="676">
        <v>5</v>
      </c>
      <c r="E13" s="491">
        <f>PedBerMedIV!C9</f>
        <v>1</v>
      </c>
      <c r="F13" s="493" t="str">
        <f>PedBerMedIV!AG9</f>
        <v/>
      </c>
      <c r="G13" s="493" t="str">
        <f>PedBerMedIV!AH9</f>
        <v/>
      </c>
      <c r="H13" s="495"/>
      <c r="I13" s="495" t="str">
        <f>PedBerMedIV!AJ9</f>
        <v/>
      </c>
      <c r="J13" s="495" t="str">
        <f>PedBerMedIV!AK9</f>
        <v/>
      </c>
      <c r="K13" s="495" t="str">
        <f>PedBerMedIV!AL9</f>
        <v/>
      </c>
      <c r="L13" s="495" t="str">
        <f>PedBerMedIV!AM9</f>
        <v/>
      </c>
      <c r="M13" s="495" t="str">
        <f>PedBerMedIV!AN9</f>
        <v/>
      </c>
      <c r="N13" s="495"/>
      <c r="O13" s="357"/>
      <c r="P13" s="357"/>
      <c r="Q13" s="357"/>
      <c r="R13" s="357"/>
      <c r="S13" s="357"/>
      <c r="T13" s="357"/>
      <c r="U13" s="357"/>
      <c r="V13" s="357"/>
      <c r="W13" s="357"/>
      <c r="X13" s="357"/>
      <c r="Y13" s="357"/>
      <c r="Z13" s="357"/>
      <c r="AA13" s="357"/>
      <c r="AC13" s="361"/>
      <c r="AD13" s="490">
        <f>IF(E13&lt;&gt;0,INDEX(Tbl_Ped_MedContIV,PedBerMedIV!$C9,6)*(PedBerMedIV!G9/10))</f>
        <v>0</v>
      </c>
      <c r="AE13" s="490">
        <f t="shared" si="0"/>
        <v>2</v>
      </c>
      <c r="AF13" s="490">
        <f t="shared" si="1"/>
        <v>0</v>
      </c>
      <c r="AH13" s="361"/>
      <c r="AI13" s="361"/>
      <c r="AJ13" s="361"/>
      <c r="AK13" s="361"/>
      <c r="AL13" s="361"/>
      <c r="AM13" s="361"/>
      <c r="AN13" s="361"/>
      <c r="AO13" s="361"/>
      <c r="AP13" s="361"/>
      <c r="AQ13" s="361"/>
      <c r="AR13" s="361"/>
      <c r="AS13" s="361"/>
      <c r="AT13" s="361"/>
      <c r="AU13" s="361"/>
      <c r="AV13" s="361"/>
      <c r="AW13" s="361"/>
      <c r="AX13" s="361"/>
      <c r="AY13" s="361"/>
      <c r="AZ13" s="361"/>
      <c r="BA13" s="361"/>
      <c r="BB13" s="361"/>
      <c r="BC13" s="361"/>
      <c r="BD13" s="361"/>
      <c r="BE13" s="361"/>
      <c r="BF13" s="361"/>
      <c r="BG13" s="361"/>
      <c r="BH13" s="361"/>
      <c r="BI13" s="361"/>
      <c r="BJ13" s="361"/>
      <c r="BK13" s="361"/>
      <c r="BL13" s="361"/>
      <c r="BM13" s="361"/>
      <c r="BN13" s="361"/>
      <c r="BO13" s="361"/>
      <c r="BP13" s="361"/>
      <c r="BQ13" s="361"/>
      <c r="BR13" s="361"/>
      <c r="BS13" s="361"/>
      <c r="BT13" s="361"/>
      <c r="BU13" s="361"/>
      <c r="BV13" s="361"/>
      <c r="BW13" s="361"/>
      <c r="BX13" s="361"/>
      <c r="BY13" s="361"/>
      <c r="BZ13" s="361"/>
      <c r="CA13" s="361"/>
      <c r="CB13" s="361"/>
      <c r="CC13" s="361"/>
      <c r="CD13" s="361"/>
      <c r="CE13" s="361"/>
      <c r="CF13" s="361"/>
    </row>
    <row r="14" spans="1:84" ht="20.100000000000001" customHeight="1" thickTop="1" thickBot="1" x14ac:dyDescent="0.25">
      <c r="B14" s="532" t="str">
        <f>PedBerMedIV!AD10</f>
        <v/>
      </c>
      <c r="C14" s="532" t="str">
        <f>PedBerMedIV!AE10</f>
        <v/>
      </c>
      <c r="D14" s="676">
        <v>6</v>
      </c>
      <c r="E14" s="491">
        <f>PedBerMedIV!C10</f>
        <v>1</v>
      </c>
      <c r="F14" s="493" t="str">
        <f>PedBerMedIV!AG10</f>
        <v/>
      </c>
      <c r="G14" s="493" t="str">
        <f>PedBerMedIV!AH10</f>
        <v/>
      </c>
      <c r="H14" s="495"/>
      <c r="I14" s="495" t="str">
        <f>PedBerMedIV!AJ10</f>
        <v/>
      </c>
      <c r="J14" s="495" t="str">
        <f>PedBerMedIV!AK10</f>
        <v/>
      </c>
      <c r="K14" s="495" t="str">
        <f>PedBerMedIV!AL10</f>
        <v/>
      </c>
      <c r="L14" s="495" t="str">
        <f>PedBerMedIV!AM10</f>
        <v/>
      </c>
      <c r="M14" s="495" t="str">
        <f>PedBerMedIV!AN10</f>
        <v/>
      </c>
      <c r="N14" s="495"/>
      <c r="O14" s="357"/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C14" s="361"/>
      <c r="AD14" s="490">
        <f>IF(E14&lt;&gt;0,INDEX(Tbl_Ped_MedContIV,PedBerMedIV!$C10,6)*(PedBerMedIV!G10/10))</f>
        <v>0</v>
      </c>
      <c r="AE14" s="490">
        <f t="shared" si="0"/>
        <v>2</v>
      </c>
      <c r="AF14" s="490">
        <f t="shared" si="1"/>
        <v>0</v>
      </c>
      <c r="AH14" s="361"/>
      <c r="AI14" s="361"/>
      <c r="AJ14" s="361"/>
      <c r="AK14" s="361"/>
      <c r="AL14" s="361"/>
      <c r="AM14" s="361"/>
      <c r="AN14" s="361"/>
      <c r="AO14" s="361"/>
      <c r="AP14" s="361"/>
      <c r="AQ14" s="361"/>
      <c r="AR14" s="361"/>
      <c r="AS14" s="361"/>
      <c r="AT14" s="361"/>
      <c r="AU14" s="361"/>
      <c r="AV14" s="361"/>
      <c r="AW14" s="361"/>
      <c r="AX14" s="361"/>
      <c r="AY14" s="361"/>
      <c r="AZ14" s="361"/>
      <c r="BA14" s="361"/>
      <c r="BB14" s="361"/>
      <c r="BC14" s="361"/>
      <c r="BD14" s="361"/>
      <c r="BE14" s="361"/>
      <c r="BF14" s="361"/>
      <c r="BG14" s="361"/>
      <c r="BH14" s="361"/>
      <c r="BI14" s="361"/>
      <c r="BJ14" s="361"/>
      <c r="BK14" s="361"/>
      <c r="BL14" s="361"/>
      <c r="BM14" s="361"/>
      <c r="BN14" s="361"/>
      <c r="BO14" s="361"/>
      <c r="BP14" s="361"/>
      <c r="BQ14" s="361"/>
      <c r="BR14" s="361"/>
      <c r="BS14" s="361"/>
      <c r="BT14" s="361"/>
      <c r="BU14" s="361"/>
      <c r="BV14" s="361"/>
      <c r="BW14" s="361"/>
      <c r="BX14" s="361"/>
      <c r="BY14" s="361"/>
      <c r="BZ14" s="361"/>
      <c r="CA14" s="361"/>
      <c r="CB14" s="361"/>
      <c r="CC14" s="361"/>
      <c r="CD14" s="361"/>
      <c r="CE14" s="361"/>
      <c r="CF14" s="361"/>
    </row>
    <row r="15" spans="1:84" ht="20.100000000000001" customHeight="1" thickTop="1" thickBot="1" x14ac:dyDescent="0.25">
      <c r="B15" s="532" t="str">
        <f>PedBerMedIV!AD11</f>
        <v/>
      </c>
      <c r="C15" s="532" t="str">
        <f>PedBerMedIV!AE11</f>
        <v/>
      </c>
      <c r="D15" s="676">
        <v>7</v>
      </c>
      <c r="E15" s="491">
        <f>PedBerMedIV!C11</f>
        <v>1</v>
      </c>
      <c r="F15" s="493" t="str">
        <f>PedBerMedIV!AG11</f>
        <v/>
      </c>
      <c r="G15" s="493" t="str">
        <f>PedBerMedIV!AH11</f>
        <v/>
      </c>
      <c r="H15" s="495"/>
      <c r="I15" s="495" t="str">
        <f>PedBerMedIV!AJ11</f>
        <v/>
      </c>
      <c r="J15" s="495" t="str">
        <f>PedBerMedIV!AK11</f>
        <v/>
      </c>
      <c r="K15" s="495" t="str">
        <f>PedBerMedIV!AL11</f>
        <v/>
      </c>
      <c r="L15" s="495" t="str">
        <f>PedBerMedIV!AM11</f>
        <v/>
      </c>
      <c r="M15" s="495" t="str">
        <f>PedBerMedIV!AN11</f>
        <v/>
      </c>
      <c r="N15" s="495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C15" s="361"/>
      <c r="AD15" s="490">
        <f>IF(E15&lt;&gt;0,INDEX(Tbl_Ped_MedContIV,PedBerMedIV!$C11,6)*(PedBerMedIV!G11/10))</f>
        <v>0</v>
      </c>
      <c r="AE15" s="490">
        <f t="shared" si="0"/>
        <v>2</v>
      </c>
      <c r="AF15" s="490">
        <f t="shared" si="1"/>
        <v>0</v>
      </c>
      <c r="AH15" s="361"/>
      <c r="AI15" s="361"/>
      <c r="AJ15" s="361"/>
      <c r="AK15" s="361"/>
      <c r="AL15" s="361"/>
      <c r="AM15" s="361"/>
      <c r="AN15" s="361"/>
      <c r="AO15" s="361"/>
      <c r="AP15" s="361"/>
      <c r="AQ15" s="361"/>
      <c r="AR15" s="361"/>
      <c r="AS15" s="361"/>
      <c r="AT15" s="361"/>
      <c r="AU15" s="361"/>
      <c r="AV15" s="361"/>
      <c r="AW15" s="361"/>
      <c r="AX15" s="361"/>
      <c r="AY15" s="361"/>
      <c r="AZ15" s="361"/>
      <c r="BA15" s="361"/>
      <c r="BB15" s="361"/>
      <c r="BC15" s="361"/>
      <c r="BD15" s="361"/>
      <c r="BE15" s="361"/>
      <c r="BF15" s="361"/>
      <c r="BG15" s="361"/>
      <c r="BH15" s="361"/>
      <c r="BI15" s="361"/>
      <c r="BJ15" s="361"/>
      <c r="BK15" s="361"/>
      <c r="BL15" s="361"/>
      <c r="BM15" s="361"/>
      <c r="BN15" s="361"/>
      <c r="BO15" s="361"/>
      <c r="BP15" s="361"/>
      <c r="BQ15" s="361"/>
      <c r="BR15" s="361"/>
      <c r="BS15" s="361"/>
      <c r="BT15" s="361"/>
      <c r="BU15" s="361"/>
      <c r="BV15" s="361"/>
      <c r="BW15" s="361"/>
      <c r="BX15" s="361"/>
      <c r="BY15" s="361"/>
      <c r="BZ15" s="361"/>
      <c r="CA15" s="361"/>
      <c r="CB15" s="361"/>
      <c r="CC15" s="361"/>
      <c r="CD15" s="361"/>
      <c r="CE15" s="361"/>
      <c r="CF15" s="361"/>
    </row>
    <row r="16" spans="1:84" ht="20.100000000000001" customHeight="1" thickTop="1" thickBot="1" x14ac:dyDescent="0.25">
      <c r="B16" s="532" t="str">
        <f>PedBerMedIV!AD12</f>
        <v/>
      </c>
      <c r="C16" s="532" t="str">
        <f>PedBerMedIV!AE12</f>
        <v/>
      </c>
      <c r="D16" s="676">
        <v>8</v>
      </c>
      <c r="E16" s="491">
        <f>PedBerMedIV!C12</f>
        <v>1</v>
      </c>
      <c r="F16" s="493" t="str">
        <f>PedBerMedIV!AG12</f>
        <v/>
      </c>
      <c r="G16" s="493" t="str">
        <f>PedBerMedIV!AH12</f>
        <v/>
      </c>
      <c r="H16" s="495"/>
      <c r="I16" s="495" t="str">
        <f>PedBerMedIV!AJ12</f>
        <v/>
      </c>
      <c r="J16" s="495" t="str">
        <f>PedBerMedIV!AK12</f>
        <v/>
      </c>
      <c r="K16" s="495" t="str">
        <f>PedBerMedIV!AL12</f>
        <v/>
      </c>
      <c r="L16" s="495" t="str">
        <f>PedBerMedIV!AM12</f>
        <v/>
      </c>
      <c r="M16" s="495" t="str">
        <f>PedBerMedIV!AN12</f>
        <v/>
      </c>
      <c r="N16" s="495"/>
      <c r="O16" s="357"/>
      <c r="P16" s="357"/>
      <c r="Q16" s="357"/>
      <c r="R16" s="357"/>
      <c r="S16" s="357"/>
      <c r="T16" s="357"/>
      <c r="U16" s="357"/>
      <c r="V16" s="357"/>
      <c r="W16" s="357"/>
      <c r="X16" s="357"/>
      <c r="Y16" s="357"/>
      <c r="Z16" s="357"/>
      <c r="AA16" s="357"/>
      <c r="AC16" s="361"/>
      <c r="AD16" s="490">
        <f>IF(E16&lt;&gt;0,INDEX(Tbl_Ped_MedContIV,PedBerMedIV!$C12,6)*(PedBerMedIV!G12/10))</f>
        <v>0</v>
      </c>
      <c r="AE16" s="490">
        <f t="shared" si="0"/>
        <v>2</v>
      </c>
      <c r="AF16" s="490">
        <f t="shared" si="1"/>
        <v>0</v>
      </c>
      <c r="AH16" s="361"/>
      <c r="AI16" s="361"/>
      <c r="AJ16" s="361"/>
      <c r="AK16" s="361"/>
      <c r="AL16" s="361"/>
      <c r="AM16" s="361"/>
      <c r="AN16" s="361"/>
      <c r="AO16" s="361"/>
      <c r="AP16" s="361"/>
      <c r="AQ16" s="361"/>
      <c r="AR16" s="361"/>
      <c r="AS16" s="361"/>
      <c r="AT16" s="361"/>
      <c r="AU16" s="361"/>
      <c r="AV16" s="361"/>
      <c r="AW16" s="361"/>
      <c r="AX16" s="361"/>
      <c r="AY16" s="361"/>
      <c r="AZ16" s="361"/>
      <c r="BA16" s="361"/>
      <c r="BB16" s="361"/>
      <c r="BC16" s="361"/>
      <c r="BD16" s="361"/>
      <c r="BE16" s="361"/>
      <c r="BF16" s="361"/>
      <c r="BG16" s="361"/>
      <c r="BH16" s="361"/>
      <c r="BI16" s="361"/>
      <c r="BJ16" s="361"/>
      <c r="BK16" s="361"/>
      <c r="BL16" s="361"/>
      <c r="BM16" s="361"/>
      <c r="BN16" s="361"/>
      <c r="BO16" s="361"/>
      <c r="BP16" s="361"/>
      <c r="BQ16" s="361"/>
      <c r="BR16" s="361"/>
      <c r="BS16" s="361"/>
      <c r="BT16" s="361"/>
      <c r="BU16" s="361"/>
      <c r="BV16" s="361"/>
      <c r="BW16" s="361"/>
      <c r="BX16" s="361"/>
      <c r="BY16" s="361"/>
      <c r="BZ16" s="361"/>
      <c r="CA16" s="361"/>
      <c r="CB16" s="361"/>
      <c r="CC16" s="361"/>
      <c r="CD16" s="361"/>
      <c r="CE16" s="361"/>
      <c r="CF16" s="361"/>
    </row>
    <row r="17" spans="2:84" ht="20.100000000000001" customHeight="1" thickTop="1" thickBot="1" x14ac:dyDescent="0.25">
      <c r="B17" s="532" t="str">
        <f>PedBerMedIV!AD13</f>
        <v/>
      </c>
      <c r="C17" s="532" t="str">
        <f>PedBerMedIV!AE13</f>
        <v/>
      </c>
      <c r="D17" s="676">
        <v>9</v>
      </c>
      <c r="E17" s="491">
        <f>PedBerMedIV!C13</f>
        <v>1</v>
      </c>
      <c r="F17" s="493" t="str">
        <f>PedBerMedIV!AG13</f>
        <v/>
      </c>
      <c r="G17" s="493" t="str">
        <f>PedBerMedIV!AH13</f>
        <v/>
      </c>
      <c r="H17" s="495"/>
      <c r="I17" s="495" t="str">
        <f>PedBerMedIV!AJ13</f>
        <v/>
      </c>
      <c r="J17" s="495" t="str">
        <f>PedBerMedIV!AK13</f>
        <v/>
      </c>
      <c r="K17" s="495" t="str">
        <f>PedBerMedIV!AL13</f>
        <v/>
      </c>
      <c r="L17" s="495" t="str">
        <f>PedBerMedIV!AM13</f>
        <v/>
      </c>
      <c r="M17" s="495" t="str">
        <f>PedBerMedIV!AN13</f>
        <v/>
      </c>
      <c r="N17" s="495"/>
      <c r="O17" s="357"/>
      <c r="P17" s="357"/>
      <c r="Q17" s="357"/>
      <c r="R17" s="357"/>
      <c r="S17" s="357"/>
      <c r="T17" s="357"/>
      <c r="U17" s="357"/>
      <c r="V17" s="357"/>
      <c r="W17" s="357"/>
      <c r="X17" s="357"/>
      <c r="Y17" s="357"/>
      <c r="Z17" s="357"/>
      <c r="AA17" s="357"/>
      <c r="AC17" s="361"/>
      <c r="AD17" s="490">
        <f>IF(E17&lt;&gt;0,INDEX(Tbl_Ped_MedContIV,PedBerMedIV!$C13,6)*(PedBerMedIV!G13/10))</f>
        <v>0</v>
      </c>
      <c r="AE17" s="490">
        <f t="shared" si="0"/>
        <v>2</v>
      </c>
      <c r="AF17" s="490">
        <f t="shared" si="1"/>
        <v>0</v>
      </c>
      <c r="AH17" s="361"/>
      <c r="AI17" s="361"/>
      <c r="AJ17" s="361"/>
      <c r="AK17" s="361"/>
      <c r="AL17" s="361"/>
      <c r="AM17" s="361"/>
      <c r="AN17" s="361"/>
      <c r="AO17" s="361"/>
      <c r="AP17" s="361"/>
      <c r="AQ17" s="361"/>
      <c r="AR17" s="361"/>
      <c r="AS17" s="361"/>
      <c r="AT17" s="361"/>
      <c r="AU17" s="361"/>
      <c r="AV17" s="361"/>
      <c r="AW17" s="361"/>
      <c r="AX17" s="361"/>
      <c r="AY17" s="361"/>
      <c r="AZ17" s="361"/>
      <c r="BA17" s="361"/>
      <c r="BB17" s="361"/>
      <c r="BC17" s="361"/>
      <c r="BD17" s="361"/>
      <c r="BE17" s="361"/>
      <c r="BF17" s="361"/>
      <c r="BG17" s="361"/>
      <c r="BH17" s="361"/>
      <c r="BI17" s="361"/>
      <c r="BJ17" s="361"/>
      <c r="BK17" s="361"/>
      <c r="BL17" s="361"/>
      <c r="BM17" s="361"/>
      <c r="BN17" s="361"/>
      <c r="BO17" s="361"/>
      <c r="BP17" s="361"/>
      <c r="BQ17" s="361"/>
      <c r="BR17" s="361"/>
      <c r="BS17" s="361"/>
      <c r="BT17" s="361"/>
      <c r="BU17" s="361"/>
      <c r="BV17" s="361"/>
      <c r="BW17" s="361"/>
      <c r="BX17" s="361"/>
      <c r="BY17" s="361"/>
      <c r="BZ17" s="361"/>
      <c r="CA17" s="361"/>
      <c r="CB17" s="361"/>
      <c r="CC17" s="361"/>
      <c r="CD17" s="361"/>
      <c r="CE17" s="361"/>
      <c r="CF17" s="361"/>
    </row>
    <row r="18" spans="2:84" ht="20.100000000000001" customHeight="1" thickTop="1" thickBot="1" x14ac:dyDescent="0.25">
      <c r="B18" s="532" t="str">
        <f>PedBerMedIV!AD14</f>
        <v/>
      </c>
      <c r="C18" s="532" t="str">
        <f>PedBerMedIV!AE14</f>
        <v/>
      </c>
      <c r="D18" s="676">
        <v>10</v>
      </c>
      <c r="E18" s="491">
        <f>PedBerMedIV!C14</f>
        <v>1</v>
      </c>
      <c r="F18" s="493" t="str">
        <f>PedBerMedIV!AG14</f>
        <v/>
      </c>
      <c r="G18" s="493" t="str">
        <f>PedBerMedIV!AH14</f>
        <v/>
      </c>
      <c r="H18" s="495"/>
      <c r="I18" s="495" t="str">
        <f>PedBerMedIV!AJ14</f>
        <v/>
      </c>
      <c r="J18" s="495" t="str">
        <f>PedBerMedIV!AK14</f>
        <v/>
      </c>
      <c r="K18" s="495" t="str">
        <f>PedBerMedIV!AL14</f>
        <v/>
      </c>
      <c r="L18" s="495" t="str">
        <f>PedBerMedIV!AM14</f>
        <v/>
      </c>
      <c r="M18" s="495" t="str">
        <f>PedBerMedIV!AN14</f>
        <v/>
      </c>
      <c r="N18" s="495"/>
      <c r="O18" s="357"/>
      <c r="P18" s="357"/>
      <c r="Q18" s="357"/>
      <c r="R18" s="357"/>
      <c r="S18" s="357"/>
      <c r="T18" s="357"/>
      <c r="U18" s="357"/>
      <c r="V18" s="357"/>
      <c r="W18" s="357"/>
      <c r="X18" s="357"/>
      <c r="Y18" s="357"/>
      <c r="Z18" s="357"/>
      <c r="AA18" s="357"/>
      <c r="AC18" s="361"/>
      <c r="AD18" s="490">
        <f>IF(E18&lt;&gt;0,INDEX(Tbl_Ped_MedContIV,PedBerMedIV!$C14,6)*(PedBerMedIV!G14/10))</f>
        <v>0</v>
      </c>
      <c r="AE18" s="490">
        <f t="shared" si="0"/>
        <v>2</v>
      </c>
      <c r="AF18" s="490">
        <f t="shared" si="1"/>
        <v>0</v>
      </c>
      <c r="AH18" s="361"/>
      <c r="AI18" s="361"/>
      <c r="AJ18" s="361"/>
      <c r="AK18" s="361"/>
      <c r="AL18" s="361"/>
      <c r="AM18" s="361"/>
      <c r="AN18" s="361"/>
      <c r="AO18" s="361"/>
      <c r="AP18" s="361"/>
      <c r="AQ18" s="361"/>
      <c r="AR18" s="361"/>
      <c r="AS18" s="361"/>
      <c r="AT18" s="361"/>
      <c r="AU18" s="361"/>
      <c r="AV18" s="361"/>
      <c r="AW18" s="361"/>
      <c r="AX18" s="361"/>
      <c r="AY18" s="361"/>
      <c r="AZ18" s="361"/>
      <c r="BA18" s="361"/>
      <c r="BB18" s="361"/>
      <c r="BC18" s="361"/>
      <c r="BD18" s="361"/>
      <c r="BE18" s="361"/>
      <c r="BF18" s="361"/>
      <c r="BG18" s="361"/>
      <c r="BH18" s="361"/>
      <c r="BI18" s="361"/>
      <c r="BJ18" s="361"/>
      <c r="BK18" s="361"/>
      <c r="BL18" s="361"/>
      <c r="BM18" s="361"/>
      <c r="BN18" s="361"/>
      <c r="BO18" s="361"/>
      <c r="BP18" s="361"/>
      <c r="BQ18" s="361"/>
      <c r="BR18" s="361"/>
      <c r="BS18" s="361"/>
      <c r="BT18" s="361"/>
      <c r="BU18" s="361"/>
      <c r="BV18" s="361"/>
      <c r="BW18" s="361"/>
      <c r="BX18" s="361"/>
      <c r="BY18" s="361"/>
      <c r="BZ18" s="361"/>
      <c r="CA18" s="361"/>
      <c r="CB18" s="361"/>
      <c r="CC18" s="361"/>
      <c r="CD18" s="361"/>
      <c r="CE18" s="361"/>
      <c r="CF18" s="361"/>
    </row>
    <row r="19" spans="2:84" ht="20.100000000000001" customHeight="1" thickTop="1" thickBot="1" x14ac:dyDescent="0.25">
      <c r="B19" s="532" t="str">
        <f>PedBerMedIV!AD15</f>
        <v/>
      </c>
      <c r="C19" s="532" t="str">
        <f>PedBerMedIV!AE15</f>
        <v/>
      </c>
      <c r="D19" s="676">
        <v>11</v>
      </c>
      <c r="E19" s="491">
        <f>PedBerMedIV!C15</f>
        <v>1</v>
      </c>
      <c r="F19" s="493" t="str">
        <f>PedBerMedIV!AG15</f>
        <v/>
      </c>
      <c r="G19" s="493" t="str">
        <f>PedBerMedIV!AH15</f>
        <v/>
      </c>
      <c r="H19" s="495"/>
      <c r="I19" s="495" t="str">
        <f>PedBerMedIV!AJ15</f>
        <v/>
      </c>
      <c r="J19" s="495" t="str">
        <f>PedBerMedIV!AK15</f>
        <v/>
      </c>
      <c r="K19" s="495" t="str">
        <f>PedBerMedIV!AL15</f>
        <v/>
      </c>
      <c r="L19" s="495" t="str">
        <f>PedBerMedIV!AM15</f>
        <v/>
      </c>
      <c r="M19" s="495" t="str">
        <f>PedBerMedIV!AN15</f>
        <v/>
      </c>
      <c r="N19" s="495"/>
      <c r="O19" s="357"/>
      <c r="P19" s="357"/>
      <c r="Q19" s="357"/>
      <c r="R19" s="357"/>
      <c r="S19" s="357"/>
      <c r="T19" s="357"/>
      <c r="U19" s="357"/>
      <c r="V19" s="357"/>
      <c r="W19" s="357"/>
      <c r="X19" s="357"/>
      <c r="Y19" s="357"/>
      <c r="Z19" s="357"/>
      <c r="AA19" s="357"/>
      <c r="AC19" s="361"/>
      <c r="AH19" s="361"/>
      <c r="AI19" s="361"/>
      <c r="AJ19" s="361"/>
      <c r="AK19" s="361"/>
      <c r="AL19" s="361"/>
      <c r="AM19" s="361"/>
      <c r="AN19" s="361"/>
      <c r="AO19" s="361"/>
      <c r="AP19" s="361"/>
      <c r="AQ19" s="361"/>
      <c r="AR19" s="361"/>
      <c r="AS19" s="361"/>
      <c r="AT19" s="361"/>
      <c r="AU19" s="361"/>
      <c r="AV19" s="361"/>
      <c r="AW19" s="361"/>
      <c r="AX19" s="361"/>
      <c r="AY19" s="361"/>
      <c r="AZ19" s="361"/>
      <c r="BA19" s="361"/>
      <c r="BB19" s="361"/>
      <c r="BC19" s="361"/>
      <c r="BD19" s="361"/>
      <c r="BE19" s="361"/>
      <c r="BF19" s="361"/>
      <c r="BG19" s="361"/>
      <c r="BH19" s="361"/>
      <c r="BI19" s="361"/>
      <c r="BJ19" s="361"/>
      <c r="BK19" s="361"/>
      <c r="BL19" s="361"/>
      <c r="BM19" s="361"/>
      <c r="BN19" s="361"/>
      <c r="BO19" s="361"/>
      <c r="BP19" s="361"/>
      <c r="BQ19" s="361"/>
      <c r="BR19" s="361"/>
      <c r="BS19" s="361"/>
      <c r="BT19" s="361"/>
      <c r="BU19" s="361"/>
      <c r="BV19" s="361"/>
      <c r="BW19" s="361"/>
      <c r="BX19" s="361"/>
      <c r="BY19" s="361"/>
      <c r="BZ19" s="361"/>
      <c r="CA19" s="361"/>
      <c r="CB19" s="361"/>
      <c r="CC19" s="361"/>
      <c r="CD19" s="361"/>
      <c r="CE19" s="361"/>
      <c r="CF19" s="361"/>
    </row>
    <row r="20" spans="2:84" ht="20.100000000000001" customHeight="1" thickTop="1" thickBot="1" x14ac:dyDescent="0.25">
      <c r="B20" s="532" t="str">
        <f>PedBerMedIV!AD16</f>
        <v/>
      </c>
      <c r="C20" s="532" t="str">
        <f>PedBerMedIV!AE16</f>
        <v/>
      </c>
      <c r="D20" s="676">
        <v>12</v>
      </c>
      <c r="E20" s="491">
        <f>PedBerMedIV!C16</f>
        <v>1</v>
      </c>
      <c r="F20" s="493" t="str">
        <f>PedBerMedIV!AG16</f>
        <v/>
      </c>
      <c r="G20" s="493" t="str">
        <f>PedBerMedIV!AH16</f>
        <v/>
      </c>
      <c r="H20" s="495"/>
      <c r="I20" s="495" t="str">
        <f>PedBerMedIV!AJ16</f>
        <v/>
      </c>
      <c r="J20" s="495" t="str">
        <f>PedBerMedIV!AK16</f>
        <v/>
      </c>
      <c r="K20" s="495" t="str">
        <f>PedBerMedIV!AL16</f>
        <v/>
      </c>
      <c r="L20" s="495" t="str">
        <f>PedBerMedIV!AM16</f>
        <v/>
      </c>
      <c r="M20" s="495" t="str">
        <f>PedBerMedIV!AN16</f>
        <v/>
      </c>
      <c r="N20" s="495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C20" s="361"/>
      <c r="AH20" s="361"/>
      <c r="AI20" s="361"/>
      <c r="AJ20" s="361"/>
      <c r="AK20" s="361"/>
      <c r="AL20" s="361"/>
      <c r="AM20" s="361"/>
      <c r="AN20" s="361"/>
      <c r="AO20" s="361"/>
      <c r="AP20" s="361"/>
      <c r="AQ20" s="361"/>
      <c r="AR20" s="361"/>
      <c r="AS20" s="361"/>
      <c r="AT20" s="361"/>
      <c r="AU20" s="361"/>
      <c r="AV20" s="361"/>
      <c r="AW20" s="361"/>
      <c r="AX20" s="361"/>
      <c r="AY20" s="361"/>
      <c r="AZ20" s="361"/>
      <c r="BA20" s="361"/>
      <c r="BB20" s="361"/>
      <c r="BC20" s="361"/>
      <c r="BD20" s="361"/>
      <c r="BE20" s="361"/>
      <c r="BF20" s="361"/>
      <c r="BG20" s="361"/>
      <c r="BH20" s="361"/>
      <c r="BI20" s="361"/>
      <c r="BJ20" s="361"/>
      <c r="BK20" s="361"/>
      <c r="BL20" s="361"/>
      <c r="BM20" s="361"/>
      <c r="BN20" s="361"/>
      <c r="BO20" s="361"/>
      <c r="BP20" s="361"/>
      <c r="BQ20" s="361"/>
      <c r="BR20" s="361"/>
      <c r="BS20" s="361"/>
      <c r="BT20" s="361"/>
      <c r="BU20" s="361"/>
      <c r="BV20" s="361"/>
      <c r="BW20" s="361"/>
      <c r="BX20" s="361"/>
      <c r="BY20" s="361"/>
      <c r="BZ20" s="361"/>
      <c r="CA20" s="361"/>
      <c r="CB20" s="361"/>
      <c r="CC20" s="361"/>
      <c r="CD20" s="361"/>
      <c r="CE20" s="361"/>
      <c r="CF20" s="361"/>
    </row>
    <row r="21" spans="2:84" ht="20.100000000000001" customHeight="1" thickTop="1" thickBot="1" x14ac:dyDescent="0.25">
      <c r="B21" s="532" t="str">
        <f>PedBerMedIV!AD17</f>
        <v/>
      </c>
      <c r="C21" s="532" t="str">
        <f>PedBerMedIV!AE17</f>
        <v/>
      </c>
      <c r="D21" s="676">
        <v>13</v>
      </c>
      <c r="E21" s="491">
        <f>PedBerMedIV!C17</f>
        <v>1</v>
      </c>
      <c r="F21" s="493" t="str">
        <f>PedBerMedIV!AG17</f>
        <v/>
      </c>
      <c r="G21" s="493" t="str">
        <f>PedBerMedIV!AH17</f>
        <v/>
      </c>
      <c r="H21" s="495"/>
      <c r="I21" s="495" t="str">
        <f>PedBerMedIV!AJ17</f>
        <v/>
      </c>
      <c r="J21" s="495" t="str">
        <f>PedBerMedIV!AK17</f>
        <v/>
      </c>
      <c r="K21" s="495" t="str">
        <f>PedBerMedIV!AL17</f>
        <v/>
      </c>
      <c r="L21" s="495" t="str">
        <f>PedBerMedIV!AM17</f>
        <v/>
      </c>
      <c r="M21" s="495" t="str">
        <f>PedBerMedIV!AN17</f>
        <v/>
      </c>
      <c r="N21" s="495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C21" s="361"/>
      <c r="AH21" s="361"/>
      <c r="AI21" s="361"/>
      <c r="AJ21" s="361"/>
      <c r="AK21" s="361"/>
      <c r="AL21" s="361"/>
      <c r="AM21" s="361"/>
      <c r="AN21" s="361"/>
      <c r="AO21" s="361"/>
      <c r="AP21" s="361"/>
      <c r="AQ21" s="361"/>
      <c r="AR21" s="361"/>
      <c r="AS21" s="361"/>
      <c r="AT21" s="361"/>
      <c r="AU21" s="361"/>
      <c r="AV21" s="361"/>
      <c r="AW21" s="361"/>
      <c r="AX21" s="361"/>
      <c r="AY21" s="361"/>
      <c r="AZ21" s="361"/>
      <c r="BA21" s="361"/>
      <c r="BB21" s="361"/>
      <c r="BC21" s="361"/>
      <c r="BD21" s="361"/>
      <c r="BE21" s="361"/>
      <c r="BF21" s="361"/>
      <c r="BG21" s="361"/>
      <c r="BH21" s="361"/>
      <c r="BI21" s="361"/>
      <c r="BJ21" s="361"/>
      <c r="BK21" s="361"/>
      <c r="BL21" s="361"/>
      <c r="BM21" s="361"/>
      <c r="BN21" s="361"/>
      <c r="BO21" s="361"/>
      <c r="BP21" s="361"/>
      <c r="BQ21" s="361"/>
      <c r="BR21" s="361"/>
      <c r="BS21" s="361"/>
      <c r="BT21" s="361"/>
      <c r="BU21" s="361"/>
      <c r="BV21" s="361"/>
      <c r="BW21" s="361"/>
      <c r="BX21" s="361"/>
      <c r="BY21" s="361"/>
      <c r="BZ21" s="361"/>
      <c r="CA21" s="361"/>
      <c r="CB21" s="361"/>
      <c r="CC21" s="361"/>
      <c r="CD21" s="361"/>
      <c r="CE21" s="361"/>
      <c r="CF21" s="361"/>
    </row>
    <row r="22" spans="2:84" ht="20.100000000000001" customHeight="1" thickTop="1" thickBot="1" x14ac:dyDescent="0.25">
      <c r="B22" s="532" t="str">
        <f>PedBerMedIV!AD18</f>
        <v/>
      </c>
      <c r="C22" s="532" t="str">
        <f>PedBerMedIV!AE18</f>
        <v/>
      </c>
      <c r="D22" s="676">
        <v>14</v>
      </c>
      <c r="E22" s="491">
        <f>PedBerMedIV!C18</f>
        <v>1</v>
      </c>
      <c r="F22" s="493" t="str">
        <f>PedBerMedIV!AG18</f>
        <v/>
      </c>
      <c r="G22" s="493" t="str">
        <f>PedBerMedIV!AH18</f>
        <v/>
      </c>
      <c r="H22" s="495"/>
      <c r="I22" s="495" t="str">
        <f>PedBerMedIV!AJ18</f>
        <v/>
      </c>
      <c r="J22" s="495" t="str">
        <f>PedBerMedIV!AK18</f>
        <v/>
      </c>
      <c r="K22" s="495" t="str">
        <f>PedBerMedIV!AL18</f>
        <v/>
      </c>
      <c r="L22" s="495" t="str">
        <f>PedBerMedIV!AM18</f>
        <v/>
      </c>
      <c r="M22" s="495" t="str">
        <f>PedBerMedIV!AN18</f>
        <v/>
      </c>
      <c r="N22" s="495"/>
      <c r="O22" s="357"/>
      <c r="P22" s="357"/>
      <c r="Q22" s="357"/>
      <c r="R22" s="357"/>
      <c r="S22" s="357"/>
      <c r="T22" s="357"/>
      <c r="U22" s="357"/>
      <c r="V22" s="357"/>
      <c r="W22" s="357"/>
      <c r="X22" s="357"/>
      <c r="Y22" s="357"/>
      <c r="Z22" s="357"/>
      <c r="AA22" s="357"/>
      <c r="AC22" s="361"/>
      <c r="AH22" s="361"/>
      <c r="AI22" s="361"/>
      <c r="AJ22" s="361"/>
      <c r="AK22" s="361"/>
      <c r="AL22" s="361"/>
      <c r="AM22" s="361"/>
      <c r="AN22" s="361"/>
      <c r="AO22" s="361"/>
      <c r="AP22" s="361"/>
      <c r="AQ22" s="361"/>
      <c r="AR22" s="361"/>
      <c r="AS22" s="361"/>
      <c r="AT22" s="361"/>
      <c r="AU22" s="361"/>
      <c r="AV22" s="361"/>
      <c r="AW22" s="361"/>
      <c r="AX22" s="361"/>
      <c r="AY22" s="361"/>
      <c r="AZ22" s="361"/>
      <c r="BA22" s="361"/>
      <c r="BB22" s="361"/>
      <c r="BC22" s="361"/>
      <c r="BD22" s="361"/>
      <c r="BE22" s="361"/>
      <c r="BF22" s="361"/>
      <c r="BG22" s="361"/>
      <c r="BH22" s="361"/>
      <c r="BI22" s="361"/>
      <c r="BJ22" s="361"/>
      <c r="BK22" s="361"/>
      <c r="BL22" s="361"/>
      <c r="BM22" s="361"/>
      <c r="BN22" s="361"/>
      <c r="BO22" s="361"/>
      <c r="BP22" s="361"/>
      <c r="BQ22" s="361"/>
      <c r="BR22" s="361"/>
      <c r="BS22" s="361"/>
      <c r="BT22" s="361"/>
      <c r="BU22" s="361"/>
      <c r="BV22" s="361"/>
      <c r="BW22" s="361"/>
      <c r="BX22" s="361"/>
      <c r="BY22" s="361"/>
      <c r="BZ22" s="361"/>
      <c r="CA22" s="361"/>
      <c r="CB22" s="361"/>
      <c r="CC22" s="361"/>
      <c r="CD22" s="361"/>
      <c r="CE22" s="361"/>
      <c r="CF22" s="361"/>
    </row>
    <row r="23" spans="2:84" ht="20.100000000000001" customHeight="1" thickTop="1" thickBot="1" x14ac:dyDescent="0.25">
      <c r="B23" s="532" t="str">
        <f>PedBerMedIV!AD19</f>
        <v/>
      </c>
      <c r="C23" s="532" t="str">
        <f>PedBerMedIV!AE19</f>
        <v/>
      </c>
      <c r="D23" s="676">
        <v>15</v>
      </c>
      <c r="E23" s="492">
        <f>PedBerMedIV!C19</f>
        <v>1</v>
      </c>
      <c r="F23" s="494" t="str">
        <f>PedBerMedIV!AG19</f>
        <v/>
      </c>
      <c r="G23" s="494" t="str">
        <f>PedBerMedIV!AH19</f>
        <v/>
      </c>
      <c r="H23" s="480"/>
      <c r="I23" s="480" t="str">
        <f>PedBerMedIV!AJ19</f>
        <v/>
      </c>
      <c r="J23" s="480" t="str">
        <f>PedBerMedIV!AK19</f>
        <v/>
      </c>
      <c r="K23" s="480" t="str">
        <f>PedBerMedIV!AL19</f>
        <v/>
      </c>
      <c r="L23" s="480" t="str">
        <f>PedBerMedIV!AM19</f>
        <v/>
      </c>
      <c r="M23" s="480" t="str">
        <f>PedBerMedIV!AN19</f>
        <v/>
      </c>
      <c r="N23" s="480"/>
      <c r="O23" s="357"/>
      <c r="P23" s="357"/>
      <c r="Q23" s="357"/>
      <c r="R23" s="357"/>
      <c r="S23" s="357"/>
      <c r="T23" s="357"/>
      <c r="U23" s="357"/>
      <c r="V23" s="357"/>
      <c r="W23" s="357"/>
      <c r="X23" s="357"/>
      <c r="Y23" s="357"/>
      <c r="Z23" s="357"/>
      <c r="AA23" s="357"/>
      <c r="AC23" s="361"/>
      <c r="AH23" s="361"/>
      <c r="AI23" s="361"/>
      <c r="AJ23" s="361"/>
      <c r="AK23" s="361"/>
      <c r="AL23" s="361"/>
      <c r="AM23" s="361"/>
      <c r="AN23" s="361"/>
      <c r="AO23" s="361"/>
      <c r="AP23" s="361"/>
      <c r="AQ23" s="361"/>
      <c r="AR23" s="361"/>
      <c r="AS23" s="361"/>
      <c r="AT23" s="361"/>
      <c r="AU23" s="361"/>
      <c r="AV23" s="361"/>
      <c r="AW23" s="361"/>
      <c r="AX23" s="361"/>
      <c r="AY23" s="361"/>
      <c r="AZ23" s="361"/>
      <c r="BA23" s="361"/>
      <c r="BB23" s="361"/>
      <c r="BC23" s="361"/>
      <c r="BD23" s="361"/>
      <c r="BE23" s="361"/>
      <c r="BF23" s="361"/>
      <c r="BG23" s="361"/>
      <c r="BH23" s="361"/>
      <c r="BI23" s="361"/>
      <c r="BJ23" s="361"/>
      <c r="BK23" s="361"/>
      <c r="BL23" s="361"/>
      <c r="BM23" s="361"/>
      <c r="BN23" s="361"/>
      <c r="BO23" s="361"/>
      <c r="BP23" s="361"/>
      <c r="BQ23" s="361"/>
      <c r="BR23" s="361"/>
      <c r="BS23" s="361"/>
      <c r="BT23" s="361"/>
      <c r="BU23" s="361"/>
      <c r="BV23" s="361"/>
      <c r="BW23" s="361"/>
      <c r="BX23" s="361"/>
      <c r="BY23" s="361"/>
      <c r="BZ23" s="361"/>
      <c r="CA23" s="361"/>
      <c r="CB23" s="361"/>
      <c r="CC23" s="361"/>
      <c r="CD23" s="361"/>
      <c r="CE23" s="361"/>
      <c r="CF23" s="361"/>
    </row>
    <row r="24" spans="2:84" ht="20.100000000000001" customHeight="1" thickTop="1" x14ac:dyDescent="0.2">
      <c r="B24" s="533"/>
      <c r="C24" s="533"/>
      <c r="D24" s="363"/>
      <c r="E24" s="364"/>
      <c r="F24" s="364"/>
      <c r="G24" s="354"/>
      <c r="H24" s="354"/>
      <c r="I24" s="354"/>
      <c r="J24" s="354"/>
      <c r="K24" s="354"/>
      <c r="L24" s="357"/>
      <c r="M24" s="365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C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1"/>
      <c r="BC24" s="361"/>
      <c r="BD24" s="361"/>
      <c r="BE24" s="361"/>
      <c r="BF24" s="361"/>
      <c r="BG24" s="361"/>
      <c r="BH24" s="361"/>
      <c r="BI24" s="361"/>
      <c r="BJ24" s="361"/>
      <c r="BK24" s="361"/>
      <c r="BL24" s="361"/>
      <c r="BM24" s="361"/>
      <c r="BN24" s="361"/>
      <c r="BO24" s="361"/>
      <c r="BP24" s="361"/>
      <c r="BQ24" s="361"/>
      <c r="BR24" s="361"/>
      <c r="BS24" s="361"/>
      <c r="BT24" s="361"/>
      <c r="BU24" s="361"/>
      <c r="BV24" s="361"/>
      <c r="BW24" s="361"/>
      <c r="BX24" s="361"/>
      <c r="BY24" s="361"/>
      <c r="BZ24" s="361"/>
      <c r="CA24" s="361"/>
      <c r="CB24" s="361"/>
      <c r="CC24" s="361"/>
      <c r="CD24" s="361"/>
      <c r="CE24" s="361"/>
      <c r="CF24" s="361"/>
    </row>
    <row r="25" spans="2:84" ht="20.100000000000001" customHeight="1" thickBot="1" x14ac:dyDescent="0.25">
      <c r="B25" s="532" t="str">
        <f>PedBerMedIV!AD21</f>
        <v/>
      </c>
      <c r="C25" s="533"/>
      <c r="D25" s="676">
        <v>16</v>
      </c>
      <c r="E25" s="538" t="str">
        <f>PedBerMedIV!AF21</f>
        <v/>
      </c>
      <c r="F25" s="538">
        <f>PedBerMedIV!AG21</f>
        <v>0</v>
      </c>
      <c r="G25" s="506" t="str">
        <f>PedBerMedIV!AH21</f>
        <v/>
      </c>
      <c r="H25" s="506"/>
      <c r="I25" s="506" t="str">
        <f>PedBerMedIV!AJ21</f>
        <v/>
      </c>
      <c r="J25" s="506" t="str">
        <f>PedBerMedIV!AK21</f>
        <v/>
      </c>
      <c r="K25" s="506"/>
      <c r="L25" s="506" t="str">
        <f>IF(PedBerMedIV!M21&lt;&gt;0,PedBerMedIV!M21&amp;" ml","")</f>
        <v/>
      </c>
      <c r="M25" s="506"/>
      <c r="N25" s="506"/>
      <c r="O25" s="357"/>
      <c r="P25" s="357"/>
      <c r="Q25" s="357"/>
      <c r="R25" s="357"/>
      <c r="S25" s="357"/>
      <c r="T25" s="357"/>
      <c r="U25" s="357"/>
      <c r="V25" s="357"/>
      <c r="W25" s="357"/>
      <c r="X25" s="357"/>
      <c r="Y25" s="357"/>
      <c r="Z25" s="357"/>
      <c r="AA25" s="357"/>
      <c r="AC25" s="361"/>
      <c r="AD25" s="361"/>
      <c r="AE25" s="361"/>
      <c r="AF25" s="361"/>
      <c r="AG25" s="361"/>
      <c r="AH25" s="361"/>
      <c r="AI25" s="361"/>
      <c r="AJ25" s="361"/>
      <c r="AK25" s="361"/>
      <c r="AL25" s="361"/>
      <c r="AM25" s="361"/>
      <c r="AN25" s="361"/>
      <c r="AO25" s="361"/>
      <c r="AP25" s="361"/>
      <c r="AQ25" s="361"/>
      <c r="AR25" s="361"/>
      <c r="AS25" s="361"/>
      <c r="AT25" s="361"/>
      <c r="AU25" s="361"/>
      <c r="AV25" s="361"/>
      <c r="AW25" s="361"/>
      <c r="AX25" s="361"/>
      <c r="AY25" s="361"/>
      <c r="AZ25" s="361"/>
      <c r="BA25" s="361"/>
      <c r="BB25" s="361"/>
      <c r="BC25" s="361"/>
      <c r="BD25" s="361"/>
      <c r="BE25" s="361"/>
      <c r="BF25" s="361"/>
      <c r="BG25" s="361"/>
      <c r="BH25" s="361"/>
      <c r="BI25" s="361"/>
      <c r="BJ25" s="361"/>
      <c r="BK25" s="361"/>
      <c r="BL25" s="361"/>
      <c r="BM25" s="361"/>
      <c r="BN25" s="361"/>
      <c r="BO25" s="361"/>
      <c r="BP25" s="361"/>
      <c r="BQ25" s="361"/>
      <c r="BR25" s="361"/>
      <c r="BS25" s="361"/>
      <c r="BT25" s="361"/>
      <c r="BU25" s="361"/>
      <c r="BV25" s="361"/>
      <c r="BW25" s="361"/>
      <c r="BX25" s="361"/>
      <c r="BY25" s="361"/>
      <c r="BZ25" s="361"/>
      <c r="CA25" s="361"/>
      <c r="CB25" s="361"/>
      <c r="CC25" s="361"/>
      <c r="CD25" s="361"/>
      <c r="CE25" s="361"/>
      <c r="CF25" s="361"/>
    </row>
    <row r="26" spans="2:84" ht="20.100000000000001" customHeight="1" thickTop="1" thickBot="1" x14ac:dyDescent="0.25">
      <c r="B26" s="532" t="str">
        <f>PedBerMedIV!AD22</f>
        <v/>
      </c>
      <c r="C26" s="533"/>
      <c r="D26" s="676">
        <v>17</v>
      </c>
      <c r="E26" s="496" t="str">
        <f>PedBerMedIV!AF22</f>
        <v/>
      </c>
      <c r="F26" s="496">
        <f>PedBerMedIV!AG22</f>
        <v>0</v>
      </c>
      <c r="G26" s="495" t="str">
        <f>PedBerMedIV!AH22</f>
        <v/>
      </c>
      <c r="H26" s="495"/>
      <c r="I26" s="495" t="str">
        <f>PedBerMedIV!AJ22</f>
        <v/>
      </c>
      <c r="J26" s="495" t="str">
        <f>PedBerMedIV!AK22</f>
        <v/>
      </c>
      <c r="K26" s="495"/>
      <c r="L26" s="495" t="str">
        <f>IF(PedBerMedIV!M22&lt;&gt;0,PedBerMedIV!M22&amp;" ml","")</f>
        <v/>
      </c>
      <c r="M26" s="495"/>
      <c r="N26" s="495"/>
      <c r="O26" s="357"/>
      <c r="P26" s="357"/>
      <c r="Q26" s="357"/>
      <c r="R26" s="357"/>
      <c r="S26" s="357"/>
      <c r="T26" s="357"/>
      <c r="U26" s="357"/>
      <c r="V26" s="357"/>
      <c r="W26" s="357"/>
      <c r="X26" s="357"/>
      <c r="Y26" s="357"/>
      <c r="Z26" s="357"/>
      <c r="AA26" s="357"/>
      <c r="AC26" s="361"/>
      <c r="AD26" s="361"/>
      <c r="AE26" s="361"/>
      <c r="AF26" s="361"/>
      <c r="AG26" s="361"/>
      <c r="AH26" s="361"/>
      <c r="AI26" s="361"/>
      <c r="AJ26" s="361"/>
      <c r="AK26" s="361"/>
      <c r="AL26" s="361"/>
      <c r="AM26" s="361"/>
      <c r="AN26" s="361"/>
      <c r="AO26" s="361"/>
      <c r="AP26" s="361"/>
      <c r="AQ26" s="361"/>
      <c r="AR26" s="361"/>
      <c r="AS26" s="361"/>
      <c r="AT26" s="361"/>
      <c r="AU26" s="361"/>
      <c r="AV26" s="361"/>
      <c r="AW26" s="361"/>
      <c r="AX26" s="361"/>
      <c r="AY26" s="361"/>
      <c r="AZ26" s="361"/>
      <c r="BA26" s="361"/>
      <c r="BB26" s="361"/>
      <c r="BC26" s="361"/>
      <c r="BD26" s="361"/>
      <c r="BE26" s="361"/>
      <c r="BF26" s="361"/>
      <c r="BG26" s="361"/>
      <c r="BH26" s="361"/>
      <c r="BI26" s="361"/>
      <c r="BJ26" s="361"/>
      <c r="BK26" s="361"/>
      <c r="BL26" s="361"/>
      <c r="BM26" s="361"/>
      <c r="BN26" s="361"/>
      <c r="BO26" s="361"/>
      <c r="BP26" s="361"/>
      <c r="BQ26" s="361"/>
      <c r="BR26" s="361"/>
      <c r="BS26" s="361"/>
      <c r="BT26" s="361"/>
      <c r="BU26" s="361"/>
      <c r="BV26" s="361"/>
      <c r="BW26" s="361"/>
      <c r="BX26" s="361"/>
      <c r="BY26" s="361"/>
      <c r="BZ26" s="361"/>
      <c r="CA26" s="361"/>
      <c r="CB26" s="361"/>
      <c r="CC26" s="361"/>
      <c r="CD26" s="361"/>
      <c r="CE26" s="361"/>
      <c r="CF26" s="361"/>
    </row>
    <row r="27" spans="2:84" ht="20.100000000000001" customHeight="1" thickTop="1" thickBot="1" x14ac:dyDescent="0.25">
      <c r="B27" s="532" t="str">
        <f>PedBerMedIV!AD23</f>
        <v/>
      </c>
      <c r="C27" s="533"/>
      <c r="D27" s="676">
        <v>18</v>
      </c>
      <c r="E27" s="496" t="str">
        <f>PedBerMedIV!AF23</f>
        <v/>
      </c>
      <c r="F27" s="496">
        <f>PedBerMedIV!AG23</f>
        <v>0</v>
      </c>
      <c r="G27" s="495" t="str">
        <f>PedBerMedIV!AH23</f>
        <v/>
      </c>
      <c r="H27" s="495"/>
      <c r="I27" s="495" t="str">
        <f>PedBerMedIV!AJ23</f>
        <v/>
      </c>
      <c r="J27" s="495" t="str">
        <f>PedBerMedIV!AK23</f>
        <v/>
      </c>
      <c r="K27" s="495"/>
      <c r="L27" s="495" t="str">
        <f>IF(PedBerMedIV!M23&lt;&gt;0,PedBerMedIV!M23&amp;" ml","")</f>
        <v/>
      </c>
      <c r="M27" s="495"/>
      <c r="N27" s="495"/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C27" s="361"/>
      <c r="AD27" s="361"/>
      <c r="AE27" s="361"/>
      <c r="AF27" s="361"/>
      <c r="AG27" s="361"/>
      <c r="AH27" s="361"/>
      <c r="AI27" s="361"/>
      <c r="AJ27" s="361"/>
      <c r="AK27" s="361"/>
      <c r="AL27" s="361"/>
      <c r="AM27" s="361"/>
      <c r="AN27" s="361"/>
      <c r="AO27" s="361"/>
      <c r="AP27" s="361"/>
      <c r="AQ27" s="361"/>
      <c r="AR27" s="361"/>
      <c r="AS27" s="361"/>
      <c r="AT27" s="361"/>
      <c r="AU27" s="361"/>
      <c r="AV27" s="361"/>
      <c r="AW27" s="361"/>
      <c r="AX27" s="361"/>
      <c r="AY27" s="361"/>
      <c r="AZ27" s="361"/>
      <c r="BA27" s="361"/>
      <c r="BB27" s="361"/>
      <c r="BC27" s="361"/>
      <c r="BD27" s="361"/>
      <c r="BE27" s="361"/>
      <c r="BF27" s="361"/>
      <c r="BG27" s="361"/>
      <c r="BH27" s="361"/>
      <c r="BI27" s="361"/>
      <c r="BJ27" s="361"/>
      <c r="BK27" s="361"/>
      <c r="BL27" s="361"/>
      <c r="BM27" s="361"/>
      <c r="BN27" s="361"/>
      <c r="BO27" s="361"/>
      <c r="BP27" s="361"/>
      <c r="BQ27" s="361"/>
      <c r="BR27" s="361"/>
      <c r="BS27" s="361"/>
      <c r="BT27" s="361"/>
      <c r="BU27" s="361"/>
      <c r="BV27" s="361"/>
      <c r="BW27" s="361"/>
      <c r="BX27" s="361"/>
      <c r="BY27" s="361"/>
      <c r="BZ27" s="361"/>
      <c r="CA27" s="361"/>
      <c r="CB27" s="361"/>
      <c r="CC27" s="361"/>
      <c r="CD27" s="361"/>
      <c r="CE27" s="361"/>
      <c r="CF27" s="361"/>
    </row>
    <row r="28" spans="2:84" ht="20.100000000000001" customHeight="1" thickTop="1" thickBot="1" x14ac:dyDescent="0.25">
      <c r="B28" s="532" t="str">
        <f>PedBerMedIV!AD24</f>
        <v/>
      </c>
      <c r="C28" s="533"/>
      <c r="D28" s="676">
        <v>19</v>
      </c>
      <c r="E28" s="496" t="str">
        <f>PedBerMedIV!AF24</f>
        <v/>
      </c>
      <c r="F28" s="496">
        <f>PedBerMedIV!AG24</f>
        <v>0</v>
      </c>
      <c r="G28" s="495" t="str">
        <f>PedBerMedIV!AH24</f>
        <v/>
      </c>
      <c r="H28" s="495"/>
      <c r="I28" s="495" t="str">
        <f>PedBerMedIV!AJ24</f>
        <v/>
      </c>
      <c r="J28" s="495" t="str">
        <f>PedBerMedIV!AK24</f>
        <v/>
      </c>
      <c r="K28" s="495"/>
      <c r="L28" s="495" t="str">
        <f>IF(PedBerMedIV!M24&lt;&gt;0,PedBerMedIV!M24&amp;" ml","")</f>
        <v/>
      </c>
      <c r="M28" s="495"/>
      <c r="N28" s="495"/>
      <c r="O28" s="357"/>
      <c r="P28" s="357"/>
      <c r="Q28" s="357"/>
      <c r="R28" s="357"/>
      <c r="S28" s="357"/>
      <c r="T28" s="357"/>
      <c r="U28" s="357"/>
      <c r="V28" s="357"/>
      <c r="W28" s="357"/>
      <c r="X28" s="357"/>
      <c r="Y28" s="357"/>
      <c r="Z28" s="357"/>
      <c r="AA28" s="357"/>
      <c r="AC28" s="361"/>
      <c r="AD28" s="361"/>
      <c r="AE28" s="361"/>
      <c r="AF28" s="361"/>
      <c r="AG28" s="361"/>
      <c r="AH28" s="361"/>
      <c r="AI28" s="361"/>
      <c r="AJ28" s="361"/>
      <c r="AK28" s="361"/>
      <c r="AL28" s="361"/>
      <c r="AM28" s="361"/>
      <c r="AN28" s="361"/>
      <c r="AO28" s="361"/>
      <c r="AP28" s="361"/>
      <c r="AQ28" s="361"/>
      <c r="AR28" s="361"/>
      <c r="AS28" s="361"/>
      <c r="AT28" s="361"/>
      <c r="AU28" s="361"/>
      <c r="AV28" s="361"/>
      <c r="AW28" s="361"/>
      <c r="AX28" s="361"/>
      <c r="AY28" s="361"/>
      <c r="AZ28" s="361"/>
      <c r="BA28" s="361"/>
      <c r="BB28" s="361"/>
      <c r="BC28" s="361"/>
      <c r="BD28" s="361"/>
      <c r="BE28" s="361"/>
      <c r="BF28" s="361"/>
      <c r="BG28" s="361"/>
      <c r="BH28" s="361"/>
      <c r="BI28" s="361"/>
      <c r="BJ28" s="361"/>
      <c r="BK28" s="361"/>
      <c r="BL28" s="361"/>
      <c r="BM28" s="361"/>
      <c r="BN28" s="361"/>
      <c r="BO28" s="361"/>
      <c r="BP28" s="361"/>
      <c r="BQ28" s="361"/>
      <c r="BR28" s="361"/>
      <c r="BS28" s="361"/>
      <c r="BT28" s="361"/>
      <c r="BU28" s="361"/>
      <c r="BV28" s="361"/>
      <c r="BW28" s="361"/>
      <c r="BX28" s="361"/>
      <c r="BY28" s="361"/>
      <c r="BZ28" s="361"/>
      <c r="CA28" s="361"/>
      <c r="CB28" s="361"/>
      <c r="CC28" s="361"/>
      <c r="CD28" s="361"/>
      <c r="CE28" s="361"/>
      <c r="CF28" s="361"/>
    </row>
    <row r="29" spans="2:84" ht="20.100000000000001" customHeight="1" thickTop="1" thickBot="1" x14ac:dyDescent="0.25">
      <c r="B29" s="532" t="str">
        <f>PedBerMedIV!AD25</f>
        <v/>
      </c>
      <c r="C29" s="533"/>
      <c r="D29" s="676">
        <v>20</v>
      </c>
      <c r="E29" s="497" t="str">
        <f>PedBerMedIV!AF25</f>
        <v/>
      </c>
      <c r="F29" s="497">
        <f>PedBerMedIV!AG25</f>
        <v>0</v>
      </c>
      <c r="G29" s="480" t="str">
        <f>PedBerMedIV!AH25</f>
        <v/>
      </c>
      <c r="H29" s="480"/>
      <c r="I29" s="480" t="str">
        <f>PedBerMedIV!AJ25</f>
        <v/>
      </c>
      <c r="J29" s="480" t="str">
        <f>PedBerMedIV!AK25</f>
        <v/>
      </c>
      <c r="K29" s="480"/>
      <c r="L29" s="480" t="str">
        <f>IF(PedBerMedIV!M25&lt;&gt;0,PedBerMedIV!M25&amp;" ml","")</f>
        <v/>
      </c>
      <c r="M29" s="480"/>
      <c r="N29" s="480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C29" s="361"/>
      <c r="AD29" s="361"/>
      <c r="AE29" s="361"/>
      <c r="AF29" s="361"/>
      <c r="AG29" s="361"/>
      <c r="AH29" s="361"/>
      <c r="AI29" s="361"/>
      <c r="AJ29" s="361"/>
      <c r="AK29" s="361"/>
      <c r="AL29" s="361"/>
      <c r="AM29" s="361"/>
      <c r="AN29" s="361"/>
      <c r="AO29" s="361"/>
      <c r="AP29" s="361"/>
      <c r="AQ29" s="361"/>
      <c r="AR29" s="361"/>
      <c r="AS29" s="361"/>
      <c r="AT29" s="361"/>
      <c r="AU29" s="361"/>
      <c r="AV29" s="361"/>
      <c r="AW29" s="361"/>
      <c r="AX29" s="361"/>
      <c r="AY29" s="361"/>
      <c r="AZ29" s="361"/>
      <c r="BA29" s="361"/>
      <c r="BB29" s="361"/>
      <c r="BC29" s="361"/>
      <c r="BD29" s="361"/>
      <c r="BE29" s="361"/>
      <c r="BF29" s="361"/>
      <c r="BG29" s="361"/>
      <c r="BH29" s="361"/>
      <c r="BI29" s="361"/>
      <c r="BJ29" s="361"/>
      <c r="BK29" s="361"/>
      <c r="BL29" s="361"/>
      <c r="BM29" s="361"/>
      <c r="BN29" s="361"/>
      <c r="BO29" s="361"/>
      <c r="BP29" s="361"/>
      <c r="BQ29" s="361"/>
      <c r="BR29" s="361"/>
      <c r="BS29" s="361"/>
      <c r="BT29" s="361"/>
      <c r="BU29" s="361"/>
      <c r="BV29" s="361"/>
      <c r="BW29" s="361"/>
      <c r="BX29" s="361"/>
      <c r="BY29" s="361"/>
      <c r="BZ29" s="361"/>
      <c r="CA29" s="361"/>
      <c r="CB29" s="361"/>
      <c r="CC29" s="361"/>
      <c r="CD29" s="361"/>
      <c r="CE29" s="361"/>
      <c r="CF29" s="361"/>
    </row>
    <row r="30" spans="2:84" ht="13.5" thickTop="1" x14ac:dyDescent="0.2">
      <c r="B30" s="533"/>
      <c r="C30" s="533"/>
      <c r="D30" s="357"/>
      <c r="E30" s="357"/>
      <c r="F30" s="357"/>
      <c r="G30" s="357"/>
      <c r="H30" s="357"/>
      <c r="I30" s="357"/>
      <c r="J30" s="357"/>
      <c r="K30" s="357"/>
      <c r="L30" s="357"/>
      <c r="M30" s="357"/>
      <c r="N30" s="357"/>
      <c r="O30" s="357"/>
      <c r="P30" s="357"/>
      <c r="Q30" s="357"/>
      <c r="R30" s="357"/>
      <c r="S30" s="357"/>
      <c r="T30" s="357"/>
      <c r="U30" s="357"/>
      <c r="V30" s="357"/>
      <c r="W30" s="357"/>
      <c r="X30" s="357"/>
      <c r="Y30" s="357"/>
      <c r="Z30" s="357"/>
      <c r="AA30" s="357"/>
      <c r="AC30" s="361"/>
      <c r="AD30" s="361"/>
      <c r="AE30" s="361"/>
      <c r="AF30" s="361"/>
      <c r="AG30" s="361"/>
      <c r="AH30" s="361"/>
      <c r="AI30" s="361"/>
      <c r="AJ30" s="361"/>
      <c r="AK30" s="361"/>
      <c r="AL30" s="361"/>
      <c r="AM30" s="361"/>
      <c r="AN30" s="361"/>
      <c r="AO30" s="361"/>
      <c r="AP30" s="361"/>
      <c r="AQ30" s="361"/>
      <c r="AR30" s="361"/>
      <c r="AS30" s="361"/>
      <c r="AT30" s="361"/>
      <c r="AU30" s="361"/>
      <c r="AV30" s="361"/>
      <c r="AW30" s="361"/>
      <c r="AX30" s="361"/>
      <c r="AY30" s="361"/>
      <c r="AZ30" s="361"/>
      <c r="BA30" s="361"/>
      <c r="BB30" s="361"/>
      <c r="BC30" s="361"/>
      <c r="BD30" s="361"/>
      <c r="BE30" s="361"/>
      <c r="BF30" s="361"/>
      <c r="BG30" s="361"/>
      <c r="BH30" s="361"/>
      <c r="BI30" s="361"/>
      <c r="BJ30" s="361"/>
      <c r="BK30" s="361"/>
      <c r="BL30" s="361"/>
      <c r="BM30" s="361"/>
      <c r="BN30" s="361"/>
      <c r="BO30" s="361"/>
      <c r="BP30" s="361"/>
      <c r="BQ30" s="361"/>
      <c r="BR30" s="361"/>
      <c r="BS30" s="361"/>
      <c r="BT30" s="361"/>
      <c r="BU30" s="361"/>
      <c r="BV30" s="361"/>
      <c r="BW30" s="361"/>
      <c r="BX30" s="361"/>
      <c r="BY30" s="361"/>
      <c r="BZ30" s="361"/>
      <c r="CA30" s="361"/>
      <c r="CB30" s="361"/>
      <c r="CC30" s="361"/>
      <c r="CD30" s="361"/>
      <c r="CE30" s="361"/>
      <c r="CF30" s="361"/>
    </row>
    <row r="31" spans="2:84" x14ac:dyDescent="0.2">
      <c r="B31" s="375" t="str">
        <f>PedBerMedIV!AD29</f>
        <v/>
      </c>
      <c r="C31" s="533"/>
      <c r="D31" s="676" t="s">
        <v>184</v>
      </c>
      <c r="E31" s="675"/>
      <c r="F31" s="830">
        <f>PedBerMedIV!C29</f>
        <v>0</v>
      </c>
      <c r="G31" s="831"/>
      <c r="H31" s="831"/>
      <c r="I31" s="831"/>
      <c r="J31" s="831"/>
      <c r="K31" s="831"/>
      <c r="L31" s="831"/>
      <c r="M31" s="831"/>
      <c r="N31" s="831"/>
      <c r="O31" s="357"/>
      <c r="P31" s="366"/>
      <c r="Q31" s="357"/>
      <c r="R31" s="357"/>
      <c r="S31" s="357"/>
      <c r="T31" s="357"/>
      <c r="U31" s="357"/>
      <c r="V31" s="357"/>
      <c r="W31" s="357"/>
      <c r="X31" s="357"/>
      <c r="Y31" s="357"/>
      <c r="Z31" s="357"/>
      <c r="AA31" s="361"/>
      <c r="AB31" s="361"/>
      <c r="AC31" s="361"/>
      <c r="AD31" s="361"/>
      <c r="AE31" s="361"/>
      <c r="AF31" s="361"/>
      <c r="AG31" s="361"/>
      <c r="AH31" s="361"/>
      <c r="AI31" s="361"/>
      <c r="AJ31" s="361"/>
      <c r="AK31" s="361"/>
      <c r="AL31" s="361"/>
      <c r="AM31" s="361"/>
      <c r="AN31" s="361"/>
      <c r="AO31" s="361"/>
      <c r="AP31" s="361"/>
      <c r="AQ31" s="361"/>
      <c r="AR31" s="361"/>
      <c r="AS31" s="361"/>
      <c r="AT31" s="361"/>
      <c r="AU31" s="361"/>
      <c r="AV31" s="361"/>
      <c r="AW31" s="361"/>
      <c r="AX31" s="361"/>
      <c r="AY31" s="361"/>
      <c r="AZ31" s="361"/>
      <c r="BA31" s="361"/>
      <c r="BB31" s="361"/>
      <c r="BC31" s="361"/>
      <c r="BD31" s="361"/>
      <c r="BE31" s="361"/>
      <c r="BF31" s="361"/>
      <c r="BG31" s="361"/>
      <c r="BH31" s="361"/>
      <c r="BI31" s="361"/>
      <c r="BJ31" s="361"/>
      <c r="BK31" s="361"/>
      <c r="BL31" s="361"/>
      <c r="BM31" s="361"/>
      <c r="BN31" s="361"/>
      <c r="BO31" s="361"/>
      <c r="BP31" s="361"/>
      <c r="BQ31" s="361"/>
      <c r="BR31" s="361"/>
      <c r="BS31" s="361"/>
      <c r="BT31" s="361"/>
      <c r="BU31" s="361"/>
      <c r="BV31" s="361"/>
      <c r="BW31" s="361"/>
      <c r="BX31" s="361"/>
      <c r="BY31" s="361"/>
      <c r="BZ31" s="361"/>
      <c r="CA31" s="361"/>
      <c r="CB31" s="361"/>
      <c r="CC31" s="361"/>
      <c r="CD31" s="361"/>
      <c r="CE31" s="361"/>
    </row>
    <row r="32" spans="2:84" x14ac:dyDescent="0.2">
      <c r="B32" s="533"/>
      <c r="C32" s="533"/>
      <c r="D32" s="676"/>
      <c r="E32" s="677"/>
      <c r="F32" s="831"/>
      <c r="G32" s="831"/>
      <c r="H32" s="831"/>
      <c r="I32" s="831"/>
      <c r="J32" s="831"/>
      <c r="K32" s="831"/>
      <c r="L32" s="831"/>
      <c r="M32" s="831"/>
      <c r="N32" s="831"/>
      <c r="O32" s="357"/>
      <c r="P32" s="366"/>
      <c r="Q32" s="357"/>
      <c r="R32" s="357"/>
      <c r="S32" s="357"/>
      <c r="T32" s="357"/>
      <c r="U32" s="357"/>
      <c r="V32" s="357"/>
      <c r="W32" s="357"/>
      <c r="X32" s="357"/>
      <c r="Y32" s="357"/>
      <c r="Z32" s="357"/>
      <c r="AA32" s="361"/>
      <c r="AB32" s="361"/>
      <c r="AC32" s="361"/>
      <c r="AD32" s="361"/>
      <c r="AE32" s="361"/>
      <c r="AF32" s="361"/>
      <c r="AG32" s="361"/>
      <c r="AH32" s="361"/>
      <c r="AI32" s="361"/>
      <c r="AJ32" s="361"/>
      <c r="AK32" s="361"/>
      <c r="AL32" s="361"/>
      <c r="AM32" s="361"/>
      <c r="AN32" s="361"/>
      <c r="AO32" s="361"/>
      <c r="AP32" s="361"/>
      <c r="AQ32" s="361"/>
      <c r="AR32" s="361"/>
      <c r="AS32" s="361"/>
      <c r="AT32" s="361"/>
      <c r="AU32" s="361"/>
      <c r="AV32" s="361"/>
      <c r="AW32" s="361"/>
      <c r="AX32" s="361"/>
      <c r="AY32" s="361"/>
      <c r="AZ32" s="361"/>
      <c r="BA32" s="361"/>
      <c r="BB32" s="361"/>
      <c r="BC32" s="361"/>
      <c r="BD32" s="361"/>
      <c r="BE32" s="361"/>
      <c r="BF32" s="361"/>
      <c r="BG32" s="361"/>
      <c r="BH32" s="361"/>
      <c r="BI32" s="361"/>
      <c r="BJ32" s="361"/>
      <c r="BK32" s="361"/>
      <c r="BL32" s="361"/>
      <c r="BM32" s="361"/>
      <c r="BN32" s="361"/>
      <c r="BO32" s="361"/>
      <c r="BP32" s="361"/>
      <c r="BQ32" s="361"/>
      <c r="BR32" s="361"/>
      <c r="BS32" s="361"/>
      <c r="BT32" s="361"/>
      <c r="BU32" s="361"/>
      <c r="BV32" s="361"/>
      <c r="BW32" s="361"/>
      <c r="BX32" s="361"/>
      <c r="BY32" s="361"/>
      <c r="BZ32" s="361"/>
      <c r="CA32" s="361"/>
      <c r="CB32" s="361"/>
      <c r="CC32" s="361"/>
      <c r="CD32" s="361"/>
      <c r="CE32" s="361"/>
    </row>
    <row r="33" spans="2:84" x14ac:dyDescent="0.2">
      <c r="B33" s="533"/>
      <c r="C33" s="533"/>
      <c r="D33" s="676"/>
      <c r="E33" s="677"/>
      <c r="F33" s="831"/>
      <c r="G33" s="831"/>
      <c r="H33" s="831"/>
      <c r="I33" s="831"/>
      <c r="J33" s="831"/>
      <c r="K33" s="831"/>
      <c r="L33" s="831"/>
      <c r="M33" s="831"/>
      <c r="N33" s="831"/>
      <c r="O33" s="357"/>
      <c r="P33" s="366"/>
      <c r="Q33" s="357"/>
      <c r="R33" s="357"/>
      <c r="S33" s="357"/>
      <c r="T33" s="357"/>
      <c r="U33" s="357"/>
      <c r="V33" s="357"/>
      <c r="W33" s="357"/>
      <c r="X33" s="357"/>
      <c r="Y33" s="357"/>
      <c r="Z33" s="357"/>
      <c r="AA33" s="361"/>
      <c r="AB33" s="361"/>
      <c r="AC33" s="361"/>
      <c r="AD33" s="361"/>
      <c r="AE33" s="361"/>
      <c r="AF33" s="361"/>
      <c r="AG33" s="361"/>
      <c r="AH33" s="361"/>
      <c r="AI33" s="361"/>
      <c r="AJ33" s="361"/>
      <c r="AK33" s="361"/>
      <c r="AL33" s="361"/>
      <c r="AM33" s="361"/>
      <c r="AN33" s="361"/>
      <c r="AO33" s="361"/>
      <c r="AP33" s="361"/>
      <c r="AQ33" s="361"/>
      <c r="AR33" s="361"/>
      <c r="AS33" s="361"/>
      <c r="AT33" s="361"/>
      <c r="AU33" s="361"/>
      <c r="AV33" s="361"/>
      <c r="AW33" s="361"/>
      <c r="AX33" s="361"/>
      <c r="AY33" s="361"/>
      <c r="AZ33" s="361"/>
      <c r="BA33" s="361"/>
      <c r="BB33" s="361"/>
      <c r="BC33" s="361"/>
      <c r="BD33" s="361"/>
      <c r="BE33" s="361"/>
      <c r="BF33" s="361"/>
      <c r="BG33" s="361"/>
      <c r="BH33" s="361"/>
      <c r="BI33" s="361"/>
      <c r="BJ33" s="361"/>
      <c r="BK33" s="361"/>
      <c r="BL33" s="361"/>
      <c r="BM33" s="361"/>
      <c r="BN33" s="361"/>
      <c r="BO33" s="361"/>
      <c r="BP33" s="361"/>
      <c r="BQ33" s="361"/>
      <c r="BR33" s="361"/>
      <c r="BS33" s="361"/>
      <c r="BT33" s="361"/>
      <c r="BU33" s="361"/>
      <c r="BV33" s="361"/>
      <c r="BW33" s="361"/>
      <c r="BX33" s="361"/>
      <c r="BY33" s="361"/>
      <c r="BZ33" s="361"/>
      <c r="CA33" s="361"/>
      <c r="CB33" s="361"/>
      <c r="CC33" s="361"/>
      <c r="CD33" s="361"/>
      <c r="CE33" s="361"/>
    </row>
    <row r="34" spans="2:84" x14ac:dyDescent="0.2">
      <c r="P34" s="366"/>
      <c r="Q34" s="357"/>
      <c r="R34" s="357"/>
      <c r="S34" s="357"/>
      <c r="T34" s="357"/>
      <c r="U34" s="357"/>
      <c r="V34" s="357"/>
      <c r="W34" s="357"/>
      <c r="X34" s="357"/>
      <c r="Y34" s="357"/>
      <c r="Z34" s="357"/>
      <c r="AA34" s="361"/>
      <c r="AB34" s="361"/>
      <c r="AC34" s="361"/>
      <c r="AD34" s="361"/>
      <c r="AE34" s="361"/>
      <c r="AF34" s="361"/>
      <c r="AG34" s="361"/>
      <c r="AH34" s="361"/>
      <c r="AI34" s="361"/>
      <c r="AJ34" s="361"/>
      <c r="AK34" s="361"/>
      <c r="AL34" s="361"/>
      <c r="AM34" s="361"/>
      <c r="AN34" s="361"/>
      <c r="AO34" s="361"/>
      <c r="AP34" s="361"/>
      <c r="AQ34" s="361"/>
      <c r="AR34" s="361"/>
      <c r="AS34" s="361"/>
      <c r="AT34" s="361"/>
      <c r="AU34" s="361"/>
      <c r="AV34" s="361"/>
      <c r="AW34" s="361"/>
      <c r="AX34" s="361"/>
      <c r="AY34" s="361"/>
      <c r="AZ34" s="361"/>
      <c r="BA34" s="361"/>
      <c r="BB34" s="361"/>
      <c r="BC34" s="361"/>
      <c r="BD34" s="361"/>
      <c r="BE34" s="361"/>
      <c r="BF34" s="361"/>
      <c r="BG34" s="361"/>
      <c r="BH34" s="361"/>
      <c r="BI34" s="361"/>
      <c r="BJ34" s="361"/>
      <c r="BK34" s="361"/>
      <c r="BL34" s="361"/>
      <c r="BM34" s="361"/>
      <c r="BN34" s="361"/>
      <c r="BO34" s="361"/>
      <c r="BP34" s="361"/>
      <c r="BQ34" s="361"/>
      <c r="BR34" s="361"/>
      <c r="BS34" s="361"/>
      <c r="BT34" s="361"/>
      <c r="BU34" s="361"/>
      <c r="BV34" s="361"/>
      <c r="BW34" s="361"/>
      <c r="BX34" s="361"/>
      <c r="BY34" s="361"/>
      <c r="BZ34" s="361"/>
      <c r="CA34" s="361"/>
      <c r="CB34" s="361"/>
      <c r="CC34" s="361"/>
      <c r="CD34" s="361"/>
      <c r="CE34" s="361"/>
    </row>
    <row r="35" spans="2:84" x14ac:dyDescent="0.2">
      <c r="B35" s="708"/>
      <c r="C35" s="708"/>
      <c r="D35" s="709"/>
      <c r="E35" s="709" t="s">
        <v>4811</v>
      </c>
      <c r="F35" s="709" t="s">
        <v>86</v>
      </c>
      <c r="G35" s="709"/>
      <c r="H35" s="709" t="s">
        <v>433</v>
      </c>
      <c r="I35" s="709"/>
      <c r="J35" s="709" t="s">
        <v>4811</v>
      </c>
      <c r="K35" s="709" t="s">
        <v>86</v>
      </c>
      <c r="L35" s="709"/>
      <c r="M35" s="709" t="s">
        <v>433</v>
      </c>
      <c r="N35" s="709"/>
      <c r="O35" s="709"/>
      <c r="P35" s="366"/>
      <c r="Q35" s="357"/>
      <c r="R35" s="357"/>
      <c r="S35" s="357"/>
      <c r="T35" s="357"/>
      <c r="U35" s="357"/>
      <c r="V35" s="357"/>
      <c r="W35" s="357"/>
      <c r="X35" s="357"/>
      <c r="Y35" s="357"/>
      <c r="Z35" s="357"/>
      <c r="AA35" s="361"/>
      <c r="AB35" s="361"/>
      <c r="AC35" s="361"/>
      <c r="AD35" s="361"/>
      <c r="AE35" s="361"/>
      <c r="AF35" s="361"/>
      <c r="AG35" s="361"/>
      <c r="AH35" s="361"/>
      <c r="AI35" s="361"/>
      <c r="AJ35" s="361"/>
      <c r="AK35" s="361"/>
      <c r="AL35" s="361"/>
      <c r="AM35" s="361"/>
      <c r="AN35" s="361"/>
      <c r="AO35" s="361"/>
      <c r="AP35" s="361"/>
      <c r="AQ35" s="361"/>
      <c r="AR35" s="361"/>
      <c r="AS35" s="361"/>
      <c r="AT35" s="361"/>
      <c r="AU35" s="361"/>
      <c r="AV35" s="361"/>
      <c r="AW35" s="361"/>
      <c r="AX35" s="361"/>
      <c r="AY35" s="361"/>
      <c r="AZ35" s="361"/>
      <c r="BA35" s="361"/>
      <c r="BB35" s="361"/>
      <c r="BC35" s="361"/>
      <c r="BD35" s="361"/>
      <c r="BE35" s="361"/>
      <c r="BF35" s="361"/>
      <c r="BG35" s="361"/>
      <c r="BH35" s="361"/>
      <c r="BI35" s="361"/>
      <c r="BJ35" s="361"/>
      <c r="BK35" s="361"/>
      <c r="BL35" s="361"/>
      <c r="BM35" s="361"/>
      <c r="BN35" s="361"/>
      <c r="BO35" s="361"/>
      <c r="BP35" s="361"/>
      <c r="BQ35" s="361"/>
      <c r="BR35" s="361"/>
      <c r="BS35" s="361"/>
      <c r="BT35" s="361"/>
      <c r="BU35" s="361"/>
      <c r="BV35" s="361"/>
      <c r="BW35" s="361"/>
      <c r="BX35" s="361"/>
      <c r="BY35" s="361"/>
      <c r="BZ35" s="361"/>
      <c r="CA35" s="361"/>
      <c r="CB35" s="361"/>
      <c r="CC35" s="361"/>
      <c r="CD35" s="361"/>
      <c r="CE35" s="361"/>
    </row>
    <row r="36" spans="2:84" x14ac:dyDescent="0.2">
      <c r="B36" s="708"/>
      <c r="C36" s="708"/>
      <c r="D36" s="709"/>
      <c r="E36" s="710" t="s">
        <v>267</v>
      </c>
      <c r="F36" s="710" t="str">
        <f t="shared" ref="F36:F42" si="2">VLOOKUP($E36,Tbl_Ped_Totalen, 13,FALSE)</f>
        <v>0 ml/kg</v>
      </c>
      <c r="G36" s="710"/>
      <c r="H36" s="710" t="str">
        <f t="shared" ref="H36:H42" ca="1" si="3">VLOOKUP($E36,Tbl_Ped_Totalen, 10,FALSE)</f>
        <v>150 ml/kg</v>
      </c>
      <c r="I36" s="710"/>
      <c r="J36" s="710"/>
      <c r="K36" s="710"/>
      <c r="L36" s="710"/>
      <c r="M36" s="710"/>
      <c r="N36" s="710"/>
      <c r="O36" s="709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61"/>
      <c r="AC36" s="361"/>
      <c r="AD36" s="361"/>
      <c r="AE36" s="361"/>
      <c r="AF36" s="361"/>
      <c r="AG36" s="361"/>
      <c r="AH36" s="361"/>
      <c r="AI36" s="361"/>
      <c r="AJ36" s="361"/>
      <c r="AK36" s="361"/>
      <c r="AL36" s="361"/>
      <c r="AM36" s="361"/>
      <c r="AN36" s="361"/>
      <c r="AO36" s="361"/>
      <c r="AP36" s="361"/>
      <c r="AQ36" s="361"/>
      <c r="AR36" s="361"/>
      <c r="AS36" s="361"/>
      <c r="AT36" s="361"/>
      <c r="AU36" s="361"/>
      <c r="AV36" s="361"/>
      <c r="AW36" s="361"/>
      <c r="AX36" s="361"/>
      <c r="AY36" s="361"/>
      <c r="AZ36" s="361"/>
      <c r="BA36" s="361"/>
      <c r="BB36" s="361"/>
      <c r="BC36" s="361"/>
      <c r="BD36" s="361"/>
      <c r="BE36" s="361"/>
      <c r="BF36" s="361"/>
      <c r="BG36" s="361"/>
      <c r="BH36" s="361"/>
      <c r="BI36" s="361"/>
      <c r="BJ36" s="361"/>
      <c r="BK36" s="361"/>
      <c r="BL36" s="361"/>
      <c r="BM36" s="361"/>
      <c r="BN36" s="361"/>
      <c r="BO36" s="361"/>
      <c r="BP36" s="361"/>
      <c r="BQ36" s="361"/>
      <c r="BR36" s="361"/>
      <c r="BS36" s="361"/>
      <c r="BT36" s="361"/>
      <c r="BU36" s="361"/>
      <c r="BV36" s="361"/>
      <c r="BW36" s="361"/>
      <c r="BX36" s="361"/>
      <c r="BY36" s="361"/>
      <c r="BZ36" s="361"/>
      <c r="CA36" s="361"/>
      <c r="CB36" s="361"/>
      <c r="CC36" s="361"/>
      <c r="CD36" s="361"/>
      <c r="CE36" s="361"/>
      <c r="CF36" s="361"/>
    </row>
    <row r="37" spans="2:84" x14ac:dyDescent="0.2">
      <c r="B37" s="708"/>
      <c r="C37" s="708"/>
      <c r="D37" s="709"/>
      <c r="E37" s="710" t="s">
        <v>178</v>
      </c>
      <c r="F37" s="710" t="str">
        <f t="shared" si="2"/>
        <v>0 kcal/kg</v>
      </c>
      <c r="G37" s="710"/>
      <c r="H37" s="710" t="str">
        <f t="shared" si="3"/>
        <v xml:space="preserve"> kcal/kg</v>
      </c>
      <c r="I37" s="710"/>
      <c r="J37" s="710" t="s">
        <v>268</v>
      </c>
      <c r="K37" s="710" t="str">
        <f t="shared" ref="K37:K42" si="4">VLOOKUP($J37,Tbl_Ped_Totalen, 13,FALSE)</f>
        <v>0 mmol/kg</v>
      </c>
      <c r="L37" s="710"/>
      <c r="M37" s="710" t="str">
        <f t="shared" ref="M37:M42" si="5">VLOOKUP($J37,Tbl_Ped_Totalen, 10,FALSE)</f>
        <v>2-4 mmol/kg</v>
      </c>
      <c r="N37" s="710"/>
      <c r="O37" s="709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61"/>
      <c r="AC37" s="361"/>
      <c r="AD37" s="361"/>
      <c r="AE37" s="361"/>
      <c r="AF37" s="361"/>
      <c r="AG37" s="361"/>
      <c r="AH37" s="361"/>
      <c r="AI37" s="361"/>
      <c r="AJ37" s="361"/>
      <c r="AK37" s="361"/>
      <c r="AL37" s="361"/>
      <c r="AM37" s="361"/>
      <c r="AN37" s="361"/>
      <c r="AO37" s="361"/>
      <c r="AP37" s="361"/>
      <c r="AQ37" s="361"/>
      <c r="AR37" s="361"/>
      <c r="AS37" s="361"/>
      <c r="AT37" s="361"/>
      <c r="AU37" s="361"/>
      <c r="AV37" s="361"/>
      <c r="AW37" s="361"/>
      <c r="AX37" s="361"/>
      <c r="AY37" s="361"/>
      <c r="AZ37" s="361"/>
      <c r="BA37" s="361"/>
      <c r="BB37" s="361"/>
      <c r="BC37" s="361"/>
      <c r="BD37" s="361"/>
      <c r="BE37" s="361"/>
      <c r="BF37" s="361"/>
      <c r="BG37" s="361"/>
      <c r="BH37" s="361"/>
      <c r="BI37" s="361"/>
      <c r="BJ37" s="361"/>
      <c r="BK37" s="361"/>
      <c r="BL37" s="361"/>
      <c r="BM37" s="361"/>
      <c r="BN37" s="361"/>
      <c r="BO37" s="361"/>
      <c r="BP37" s="361"/>
      <c r="BQ37" s="361"/>
      <c r="BR37" s="361"/>
      <c r="BS37" s="361"/>
      <c r="BT37" s="361"/>
      <c r="BU37" s="361"/>
      <c r="BV37" s="361"/>
      <c r="BW37" s="361"/>
      <c r="BX37" s="361"/>
      <c r="BY37" s="361"/>
      <c r="BZ37" s="361"/>
      <c r="CA37" s="361"/>
      <c r="CB37" s="361"/>
      <c r="CC37" s="361"/>
      <c r="CD37" s="361"/>
      <c r="CE37" s="361"/>
      <c r="CF37" s="361"/>
    </row>
    <row r="38" spans="2:84" x14ac:dyDescent="0.2">
      <c r="B38" s="708"/>
      <c r="C38" s="708"/>
      <c r="D38" s="709"/>
      <c r="E38" s="710" t="s">
        <v>143</v>
      </c>
      <c r="F38" s="710" t="str">
        <f t="shared" si="2"/>
        <v>0 gram/kg</v>
      </c>
      <c r="G38" s="710"/>
      <c r="H38" s="710" t="str">
        <f t="shared" si="3"/>
        <v xml:space="preserve"> gram/kg</v>
      </c>
      <c r="I38" s="710"/>
      <c r="J38" s="710" t="s">
        <v>269</v>
      </c>
      <c r="K38" s="710" t="str">
        <f t="shared" si="4"/>
        <v>0 mmol/kg</v>
      </c>
      <c r="L38" s="710"/>
      <c r="M38" s="710" t="str">
        <f t="shared" si="5"/>
        <v>1-2 mmol/kg</v>
      </c>
      <c r="N38" s="710"/>
      <c r="O38" s="709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61"/>
      <c r="AC38" s="361"/>
      <c r="AD38" s="361"/>
      <c r="AE38" s="361"/>
      <c r="AF38" s="361"/>
      <c r="AG38" s="361"/>
      <c r="AH38" s="361"/>
      <c r="AI38" s="361"/>
      <c r="AJ38" s="361"/>
      <c r="AK38" s="361"/>
      <c r="AL38" s="361"/>
      <c r="AM38" s="361"/>
      <c r="AN38" s="361"/>
      <c r="AO38" s="361"/>
      <c r="AP38" s="361"/>
      <c r="AQ38" s="361"/>
      <c r="AR38" s="361"/>
      <c r="AS38" s="361"/>
      <c r="AT38" s="361"/>
      <c r="AU38" s="361"/>
      <c r="AV38" s="361"/>
      <c r="AW38" s="361"/>
      <c r="AX38" s="361"/>
      <c r="AY38" s="361"/>
      <c r="AZ38" s="361"/>
      <c r="BA38" s="361"/>
      <c r="BB38" s="361"/>
      <c r="BC38" s="361"/>
      <c r="BD38" s="361"/>
      <c r="BE38" s="361"/>
      <c r="BF38" s="361"/>
      <c r="BG38" s="361"/>
      <c r="BH38" s="361"/>
      <c r="BI38" s="361"/>
      <c r="BJ38" s="361"/>
      <c r="BK38" s="361"/>
      <c r="BL38" s="361"/>
      <c r="BM38" s="361"/>
      <c r="BN38" s="361"/>
      <c r="BO38" s="361"/>
      <c r="BP38" s="361"/>
      <c r="BQ38" s="361"/>
      <c r="BR38" s="361"/>
      <c r="BS38" s="361"/>
      <c r="BT38" s="361"/>
      <c r="BU38" s="361"/>
      <c r="BV38" s="361"/>
      <c r="BW38" s="361"/>
      <c r="BX38" s="361"/>
      <c r="BY38" s="361"/>
      <c r="BZ38" s="361"/>
      <c r="CA38" s="361"/>
      <c r="CB38" s="361"/>
      <c r="CC38" s="361"/>
      <c r="CD38" s="361"/>
      <c r="CE38" s="361"/>
      <c r="CF38" s="361"/>
    </row>
    <row r="39" spans="2:84" x14ac:dyDescent="0.2">
      <c r="B39" s="708"/>
      <c r="C39" s="708"/>
      <c r="D39" s="709"/>
      <c r="E39" s="710" t="s">
        <v>147</v>
      </c>
      <c r="F39" s="710" t="str">
        <f t="shared" si="2"/>
        <v>0 gram/kg</v>
      </c>
      <c r="G39" s="710"/>
      <c r="H39" s="710" t="str">
        <f t="shared" si="3"/>
        <v xml:space="preserve"> gram/kg</v>
      </c>
      <c r="I39" s="710"/>
      <c r="J39" s="710" t="s">
        <v>824</v>
      </c>
      <c r="K39" s="710" t="str">
        <f t="shared" si="4"/>
        <v>0 mmol/kg</v>
      </c>
      <c r="L39" s="710"/>
      <c r="M39" s="710" t="str">
        <f t="shared" si="5"/>
        <v/>
      </c>
      <c r="N39" s="710"/>
      <c r="O39" s="709"/>
      <c r="P39" s="357"/>
      <c r="Q39" s="357"/>
      <c r="R39" s="357"/>
      <c r="S39" s="357"/>
      <c r="T39" s="357"/>
      <c r="U39" s="357"/>
      <c r="V39" s="357"/>
      <c r="W39" s="357"/>
      <c r="X39" s="357"/>
      <c r="Y39" s="357"/>
      <c r="Z39" s="357"/>
      <c r="AA39" s="357"/>
      <c r="AB39" s="361"/>
      <c r="AC39" s="361"/>
      <c r="AD39" s="361"/>
      <c r="AE39" s="361"/>
      <c r="AF39" s="361"/>
      <c r="AG39" s="361"/>
      <c r="AH39" s="361"/>
      <c r="AI39" s="361"/>
      <c r="AJ39" s="361"/>
      <c r="AK39" s="361"/>
      <c r="AL39" s="361"/>
      <c r="AM39" s="361"/>
      <c r="AN39" s="361"/>
      <c r="AO39" s="361"/>
      <c r="AP39" s="361"/>
      <c r="AQ39" s="361"/>
      <c r="AR39" s="361"/>
      <c r="AS39" s="361"/>
      <c r="AT39" s="361"/>
      <c r="AU39" s="361"/>
      <c r="AV39" s="361"/>
      <c r="AW39" s="361"/>
      <c r="AX39" s="361"/>
      <c r="AY39" s="361"/>
      <c r="AZ39" s="361"/>
      <c r="BA39" s="361"/>
      <c r="BB39" s="361"/>
      <c r="BC39" s="361"/>
      <c r="BD39" s="361"/>
      <c r="BE39" s="361"/>
      <c r="BF39" s="361"/>
      <c r="BG39" s="361"/>
      <c r="BH39" s="361"/>
      <c r="BI39" s="361"/>
      <c r="BJ39" s="361"/>
      <c r="BK39" s="361"/>
      <c r="BL39" s="361"/>
      <c r="BM39" s="361"/>
      <c r="BN39" s="361"/>
      <c r="BO39" s="361"/>
      <c r="BP39" s="361"/>
      <c r="BQ39" s="361"/>
      <c r="BR39" s="361"/>
      <c r="BS39" s="361"/>
      <c r="BT39" s="361"/>
      <c r="BU39" s="361"/>
      <c r="BV39" s="361"/>
      <c r="BW39" s="361"/>
      <c r="BX39" s="361"/>
      <c r="BY39" s="361"/>
      <c r="BZ39" s="361"/>
      <c r="CA39" s="361"/>
      <c r="CB39" s="361"/>
      <c r="CC39" s="361"/>
      <c r="CD39" s="361"/>
      <c r="CE39" s="361"/>
      <c r="CF39" s="361"/>
    </row>
    <row r="40" spans="2:84" x14ac:dyDescent="0.2">
      <c r="B40" s="708"/>
      <c r="C40" s="708"/>
      <c r="D40" s="709"/>
      <c r="E40" s="710" t="s">
        <v>148</v>
      </c>
      <c r="F40" s="710" t="str">
        <f t="shared" si="2"/>
        <v>0 gram/kg</v>
      </c>
      <c r="G40" s="710"/>
      <c r="H40" s="710" t="str">
        <f t="shared" si="3"/>
        <v xml:space="preserve"> gram/kg</v>
      </c>
      <c r="I40" s="710"/>
      <c r="J40" s="710" t="s">
        <v>144</v>
      </c>
      <c r="K40" s="710" t="str">
        <f t="shared" si="4"/>
        <v>0 mmol/kg</v>
      </c>
      <c r="L40" s="710"/>
      <c r="M40" s="710" t="str">
        <f t="shared" si="5"/>
        <v>0,8 mmol/kg</v>
      </c>
      <c r="N40" s="710"/>
      <c r="O40" s="709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61"/>
      <c r="AC40" s="361"/>
      <c r="AD40" s="361"/>
      <c r="AE40" s="361"/>
      <c r="AF40" s="361"/>
      <c r="AG40" s="361"/>
      <c r="AH40" s="361"/>
      <c r="AI40" s="361"/>
      <c r="AJ40" s="361"/>
      <c r="AK40" s="361"/>
      <c r="AL40" s="361"/>
      <c r="AM40" s="361"/>
      <c r="AN40" s="361"/>
      <c r="AO40" s="361"/>
      <c r="AP40" s="361"/>
      <c r="AQ40" s="361"/>
      <c r="AR40" s="361"/>
      <c r="AS40" s="361"/>
      <c r="AT40" s="361"/>
      <c r="AU40" s="361"/>
      <c r="AV40" s="361"/>
      <c r="AW40" s="361"/>
      <c r="AX40" s="361"/>
      <c r="AY40" s="361"/>
      <c r="AZ40" s="361"/>
      <c r="BA40" s="361"/>
      <c r="BB40" s="361"/>
      <c r="BC40" s="361"/>
      <c r="BD40" s="361"/>
      <c r="BE40" s="361"/>
      <c r="BF40" s="361"/>
      <c r="BG40" s="361"/>
      <c r="BH40" s="361"/>
      <c r="BI40" s="361"/>
      <c r="BJ40" s="361"/>
      <c r="BK40" s="361"/>
      <c r="BL40" s="361"/>
      <c r="BM40" s="361"/>
      <c r="BN40" s="361"/>
      <c r="BO40" s="361"/>
      <c r="BP40" s="361"/>
      <c r="BQ40" s="361"/>
      <c r="BR40" s="361"/>
      <c r="BS40" s="361"/>
      <c r="BT40" s="361"/>
      <c r="BU40" s="361"/>
      <c r="BV40" s="361"/>
      <c r="BW40" s="361"/>
      <c r="BX40" s="361"/>
      <c r="BY40" s="361"/>
      <c r="BZ40" s="361"/>
      <c r="CA40" s="361"/>
      <c r="CB40" s="361"/>
      <c r="CC40" s="361"/>
      <c r="CD40" s="361"/>
      <c r="CE40" s="361"/>
      <c r="CF40" s="361"/>
    </row>
    <row r="41" spans="2:84" x14ac:dyDescent="0.2">
      <c r="B41" s="709"/>
      <c r="C41" s="709"/>
      <c r="D41" s="709"/>
      <c r="E41" s="710" t="s">
        <v>825</v>
      </c>
      <c r="F41" s="710" t="str">
        <f t="shared" si="2"/>
        <v>0 IE/kg</v>
      </c>
      <c r="G41" s="710"/>
      <c r="H41" s="710" t="str">
        <f t="shared" si="3"/>
        <v/>
      </c>
      <c r="I41" s="710"/>
      <c r="J41" s="710" t="s">
        <v>146</v>
      </c>
      <c r="K41" s="710" t="str">
        <f t="shared" si="4"/>
        <v>0 mmol/kg</v>
      </c>
      <c r="L41" s="710"/>
      <c r="M41" s="710" t="str">
        <f t="shared" si="5"/>
        <v>0,1-0,3 mmol/kg</v>
      </c>
      <c r="N41" s="710"/>
      <c r="O41" s="709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61"/>
      <c r="AC41" s="361"/>
      <c r="AD41" s="361"/>
      <c r="AE41" s="361"/>
      <c r="AF41" s="361"/>
      <c r="AG41" s="361"/>
      <c r="AH41" s="361"/>
      <c r="AI41" s="361"/>
      <c r="AJ41" s="361"/>
      <c r="AK41" s="361"/>
      <c r="AL41" s="361"/>
      <c r="AM41" s="361"/>
      <c r="AN41" s="361"/>
      <c r="AO41" s="361"/>
      <c r="AP41" s="361"/>
      <c r="AQ41" s="361"/>
      <c r="AR41" s="361"/>
      <c r="AS41" s="361"/>
      <c r="AT41" s="361"/>
      <c r="AU41" s="361"/>
      <c r="AV41" s="361"/>
      <c r="AW41" s="361"/>
      <c r="AX41" s="361"/>
      <c r="AY41" s="361"/>
      <c r="AZ41" s="361"/>
      <c r="BA41" s="361"/>
      <c r="BB41" s="361"/>
      <c r="BC41" s="361"/>
      <c r="BD41" s="361"/>
      <c r="BE41" s="361"/>
      <c r="BF41" s="361"/>
      <c r="BG41" s="361"/>
      <c r="BH41" s="361"/>
      <c r="BI41" s="361"/>
      <c r="BJ41" s="361"/>
      <c r="BK41" s="361"/>
      <c r="BL41" s="361"/>
      <c r="BM41" s="361"/>
      <c r="BN41" s="361"/>
      <c r="BO41" s="361"/>
      <c r="BP41" s="361"/>
      <c r="BQ41" s="361"/>
      <c r="BR41" s="361"/>
      <c r="BS41" s="361"/>
      <c r="BT41" s="361"/>
      <c r="BU41" s="361"/>
      <c r="BV41" s="361"/>
      <c r="BW41" s="361"/>
      <c r="BX41" s="361"/>
      <c r="BY41" s="361"/>
      <c r="BZ41" s="361"/>
      <c r="CA41" s="361"/>
      <c r="CB41" s="361"/>
      <c r="CC41" s="361"/>
      <c r="CD41" s="361"/>
      <c r="CE41" s="361"/>
      <c r="CF41" s="361"/>
    </row>
    <row r="42" spans="2:84" x14ac:dyDescent="0.2">
      <c r="B42" s="709"/>
      <c r="C42" s="709"/>
      <c r="D42" s="709"/>
      <c r="E42" s="710" t="s">
        <v>826</v>
      </c>
      <c r="F42" s="710" t="str">
        <f t="shared" si="2"/>
        <v>0 mmol/kg</v>
      </c>
      <c r="G42" s="710"/>
      <c r="H42" s="710" t="str">
        <f t="shared" si="3"/>
        <v/>
      </c>
      <c r="I42" s="710"/>
      <c r="J42" s="710" t="s">
        <v>145</v>
      </c>
      <c r="K42" s="710" t="str">
        <f t="shared" si="4"/>
        <v>0 mmol/kg</v>
      </c>
      <c r="L42" s="710"/>
      <c r="M42" s="710" t="str">
        <f t="shared" si="5"/>
        <v>0,75 mmol/kg</v>
      </c>
      <c r="N42" s="710"/>
      <c r="O42" s="709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61"/>
      <c r="AC42" s="361"/>
      <c r="AD42" s="361"/>
      <c r="AE42" s="361"/>
      <c r="AF42" s="361"/>
      <c r="AG42" s="361"/>
      <c r="AH42" s="361"/>
      <c r="AI42" s="361"/>
      <c r="AJ42" s="361"/>
      <c r="AK42" s="361"/>
      <c r="AL42" s="361"/>
      <c r="AM42" s="361"/>
      <c r="AN42" s="361"/>
      <c r="AO42" s="361"/>
      <c r="AP42" s="361"/>
      <c r="AQ42" s="361"/>
      <c r="AR42" s="361"/>
      <c r="AS42" s="361"/>
      <c r="AT42" s="361"/>
      <c r="AU42" s="361"/>
      <c r="AV42" s="361"/>
      <c r="AW42" s="361"/>
      <c r="AX42" s="361"/>
      <c r="AY42" s="361"/>
      <c r="AZ42" s="361"/>
      <c r="BA42" s="361"/>
      <c r="BB42" s="361"/>
      <c r="BC42" s="361"/>
      <c r="BD42" s="361"/>
      <c r="BE42" s="361"/>
      <c r="BF42" s="361"/>
      <c r="BG42" s="361"/>
      <c r="BH42" s="361"/>
      <c r="BI42" s="361"/>
      <c r="BJ42" s="361"/>
      <c r="BK42" s="361"/>
      <c r="BL42" s="361"/>
      <c r="BM42" s="361"/>
      <c r="BN42" s="361"/>
      <c r="BO42" s="361"/>
      <c r="BP42" s="361"/>
      <c r="BQ42" s="361"/>
      <c r="BR42" s="361"/>
      <c r="BS42" s="361"/>
      <c r="BT42" s="361"/>
      <c r="BU42" s="361"/>
      <c r="BV42" s="361"/>
      <c r="BW42" s="361"/>
      <c r="BX42" s="361"/>
      <c r="BY42" s="361"/>
      <c r="BZ42" s="361"/>
      <c r="CA42" s="361"/>
      <c r="CB42" s="361"/>
      <c r="CC42" s="361"/>
      <c r="CD42" s="361"/>
      <c r="CE42" s="361"/>
      <c r="CF42" s="361"/>
    </row>
    <row r="43" spans="2:84" x14ac:dyDescent="0.2"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61"/>
      <c r="AC43" s="361"/>
      <c r="AD43" s="361"/>
      <c r="AE43" s="361"/>
      <c r="AF43" s="361"/>
      <c r="AG43" s="361"/>
      <c r="AH43" s="361"/>
      <c r="AI43" s="361"/>
      <c r="AJ43" s="361"/>
      <c r="AK43" s="361"/>
      <c r="AL43" s="361"/>
      <c r="AM43" s="361"/>
      <c r="AN43" s="361"/>
      <c r="AO43" s="361"/>
      <c r="AP43" s="361"/>
      <c r="AQ43" s="361"/>
      <c r="AR43" s="361"/>
      <c r="AS43" s="361"/>
      <c r="AT43" s="361"/>
      <c r="AU43" s="361"/>
      <c r="AV43" s="361"/>
      <c r="AW43" s="361"/>
      <c r="AX43" s="361"/>
      <c r="AY43" s="361"/>
      <c r="AZ43" s="361"/>
      <c r="BA43" s="361"/>
      <c r="BB43" s="361"/>
      <c r="BC43" s="361"/>
      <c r="BD43" s="361"/>
      <c r="BE43" s="361"/>
      <c r="BF43" s="361"/>
      <c r="BG43" s="361"/>
      <c r="BH43" s="361"/>
      <c r="BI43" s="361"/>
      <c r="BJ43" s="361"/>
      <c r="BK43" s="361"/>
      <c r="BL43" s="361"/>
      <c r="BM43" s="361"/>
      <c r="BN43" s="361"/>
      <c r="BO43" s="361"/>
      <c r="BP43" s="361"/>
      <c r="BQ43" s="361"/>
      <c r="BR43" s="361"/>
      <c r="BS43" s="361"/>
      <c r="BT43" s="361"/>
      <c r="BU43" s="361"/>
      <c r="BV43" s="361"/>
      <c r="BW43" s="361"/>
      <c r="BX43" s="361"/>
      <c r="BY43" s="361"/>
      <c r="BZ43" s="361"/>
      <c r="CA43" s="361"/>
      <c r="CB43" s="361"/>
      <c r="CC43" s="361"/>
      <c r="CD43" s="361"/>
      <c r="CE43" s="361"/>
      <c r="CF43" s="361"/>
    </row>
    <row r="44" spans="2:84" x14ac:dyDescent="0.2">
      <c r="C44" s="357"/>
      <c r="D44" s="357"/>
      <c r="E44" s="357"/>
      <c r="F44" s="357"/>
      <c r="G44" s="357"/>
      <c r="H44" s="357"/>
      <c r="I44" s="357"/>
      <c r="J44" s="357"/>
      <c r="K44" s="357"/>
      <c r="L44" s="357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61"/>
      <c r="AC44" s="361"/>
      <c r="AD44" s="361"/>
      <c r="AE44" s="361"/>
      <c r="AF44" s="361"/>
      <c r="AG44" s="361"/>
      <c r="AH44" s="361"/>
      <c r="AI44" s="361"/>
      <c r="AJ44" s="361"/>
      <c r="AK44" s="361"/>
      <c r="AL44" s="361"/>
      <c r="AM44" s="361"/>
      <c r="AN44" s="361"/>
      <c r="AO44" s="361"/>
      <c r="AP44" s="361"/>
      <c r="AQ44" s="361"/>
      <c r="AR44" s="361"/>
      <c r="AS44" s="361"/>
      <c r="AT44" s="361"/>
      <c r="AU44" s="361"/>
      <c r="AV44" s="361"/>
      <c r="AW44" s="361"/>
      <c r="AX44" s="361"/>
      <c r="AY44" s="361"/>
      <c r="AZ44" s="361"/>
      <c r="BA44" s="361"/>
      <c r="BB44" s="361"/>
      <c r="BC44" s="361"/>
      <c r="BD44" s="361"/>
      <c r="BE44" s="361"/>
      <c r="BF44" s="361"/>
      <c r="BG44" s="361"/>
      <c r="BH44" s="361"/>
      <c r="BI44" s="361"/>
      <c r="BJ44" s="361"/>
      <c r="BK44" s="361"/>
      <c r="BL44" s="361"/>
      <c r="BM44" s="361"/>
      <c r="BN44" s="361"/>
      <c r="BO44" s="361"/>
      <c r="BP44" s="361"/>
      <c r="BQ44" s="361"/>
      <c r="BR44" s="361"/>
      <c r="BS44" s="361"/>
      <c r="BT44" s="361"/>
      <c r="BU44" s="361"/>
      <c r="BV44" s="361"/>
      <c r="BW44" s="361"/>
      <c r="BX44" s="361"/>
      <c r="BY44" s="361"/>
      <c r="BZ44" s="361"/>
      <c r="CA44" s="361"/>
      <c r="CB44" s="361"/>
      <c r="CC44" s="361"/>
      <c r="CD44" s="361"/>
      <c r="CE44" s="361"/>
      <c r="CF44" s="361"/>
    </row>
    <row r="45" spans="2:84" x14ac:dyDescent="0.2">
      <c r="C45" s="357"/>
      <c r="D45" s="357"/>
      <c r="E45" s="357"/>
      <c r="F45" s="357"/>
      <c r="G45" s="357"/>
      <c r="H45" s="357"/>
      <c r="I45" s="357"/>
      <c r="J45" s="357"/>
      <c r="K45" s="357"/>
      <c r="L45" s="357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</row>
    <row r="46" spans="2:84" x14ac:dyDescent="0.2">
      <c r="C46" s="357"/>
      <c r="D46" s="357"/>
      <c r="E46" s="357"/>
      <c r="F46" s="357"/>
      <c r="G46" s="357"/>
      <c r="H46" s="357"/>
      <c r="I46" s="357"/>
      <c r="J46" s="357"/>
      <c r="K46" s="357"/>
      <c r="L46" s="357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</row>
    <row r="47" spans="2:84" x14ac:dyDescent="0.2">
      <c r="C47" s="357"/>
      <c r="D47" s="357"/>
      <c r="E47" s="357"/>
      <c r="F47" s="357"/>
      <c r="G47" s="357"/>
      <c r="H47" s="357"/>
      <c r="I47" s="357"/>
      <c r="J47" s="357"/>
      <c r="K47" s="357"/>
      <c r="L47" s="357"/>
      <c r="M47" s="357"/>
      <c r="N47" s="357"/>
      <c r="O47" s="357"/>
      <c r="P47" s="357"/>
      <c r="Q47" s="357"/>
      <c r="R47" s="357"/>
      <c r="S47" s="357"/>
      <c r="T47" s="357"/>
      <c r="U47" s="357"/>
      <c r="V47" s="357"/>
      <c r="W47" s="357"/>
      <c r="X47" s="357"/>
      <c r="Y47" s="357"/>
      <c r="Z47" s="357"/>
      <c r="AA47" s="357"/>
    </row>
    <row r="48" spans="2:84" x14ac:dyDescent="0.2">
      <c r="C48" s="357"/>
      <c r="D48" s="357"/>
      <c r="E48" s="357"/>
      <c r="F48" s="357"/>
      <c r="G48" s="357"/>
      <c r="H48" s="357"/>
      <c r="I48" s="357"/>
      <c r="J48" s="357"/>
      <c r="K48" s="357"/>
      <c r="L48" s="357"/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57"/>
      <c r="X48" s="357"/>
      <c r="Y48" s="357"/>
      <c r="Z48" s="357"/>
      <c r="AA48" s="357"/>
    </row>
    <row r="49" spans="3:27" x14ac:dyDescent="0.2">
      <c r="C49" s="357"/>
      <c r="D49" s="357"/>
      <c r="E49" s="357"/>
      <c r="F49" s="357"/>
      <c r="G49" s="357"/>
      <c r="H49" s="357"/>
      <c r="I49" s="357"/>
      <c r="J49" s="357"/>
      <c r="K49" s="357"/>
      <c r="L49" s="357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</row>
    <row r="50" spans="3:27" x14ac:dyDescent="0.2">
      <c r="C50" s="357"/>
      <c r="D50" s="357"/>
      <c r="E50" s="357"/>
      <c r="F50" s="357"/>
      <c r="G50" s="357"/>
      <c r="H50" s="357"/>
      <c r="I50" s="357"/>
      <c r="J50" s="357"/>
      <c r="K50" s="357"/>
      <c r="L50" s="357"/>
      <c r="M50" s="357"/>
      <c r="N50" s="357"/>
      <c r="O50" s="357"/>
      <c r="P50" s="357"/>
      <c r="Q50" s="357"/>
      <c r="R50" s="357"/>
      <c r="S50" s="357"/>
      <c r="T50" s="357"/>
      <c r="U50" s="357"/>
      <c r="V50" s="357"/>
      <c r="W50" s="357"/>
      <c r="X50" s="357"/>
      <c r="Y50" s="357"/>
      <c r="Z50" s="357"/>
      <c r="AA50" s="357"/>
    </row>
  </sheetData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D4" activePane="bottomRight" state="frozen"/>
      <selection pane="topRight" activeCell="C1" sqref="C1"/>
      <selection pane="bottomLeft" activeCell="A3" sqref="A3"/>
      <selection pane="bottomRight" activeCell="W5" sqref="W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9.2851562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4106</v>
      </c>
      <c r="H1" s="209" t="s">
        <v>4107</v>
      </c>
      <c r="V1" s="209" t="s">
        <v>4109</v>
      </c>
      <c r="AD1" s="209" t="s">
        <v>4108</v>
      </c>
    </row>
    <row r="2" spans="1:40" s="428" customFormat="1" x14ac:dyDescent="0.2">
      <c r="A2" s="253" t="s">
        <v>4120</v>
      </c>
      <c r="C2" s="253">
        <v>1</v>
      </c>
      <c r="D2" s="428">
        <v>2</v>
      </c>
      <c r="E2" s="428">
        <v>3</v>
      </c>
      <c r="H2" s="253">
        <v>18</v>
      </c>
      <c r="I2" s="428">
        <v>19</v>
      </c>
      <c r="J2" s="428">
        <v>21</v>
      </c>
      <c r="V2" s="253">
        <v>12</v>
      </c>
      <c r="X2" s="428">
        <v>18</v>
      </c>
      <c r="Y2" s="428">
        <v>19</v>
      </c>
      <c r="Z2" s="428">
        <v>15</v>
      </c>
      <c r="AB2" s="428">
        <v>13</v>
      </c>
      <c r="AC2" s="428">
        <v>14</v>
      </c>
      <c r="AD2" s="253"/>
      <c r="AF2" s="428">
        <v>1</v>
      </c>
      <c r="AG2" s="428">
        <v>2</v>
      </c>
      <c r="AL2" s="428">
        <v>3</v>
      </c>
      <c r="AN2" s="428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3322</v>
      </c>
      <c r="F3" s="106" t="s">
        <v>4105</v>
      </c>
      <c r="G3" s="106" t="s">
        <v>43</v>
      </c>
      <c r="H3" s="106" t="s">
        <v>4103</v>
      </c>
      <c r="I3" s="106" t="s">
        <v>4104</v>
      </c>
      <c r="J3" s="106" t="s">
        <v>882</v>
      </c>
      <c r="K3" s="345" t="s">
        <v>3323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3515</v>
      </c>
      <c r="W3" s="106" t="s">
        <v>3514</v>
      </c>
      <c r="X3" s="106" t="s">
        <v>3516</v>
      </c>
      <c r="Y3" s="106" t="s">
        <v>3517</v>
      </c>
      <c r="Z3" s="106" t="s">
        <v>4286</v>
      </c>
      <c r="AA3" s="106" t="s">
        <v>4910</v>
      </c>
      <c r="AB3" s="106" t="s">
        <v>4908</v>
      </c>
      <c r="AC3" s="106" t="s">
        <v>4907</v>
      </c>
      <c r="AD3" s="106" t="s">
        <v>3320</v>
      </c>
      <c r="AE3" s="106" t="s">
        <v>3319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3321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"),IF(_Pat_Gewicht/10&lt;=48,_Pat_Gewicht/10,48),INDEX(Tbl_Ped_MedContIV,C5,H$2))),"")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"),G5/10,FixPrecision(INDEX(Tbl_Ped_MedContIV,C5,J$2)*(G5/10)*(H5/I5)/(_Pat_Gewicht/10),2)),"")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0</v>
      </c>
      <c r="Q5">
        <f t="shared" ref="Q5:Q19" si="5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6">IF(OR($C5=4),0.2*$M5,0)</f>
        <v>0</v>
      </c>
      <c r="U5">
        <f t="shared" ref="U5:U19" si="7">IF(OR(C5=20,C5=21),0.1*M5,0)</f>
        <v>0</v>
      </c>
      <c r="V5" t="b">
        <f t="shared" ref="V5:V19" si="8">AND(C5&gt;1,(AK5&gt;=INDEX(Tbl_Ped_MedContIV,C5,12)))</f>
        <v>0</v>
      </c>
      <c r="W5" t="b">
        <f t="shared" ref="W5:W19" si="9">AND(C5&gt;1,NOT(AND(AK5&gt;=INDEX(Tbl_Ped_MedContIV,C5,10),AK5&lt;=INDEX(Tbl_Ped_MedContIV,C5,11))))</f>
        <v>0</v>
      </c>
      <c r="X5" s="209" t="b">
        <f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8" t="b">
        <f t="shared" ref="Z5:Z19" si="11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2">IF(AND($C5&gt;1,$H5&gt;0,$I5&gt;0),($H5/$I5)&lt;INDEX(Tbl_Ped_MedContIV,$C5,AB$2),FALSE)</f>
        <v>0</v>
      </c>
      <c r="AC5" s="208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>IF(C6&gt;1,IF(D6&gt;0,D6,IF(StartsWith(AF6,"Epi "),IF(_Pat_Gewicht/10&lt;=48,_Pat_Gewicht/10,48),INDEX(Tbl_Ped_MedContIV,C6,H$2))),"")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 s="208">
        <f t="shared" ref="R6:R19" si="23">Q6</f>
        <v>0</v>
      </c>
      <c r="S6">
        <f t="shared" ref="S6:S25" si="24">IF(OR($C6=19),0,0)</f>
        <v>0</v>
      </c>
      <c r="T6">
        <f t="shared" si="6"/>
        <v>0</v>
      </c>
      <c r="U6">
        <f t="shared" si="7"/>
        <v>0</v>
      </c>
      <c r="V6" s="208" t="b">
        <f t="shared" si="8"/>
        <v>0</v>
      </c>
      <c r="W6" s="208" t="b">
        <f t="shared" si="9"/>
        <v>0</v>
      </c>
      <c r="X6" s="209" t="b">
        <f t="shared" ref="X6:X19" si="25">AND(C6&gt;1,AND(H6&lt;&gt;INDEX(Tbl_Ped_MedContIV,C6,X$2),INDEX(Tbl_Ped_MedContIV,C6,X$2)&lt;&gt;0))</f>
        <v>0</v>
      </c>
      <c r="Y6" s="208" t="b">
        <f t="shared" si="10"/>
        <v>0</v>
      </c>
      <c r="Z6" s="208" t="b">
        <f t="shared" si="11"/>
        <v>0</v>
      </c>
      <c r="AA6" s="208" t="b">
        <f t="shared" ref="AA6:AA19" si="26">OR(AB6,AC6)</f>
        <v>0</v>
      </c>
      <c r="AB6" s="208" t="b">
        <f t="shared" si="12"/>
        <v>0</v>
      </c>
      <c r="AC6" s="208" t="b">
        <f t="shared" si="13"/>
        <v>0</v>
      </c>
      <c r="AD6" s="208" t="str">
        <f t="shared" si="14"/>
        <v/>
      </c>
      <c r="AE6" s="208" t="str">
        <f t="shared" ref="AE6:AE19" si="27">IF(NOT(OR(X6,Y6,Z6)),"","stand")</f>
        <v/>
      </c>
      <c r="AF6" s="208" t="str">
        <f t="shared" si="15"/>
        <v/>
      </c>
      <c r="AG6" s="208" t="str">
        <f t="shared" si="16"/>
        <v/>
      </c>
      <c r="AH6" s="208" t="str">
        <f t="shared" si="17"/>
        <v/>
      </c>
      <c r="AI6" s="208" t="str">
        <f t="shared" si="18"/>
        <v/>
      </c>
      <c r="AJ6" s="208" t="str">
        <f t="shared" si="19"/>
        <v/>
      </c>
      <c r="AK6" s="208" t="str">
        <f t="shared" ref="AK6:AK19" si="28">IF(AND(C6&gt;1,J6&lt;&gt;""),J6*1,"")</f>
        <v/>
      </c>
      <c r="AL6" s="208" t="str">
        <f t="shared" si="20"/>
        <v/>
      </c>
      <c r="AM6" s="208" t="str">
        <f t="shared" si="21"/>
        <v/>
      </c>
      <c r="AN6" s="208" t="str">
        <f t="shared" si="22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>IF(C7&gt;1,IF(D7&gt;0,D7,IF(StartsWith(AF7,"Epi "),IF(_Pat_Gewicht/10&lt;=48,_Pat_Gewicht/10,48),INDEX(Tbl_Ped_MedContIV,C7,H$2))),"")</f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>
        <f t="shared" si="4"/>
        <v>0</v>
      </c>
      <c r="Q7">
        <f t="shared" si="5"/>
        <v>0</v>
      </c>
      <c r="R7" s="208">
        <f t="shared" si="23"/>
        <v>0</v>
      </c>
      <c r="S7">
        <f t="shared" si="24"/>
        <v>0</v>
      </c>
      <c r="T7">
        <f t="shared" si="6"/>
        <v>0</v>
      </c>
      <c r="U7">
        <f t="shared" si="7"/>
        <v>0</v>
      </c>
      <c r="V7" s="208" t="b">
        <f t="shared" si="8"/>
        <v>0</v>
      </c>
      <c r="W7" s="208" t="b">
        <f t="shared" si="9"/>
        <v>0</v>
      </c>
      <c r="X7" s="209" t="b">
        <f t="shared" si="25"/>
        <v>0</v>
      </c>
      <c r="Y7" s="208" t="b">
        <f t="shared" si="10"/>
        <v>0</v>
      </c>
      <c r="Z7" s="208" t="b">
        <f t="shared" si="11"/>
        <v>0</v>
      </c>
      <c r="AA7" s="208" t="b">
        <f t="shared" si="26"/>
        <v>0</v>
      </c>
      <c r="AB7" s="208" t="b">
        <f t="shared" si="12"/>
        <v>0</v>
      </c>
      <c r="AC7" s="208" t="b">
        <f t="shared" si="13"/>
        <v>0</v>
      </c>
      <c r="AD7" s="208" t="str">
        <f t="shared" si="14"/>
        <v/>
      </c>
      <c r="AE7" s="208" t="str">
        <f t="shared" si="27"/>
        <v/>
      </c>
      <c r="AF7" s="208" t="str">
        <f t="shared" si="15"/>
        <v/>
      </c>
      <c r="AG7" s="208" t="str">
        <f t="shared" si="16"/>
        <v/>
      </c>
      <c r="AH7" s="208" t="str">
        <f t="shared" si="17"/>
        <v/>
      </c>
      <c r="AI7" s="208" t="str">
        <f t="shared" si="18"/>
        <v/>
      </c>
      <c r="AJ7" s="208" t="str">
        <f t="shared" si="19"/>
        <v/>
      </c>
      <c r="AK7" s="208" t="str">
        <f t="shared" si="28"/>
        <v/>
      </c>
      <c r="AL7" s="208" t="str">
        <f t="shared" si="20"/>
        <v/>
      </c>
      <c r="AM7" s="208" t="str">
        <f t="shared" si="21"/>
        <v/>
      </c>
      <c r="AN7" s="208" t="str">
        <f t="shared" si="22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>IF(C8&gt;1,IF(D8&gt;0,D8,IF(StartsWith(AF8,"Epi "),IF(_Pat_Gewicht/10&lt;=48,_Pat_Gewicht/10,48),INDEX(Tbl_Ped_MedContIV,C8,H$2))),"")</f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>
        <f t="shared" si="4"/>
        <v>0</v>
      </c>
      <c r="Q8">
        <f t="shared" si="5"/>
        <v>0</v>
      </c>
      <c r="R8" s="208">
        <f t="shared" si="23"/>
        <v>0</v>
      </c>
      <c r="S8">
        <f t="shared" si="24"/>
        <v>0</v>
      </c>
      <c r="T8">
        <f t="shared" si="6"/>
        <v>0</v>
      </c>
      <c r="U8">
        <f t="shared" si="7"/>
        <v>0</v>
      </c>
      <c r="V8" s="208" t="b">
        <f t="shared" si="8"/>
        <v>0</v>
      </c>
      <c r="W8" s="208" t="b">
        <f t="shared" si="9"/>
        <v>0</v>
      </c>
      <c r="X8" s="209" t="b">
        <f t="shared" si="25"/>
        <v>0</v>
      </c>
      <c r="Y8" s="208" t="b">
        <f t="shared" si="10"/>
        <v>0</v>
      </c>
      <c r="Z8" s="208" t="b">
        <f t="shared" si="11"/>
        <v>0</v>
      </c>
      <c r="AA8" s="208" t="b">
        <f t="shared" si="26"/>
        <v>0</v>
      </c>
      <c r="AB8" s="208" t="b">
        <f t="shared" si="12"/>
        <v>0</v>
      </c>
      <c r="AC8" s="208" t="b">
        <f t="shared" si="13"/>
        <v>0</v>
      </c>
      <c r="AD8" s="208" t="str">
        <f t="shared" si="14"/>
        <v/>
      </c>
      <c r="AE8" s="208" t="str">
        <f t="shared" si="27"/>
        <v/>
      </c>
      <c r="AF8" s="208" t="str">
        <f t="shared" si="15"/>
        <v/>
      </c>
      <c r="AG8" s="208" t="str">
        <f t="shared" si="16"/>
        <v/>
      </c>
      <c r="AH8" s="208" t="str">
        <f t="shared" si="17"/>
        <v/>
      </c>
      <c r="AI8" s="208" t="str">
        <f t="shared" si="18"/>
        <v/>
      </c>
      <c r="AJ8" s="208" t="str">
        <f t="shared" si="19"/>
        <v/>
      </c>
      <c r="AK8" s="208" t="str">
        <f t="shared" si="28"/>
        <v/>
      </c>
      <c r="AL8" s="208" t="str">
        <f t="shared" si="20"/>
        <v/>
      </c>
      <c r="AM8" s="208" t="str">
        <f t="shared" si="21"/>
        <v/>
      </c>
      <c r="AN8" s="208" t="str">
        <f t="shared" si="22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>IF(C9&gt;1,IF(D9&gt;0,D9,IF(StartsWith(AF9,"Epi "),IF(_Pat_Gewicht/10&lt;=48,_Pat_Gewicht/10,48),INDEX(Tbl_Ped_MedContIV,C9,H$2))),"")</f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>
        <f t="shared" si="4"/>
        <v>0</v>
      </c>
      <c r="Q9">
        <f t="shared" si="5"/>
        <v>0</v>
      </c>
      <c r="R9" s="208">
        <f t="shared" si="23"/>
        <v>0</v>
      </c>
      <c r="S9">
        <f t="shared" si="24"/>
        <v>0</v>
      </c>
      <c r="T9">
        <f t="shared" si="6"/>
        <v>0</v>
      </c>
      <c r="U9">
        <f t="shared" si="7"/>
        <v>0</v>
      </c>
      <c r="V9" s="208" t="b">
        <f t="shared" si="8"/>
        <v>0</v>
      </c>
      <c r="W9" s="208" t="b">
        <f t="shared" si="9"/>
        <v>0</v>
      </c>
      <c r="X9" s="209" t="b">
        <f t="shared" si="25"/>
        <v>0</v>
      </c>
      <c r="Y9" s="208" t="b">
        <f t="shared" si="10"/>
        <v>0</v>
      </c>
      <c r="Z9" s="208" t="b">
        <f t="shared" si="11"/>
        <v>0</v>
      </c>
      <c r="AA9" s="208" t="b">
        <f t="shared" si="26"/>
        <v>0</v>
      </c>
      <c r="AB9" s="208" t="b">
        <f t="shared" si="12"/>
        <v>0</v>
      </c>
      <c r="AC9" s="208" t="b">
        <f t="shared" si="13"/>
        <v>0</v>
      </c>
      <c r="AD9" s="208" t="str">
        <f t="shared" si="14"/>
        <v/>
      </c>
      <c r="AE9" s="208" t="str">
        <f t="shared" si="27"/>
        <v/>
      </c>
      <c r="AF9" s="208" t="str">
        <f t="shared" si="15"/>
        <v/>
      </c>
      <c r="AG9" s="208" t="str">
        <f t="shared" si="16"/>
        <v/>
      </c>
      <c r="AH9" s="208" t="str">
        <f t="shared" si="17"/>
        <v/>
      </c>
      <c r="AI9" s="208" t="str">
        <f t="shared" si="18"/>
        <v/>
      </c>
      <c r="AJ9" s="208" t="str">
        <f t="shared" si="19"/>
        <v/>
      </c>
      <c r="AK9" s="208" t="str">
        <f t="shared" si="28"/>
        <v/>
      </c>
      <c r="AL9" s="208" t="str">
        <f t="shared" si="20"/>
        <v/>
      </c>
      <c r="AM9" s="208" t="str">
        <f t="shared" si="21"/>
        <v/>
      </c>
      <c r="AN9" s="208" t="str">
        <f t="shared" si="22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>IF(C10&gt;1,IF(D10&gt;0,D10,IF(StartsWith(AF10,"Epi "),IF(_Pat_Gewicht/10&lt;=48,_Pat_Gewicht/10,48),INDEX(Tbl_Ped_MedContIV,C10,H$2))),"")</f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>
        <f t="shared" si="4"/>
        <v>0</v>
      </c>
      <c r="Q10">
        <f t="shared" si="5"/>
        <v>0</v>
      </c>
      <c r="R10" s="208">
        <f t="shared" si="23"/>
        <v>0</v>
      </c>
      <c r="S10">
        <f t="shared" si="24"/>
        <v>0</v>
      </c>
      <c r="T10">
        <f t="shared" si="6"/>
        <v>0</v>
      </c>
      <c r="U10">
        <f t="shared" si="7"/>
        <v>0</v>
      </c>
      <c r="V10" s="208" t="b">
        <f t="shared" si="8"/>
        <v>0</v>
      </c>
      <c r="W10" s="208" t="b">
        <f t="shared" si="9"/>
        <v>0</v>
      </c>
      <c r="X10" s="209" t="b">
        <f t="shared" si="25"/>
        <v>0</v>
      </c>
      <c r="Y10" s="208" t="b">
        <f t="shared" si="10"/>
        <v>0</v>
      </c>
      <c r="Z10" s="208" t="b">
        <f t="shared" si="11"/>
        <v>0</v>
      </c>
      <c r="AA10" s="208" t="b">
        <f t="shared" si="26"/>
        <v>0</v>
      </c>
      <c r="AB10" s="208" t="b">
        <f t="shared" si="12"/>
        <v>0</v>
      </c>
      <c r="AC10" s="208" t="b">
        <f t="shared" si="13"/>
        <v>0</v>
      </c>
      <c r="AD10" s="208" t="str">
        <f t="shared" si="14"/>
        <v/>
      </c>
      <c r="AE10" s="208" t="str">
        <f t="shared" si="27"/>
        <v/>
      </c>
      <c r="AF10" s="208" t="str">
        <f t="shared" si="15"/>
        <v/>
      </c>
      <c r="AG10" s="208" t="str">
        <f t="shared" si="16"/>
        <v/>
      </c>
      <c r="AH10" s="208" t="str">
        <f t="shared" si="17"/>
        <v/>
      </c>
      <c r="AI10" s="208" t="str">
        <f t="shared" si="18"/>
        <v/>
      </c>
      <c r="AJ10" s="208" t="str">
        <f t="shared" si="19"/>
        <v/>
      </c>
      <c r="AK10" s="208" t="str">
        <f t="shared" si="28"/>
        <v/>
      </c>
      <c r="AL10" s="208" t="str">
        <f t="shared" si="20"/>
        <v/>
      </c>
      <c r="AM10" s="208" t="str">
        <f t="shared" si="21"/>
        <v/>
      </c>
      <c r="AN10" s="208" t="str">
        <f t="shared" si="22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>IF(C11&gt;1,IF(D11&gt;0,D11,IF(StartsWith(AF11,"Epi "),IF(_Pat_Gewicht/10&lt;=48,_Pat_Gewicht/10,48),INDEX(Tbl_Ped_MedContIV,C11,H$2))),"")</f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>
        <f t="shared" si="4"/>
        <v>0</v>
      </c>
      <c r="Q11">
        <f t="shared" si="5"/>
        <v>0</v>
      </c>
      <c r="R11" s="208">
        <f t="shared" si="23"/>
        <v>0</v>
      </c>
      <c r="S11">
        <f t="shared" si="24"/>
        <v>0</v>
      </c>
      <c r="T11">
        <f t="shared" si="6"/>
        <v>0</v>
      </c>
      <c r="U11">
        <f t="shared" si="7"/>
        <v>0</v>
      </c>
      <c r="V11" s="208" t="b">
        <f t="shared" si="8"/>
        <v>0</v>
      </c>
      <c r="W11" s="208" t="b">
        <f t="shared" si="9"/>
        <v>0</v>
      </c>
      <c r="X11" s="209" t="b">
        <f t="shared" si="25"/>
        <v>0</v>
      </c>
      <c r="Y11" s="208" t="b">
        <f t="shared" si="10"/>
        <v>0</v>
      </c>
      <c r="Z11" s="208" t="b">
        <f t="shared" si="11"/>
        <v>0</v>
      </c>
      <c r="AA11" s="208" t="b">
        <f t="shared" si="26"/>
        <v>0</v>
      </c>
      <c r="AB11" s="208" t="b">
        <f t="shared" si="12"/>
        <v>0</v>
      </c>
      <c r="AC11" s="208" t="b">
        <f t="shared" si="13"/>
        <v>0</v>
      </c>
      <c r="AD11" s="208" t="str">
        <f t="shared" si="14"/>
        <v/>
      </c>
      <c r="AE11" s="208" t="str">
        <f t="shared" si="27"/>
        <v/>
      </c>
      <c r="AF11" s="208" t="str">
        <f t="shared" si="15"/>
        <v/>
      </c>
      <c r="AG11" s="208" t="str">
        <f t="shared" si="16"/>
        <v/>
      </c>
      <c r="AH11" s="208" t="str">
        <f t="shared" si="17"/>
        <v/>
      </c>
      <c r="AI11" s="208" t="str">
        <f t="shared" si="18"/>
        <v/>
      </c>
      <c r="AJ11" s="208" t="str">
        <f t="shared" si="19"/>
        <v/>
      </c>
      <c r="AK11" s="208" t="str">
        <f t="shared" si="28"/>
        <v/>
      </c>
      <c r="AL11" s="208" t="str">
        <f t="shared" si="20"/>
        <v/>
      </c>
      <c r="AM11" s="208" t="str">
        <f t="shared" si="21"/>
        <v/>
      </c>
      <c r="AN11" s="208" t="str">
        <f t="shared" si="22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>IF(C12&gt;1,IF(D12&gt;0,D12,IF(StartsWith(AF12,"Epi "),IF(_Pat_Gewicht/10&lt;=48,_Pat_Gewicht/10,48),INDEX(Tbl_Ped_MedContIV,C12,H$2))),"")</f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 s="208">
        <f t="shared" si="23"/>
        <v>0</v>
      </c>
      <c r="S12">
        <f t="shared" si="24"/>
        <v>0</v>
      </c>
      <c r="T12">
        <f t="shared" si="6"/>
        <v>0</v>
      </c>
      <c r="U12">
        <f t="shared" si="7"/>
        <v>0</v>
      </c>
      <c r="V12" s="208" t="b">
        <f t="shared" si="8"/>
        <v>0</v>
      </c>
      <c r="W12" s="208" t="b">
        <f t="shared" si="9"/>
        <v>0</v>
      </c>
      <c r="X12" s="209" t="b">
        <f t="shared" si="25"/>
        <v>0</v>
      </c>
      <c r="Y12" s="208" t="b">
        <f t="shared" si="10"/>
        <v>0</v>
      </c>
      <c r="Z12" s="208" t="b">
        <f t="shared" si="11"/>
        <v>0</v>
      </c>
      <c r="AA12" s="208" t="b">
        <f t="shared" si="26"/>
        <v>0</v>
      </c>
      <c r="AB12" s="208" t="b">
        <f t="shared" si="12"/>
        <v>0</v>
      </c>
      <c r="AC12" s="208" t="b">
        <f t="shared" si="13"/>
        <v>0</v>
      </c>
      <c r="AD12" s="208" t="str">
        <f t="shared" si="14"/>
        <v/>
      </c>
      <c r="AE12" s="208" t="str">
        <f t="shared" si="27"/>
        <v/>
      </c>
      <c r="AF12" s="208" t="str">
        <f t="shared" si="15"/>
        <v/>
      </c>
      <c r="AG12" s="208" t="str">
        <f t="shared" si="16"/>
        <v/>
      </c>
      <c r="AH12" s="208" t="str">
        <f t="shared" si="17"/>
        <v/>
      </c>
      <c r="AI12" s="208" t="str">
        <f t="shared" si="18"/>
        <v/>
      </c>
      <c r="AJ12" s="208" t="str">
        <f t="shared" si="19"/>
        <v/>
      </c>
      <c r="AK12" s="208" t="str">
        <f t="shared" si="28"/>
        <v/>
      </c>
      <c r="AL12" s="208" t="str">
        <f t="shared" si="20"/>
        <v/>
      </c>
      <c r="AM12" s="208" t="str">
        <f t="shared" si="21"/>
        <v/>
      </c>
      <c r="AN12" s="208" t="str">
        <f t="shared" si="22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>IF(C13&gt;1,IF(D13&gt;0,D13,IF(StartsWith(AF13,"Epi "),IF(_Pat_Gewicht/10&lt;=48,_Pat_Gewicht/10,48),INDEX(Tbl_Ped_MedContIV,C13,H$2))),"")</f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 s="208">
        <f t="shared" si="23"/>
        <v>0</v>
      </c>
      <c r="S13">
        <f t="shared" si="24"/>
        <v>0</v>
      </c>
      <c r="T13">
        <f t="shared" si="6"/>
        <v>0</v>
      </c>
      <c r="U13">
        <f t="shared" si="7"/>
        <v>0</v>
      </c>
      <c r="V13" s="208" t="b">
        <f t="shared" si="8"/>
        <v>0</v>
      </c>
      <c r="W13" s="208" t="b">
        <f t="shared" si="9"/>
        <v>0</v>
      </c>
      <c r="X13" s="209" t="b">
        <f t="shared" si="25"/>
        <v>0</v>
      </c>
      <c r="Y13" s="208" t="b">
        <f t="shared" si="10"/>
        <v>0</v>
      </c>
      <c r="Z13" s="208" t="b">
        <f t="shared" si="11"/>
        <v>0</v>
      </c>
      <c r="AA13" s="208" t="b">
        <f t="shared" si="26"/>
        <v>0</v>
      </c>
      <c r="AB13" s="208" t="b">
        <f t="shared" si="12"/>
        <v>0</v>
      </c>
      <c r="AC13" s="208" t="b">
        <f t="shared" si="13"/>
        <v>0</v>
      </c>
      <c r="AD13" s="208" t="str">
        <f t="shared" si="14"/>
        <v/>
      </c>
      <c r="AE13" s="208" t="str">
        <f t="shared" si="27"/>
        <v/>
      </c>
      <c r="AF13" s="208" t="str">
        <f t="shared" si="15"/>
        <v/>
      </c>
      <c r="AG13" s="208" t="str">
        <f t="shared" si="16"/>
        <v/>
      </c>
      <c r="AH13" s="208" t="str">
        <f t="shared" si="17"/>
        <v/>
      </c>
      <c r="AI13" s="208" t="str">
        <f t="shared" si="18"/>
        <v/>
      </c>
      <c r="AJ13" s="208" t="str">
        <f t="shared" si="19"/>
        <v/>
      </c>
      <c r="AK13" s="208" t="str">
        <f t="shared" si="28"/>
        <v/>
      </c>
      <c r="AL13" s="208" t="str">
        <f t="shared" si="20"/>
        <v/>
      </c>
      <c r="AM13" s="208" t="str">
        <f t="shared" si="21"/>
        <v/>
      </c>
      <c r="AN13" s="208" t="str">
        <f t="shared" si="22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>IF(C14&gt;1,IF(D14&gt;0,D14,IF(StartsWith(AF14,"Epi "),IF(_Pat_Gewicht/10&lt;=48,_Pat_Gewicht/10,48),INDEX(Tbl_Ped_MedContIV,C14,H$2))),"")</f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 s="208">
        <f t="shared" si="23"/>
        <v>0</v>
      </c>
      <c r="S14">
        <f t="shared" si="24"/>
        <v>0</v>
      </c>
      <c r="T14">
        <f t="shared" si="6"/>
        <v>0</v>
      </c>
      <c r="U14">
        <f t="shared" si="7"/>
        <v>0</v>
      </c>
      <c r="V14" s="208" t="b">
        <f t="shared" si="8"/>
        <v>0</v>
      </c>
      <c r="W14" s="208" t="b">
        <f t="shared" si="9"/>
        <v>0</v>
      </c>
      <c r="X14" s="209" t="b">
        <f t="shared" si="25"/>
        <v>0</v>
      </c>
      <c r="Y14" s="208" t="b">
        <f t="shared" si="10"/>
        <v>0</v>
      </c>
      <c r="Z14" s="208" t="b">
        <f t="shared" si="11"/>
        <v>0</v>
      </c>
      <c r="AA14" s="208" t="b">
        <f t="shared" si="26"/>
        <v>0</v>
      </c>
      <c r="AB14" s="208" t="b">
        <f t="shared" si="12"/>
        <v>0</v>
      </c>
      <c r="AC14" s="208" t="b">
        <f t="shared" si="13"/>
        <v>0</v>
      </c>
      <c r="AD14" s="208" t="str">
        <f t="shared" si="14"/>
        <v/>
      </c>
      <c r="AE14" s="208" t="str">
        <f t="shared" si="27"/>
        <v/>
      </c>
      <c r="AF14" s="208" t="str">
        <f t="shared" si="15"/>
        <v/>
      </c>
      <c r="AG14" s="208" t="str">
        <f t="shared" si="16"/>
        <v/>
      </c>
      <c r="AH14" s="208" t="str">
        <f t="shared" si="17"/>
        <v/>
      </c>
      <c r="AI14" s="208" t="str">
        <f t="shared" si="18"/>
        <v/>
      </c>
      <c r="AJ14" s="208" t="str">
        <f t="shared" si="19"/>
        <v/>
      </c>
      <c r="AK14" s="208" t="str">
        <f t="shared" si="28"/>
        <v/>
      </c>
      <c r="AL14" s="208" t="str">
        <f t="shared" si="20"/>
        <v/>
      </c>
      <c r="AM14" s="208" t="str">
        <f t="shared" si="21"/>
        <v/>
      </c>
      <c r="AN14" s="208" t="str">
        <f t="shared" si="22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>IF(C15&gt;1,IF(D15&gt;0,D15,IF(StartsWith(AF15,"Epi "),IF(_Pat_Gewicht/10&lt;=48,_Pat_Gewicht/10,48),INDEX(Tbl_Ped_MedContIV,C15,H$2))),"")</f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4"/>
        <v>0</v>
      </c>
      <c r="Q15" s="208">
        <f t="shared" si="5"/>
        <v>0</v>
      </c>
      <c r="R15" s="208">
        <f t="shared" si="23"/>
        <v>0</v>
      </c>
      <c r="S15" s="208">
        <f t="shared" si="24"/>
        <v>0</v>
      </c>
      <c r="T15" s="208">
        <f t="shared" si="6"/>
        <v>0</v>
      </c>
      <c r="U15" s="208">
        <f t="shared" si="7"/>
        <v>0</v>
      </c>
      <c r="V15" s="208" t="b">
        <f t="shared" si="8"/>
        <v>0</v>
      </c>
      <c r="W15" s="208" t="b">
        <f t="shared" si="9"/>
        <v>0</v>
      </c>
      <c r="X15" s="209" t="b">
        <f t="shared" si="25"/>
        <v>0</v>
      </c>
      <c r="Y15" s="208" t="b">
        <f t="shared" si="10"/>
        <v>0</v>
      </c>
      <c r="Z15" s="208" t="b">
        <f t="shared" si="11"/>
        <v>0</v>
      </c>
      <c r="AA15" s="208" t="b">
        <f t="shared" si="26"/>
        <v>0</v>
      </c>
      <c r="AB15" s="208" t="b">
        <f t="shared" si="12"/>
        <v>0</v>
      </c>
      <c r="AC15" s="208" t="b">
        <f t="shared" si="13"/>
        <v>0</v>
      </c>
      <c r="AD15" s="208" t="str">
        <f t="shared" si="14"/>
        <v/>
      </c>
      <c r="AE15" s="208" t="str">
        <f t="shared" si="27"/>
        <v/>
      </c>
      <c r="AF15" s="208" t="str">
        <f t="shared" si="15"/>
        <v/>
      </c>
      <c r="AG15" s="208" t="str">
        <f t="shared" si="16"/>
        <v/>
      </c>
      <c r="AH15" s="208" t="str">
        <f t="shared" si="17"/>
        <v/>
      </c>
      <c r="AI15" s="208" t="str">
        <f t="shared" si="18"/>
        <v/>
      </c>
      <c r="AJ15" s="208" t="str">
        <f t="shared" si="19"/>
        <v/>
      </c>
      <c r="AK15" s="208" t="str">
        <f t="shared" si="28"/>
        <v/>
      </c>
      <c r="AL15" s="208" t="str">
        <f t="shared" si="20"/>
        <v/>
      </c>
      <c r="AM15" s="208" t="str">
        <f t="shared" si="21"/>
        <v/>
      </c>
      <c r="AN15" s="208" t="str">
        <f t="shared" si="22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>IF(C16&gt;1,IF(D16&gt;0,D16,IF(StartsWith(AF16,"Epi "),IF(_Pat_Gewicht/10&lt;=48,_Pat_Gewicht/10,48),INDEX(Tbl_Ped_MedContIV,C16,H$2))),"")</f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4"/>
        <v>0</v>
      </c>
      <c r="Q16" s="208">
        <f t="shared" si="5"/>
        <v>0</v>
      </c>
      <c r="R16" s="208">
        <f t="shared" si="23"/>
        <v>0</v>
      </c>
      <c r="S16" s="208">
        <f t="shared" si="24"/>
        <v>0</v>
      </c>
      <c r="T16" s="208">
        <f t="shared" si="6"/>
        <v>0</v>
      </c>
      <c r="U16" s="208">
        <f t="shared" si="7"/>
        <v>0</v>
      </c>
      <c r="V16" s="208" t="b">
        <f t="shared" si="8"/>
        <v>0</v>
      </c>
      <c r="W16" s="208" t="b">
        <f t="shared" si="9"/>
        <v>0</v>
      </c>
      <c r="X16" s="209" t="b">
        <f t="shared" si="25"/>
        <v>0</v>
      </c>
      <c r="Y16" s="208" t="b">
        <f t="shared" si="10"/>
        <v>0</v>
      </c>
      <c r="Z16" s="208" t="b">
        <f t="shared" si="11"/>
        <v>0</v>
      </c>
      <c r="AA16" s="208" t="b">
        <f t="shared" si="26"/>
        <v>0</v>
      </c>
      <c r="AB16" s="208" t="b">
        <f t="shared" si="12"/>
        <v>0</v>
      </c>
      <c r="AC16" s="208" t="b">
        <f t="shared" si="13"/>
        <v>0</v>
      </c>
      <c r="AD16" s="208" t="str">
        <f t="shared" si="14"/>
        <v/>
      </c>
      <c r="AE16" s="208" t="str">
        <f t="shared" si="27"/>
        <v/>
      </c>
      <c r="AF16" s="208" t="str">
        <f t="shared" si="15"/>
        <v/>
      </c>
      <c r="AG16" s="208" t="str">
        <f t="shared" si="16"/>
        <v/>
      </c>
      <c r="AH16" s="208" t="str">
        <f t="shared" si="17"/>
        <v/>
      </c>
      <c r="AI16" s="208" t="str">
        <f t="shared" si="18"/>
        <v/>
      </c>
      <c r="AJ16" s="208" t="str">
        <f t="shared" si="19"/>
        <v/>
      </c>
      <c r="AK16" s="208" t="str">
        <f t="shared" si="28"/>
        <v/>
      </c>
      <c r="AL16" s="208" t="str">
        <f t="shared" si="20"/>
        <v/>
      </c>
      <c r="AM16" s="208" t="str">
        <f t="shared" si="21"/>
        <v/>
      </c>
      <c r="AN16" s="208" t="str">
        <f t="shared" si="22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>IF(C17&gt;1,IF(D17&gt;0,D17,IF(StartsWith(AF17,"Epi "),IF(_Pat_Gewicht/10&lt;=48,_Pat_Gewicht/10,48),INDEX(Tbl_Ped_MedContIV,C17,H$2))),"")</f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4"/>
        <v>0</v>
      </c>
      <c r="Q17" s="208">
        <f t="shared" si="5"/>
        <v>0</v>
      </c>
      <c r="R17" s="208">
        <f t="shared" si="23"/>
        <v>0</v>
      </c>
      <c r="S17" s="208">
        <f t="shared" si="24"/>
        <v>0</v>
      </c>
      <c r="T17" s="208">
        <f t="shared" si="6"/>
        <v>0</v>
      </c>
      <c r="U17" s="208">
        <f t="shared" si="7"/>
        <v>0</v>
      </c>
      <c r="V17" s="208" t="b">
        <f t="shared" si="8"/>
        <v>0</v>
      </c>
      <c r="W17" s="208" t="b">
        <f t="shared" si="9"/>
        <v>0</v>
      </c>
      <c r="X17" s="209" t="b">
        <f t="shared" si="25"/>
        <v>0</v>
      </c>
      <c r="Y17" s="208" t="b">
        <f t="shared" si="10"/>
        <v>0</v>
      </c>
      <c r="Z17" s="208" t="b">
        <f t="shared" si="11"/>
        <v>0</v>
      </c>
      <c r="AA17" s="208" t="b">
        <f t="shared" si="26"/>
        <v>0</v>
      </c>
      <c r="AB17" s="208" t="b">
        <f t="shared" si="12"/>
        <v>0</v>
      </c>
      <c r="AC17" s="208" t="b">
        <f t="shared" si="13"/>
        <v>0</v>
      </c>
      <c r="AD17" s="208" t="str">
        <f t="shared" si="14"/>
        <v/>
      </c>
      <c r="AE17" s="208" t="str">
        <f t="shared" si="27"/>
        <v/>
      </c>
      <c r="AF17" s="208" t="str">
        <f t="shared" si="15"/>
        <v/>
      </c>
      <c r="AG17" s="208" t="str">
        <f t="shared" si="16"/>
        <v/>
      </c>
      <c r="AH17" s="208" t="str">
        <f t="shared" si="17"/>
        <v/>
      </c>
      <c r="AI17" s="208" t="str">
        <f t="shared" si="18"/>
        <v/>
      </c>
      <c r="AJ17" s="208" t="str">
        <f t="shared" si="19"/>
        <v/>
      </c>
      <c r="AK17" s="208" t="str">
        <f t="shared" si="28"/>
        <v/>
      </c>
      <c r="AL17" s="208" t="str">
        <f t="shared" si="20"/>
        <v/>
      </c>
      <c r="AM17" s="208" t="str">
        <f t="shared" si="21"/>
        <v/>
      </c>
      <c r="AN17" s="208" t="str">
        <f t="shared" si="22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>IF(C18&gt;1,IF(D18&gt;0,D18,IF(StartsWith(AF18,"Epi "),IF(_Pat_Gewicht/10&lt;=48,_Pat_Gewicht/10,48),INDEX(Tbl_Ped_MedContIV,C18,H$2))),"")</f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4"/>
        <v>0</v>
      </c>
      <c r="Q18" s="208">
        <f t="shared" si="5"/>
        <v>0</v>
      </c>
      <c r="R18" s="208">
        <f t="shared" si="23"/>
        <v>0</v>
      </c>
      <c r="S18" s="208">
        <f t="shared" si="24"/>
        <v>0</v>
      </c>
      <c r="T18" s="208">
        <f t="shared" si="6"/>
        <v>0</v>
      </c>
      <c r="U18" s="208">
        <f t="shared" si="7"/>
        <v>0</v>
      </c>
      <c r="V18" s="208" t="b">
        <f t="shared" si="8"/>
        <v>0</v>
      </c>
      <c r="W18" s="208" t="b">
        <f t="shared" si="9"/>
        <v>0</v>
      </c>
      <c r="X18" s="209" t="b">
        <f t="shared" si="25"/>
        <v>0</v>
      </c>
      <c r="Y18" s="208" t="b">
        <f t="shared" si="10"/>
        <v>0</v>
      </c>
      <c r="Z18" s="208" t="b">
        <f t="shared" si="11"/>
        <v>0</v>
      </c>
      <c r="AA18" s="208" t="b">
        <f t="shared" si="26"/>
        <v>0</v>
      </c>
      <c r="AB18" s="208" t="b">
        <f t="shared" si="12"/>
        <v>0</v>
      </c>
      <c r="AC18" s="208" t="b">
        <f t="shared" si="13"/>
        <v>0</v>
      </c>
      <c r="AD18" s="208" t="str">
        <f t="shared" si="14"/>
        <v/>
      </c>
      <c r="AE18" s="208" t="str">
        <f t="shared" si="27"/>
        <v/>
      </c>
      <c r="AF18" s="208" t="str">
        <f t="shared" si="15"/>
        <v/>
      </c>
      <c r="AG18" s="208" t="str">
        <f t="shared" si="16"/>
        <v/>
      </c>
      <c r="AH18" s="208" t="str">
        <f t="shared" si="17"/>
        <v/>
      </c>
      <c r="AI18" s="208" t="str">
        <f t="shared" si="18"/>
        <v/>
      </c>
      <c r="AJ18" s="208" t="str">
        <f t="shared" si="19"/>
        <v/>
      </c>
      <c r="AK18" s="208" t="str">
        <f t="shared" si="28"/>
        <v/>
      </c>
      <c r="AL18" s="208" t="str">
        <f t="shared" si="20"/>
        <v/>
      </c>
      <c r="AM18" s="208" t="str">
        <f t="shared" si="21"/>
        <v/>
      </c>
      <c r="AN18" s="208" t="str">
        <f t="shared" si="22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>IF(C19&gt;1,IF(D19&gt;0,D19,IF(StartsWith(AF19,"Epi "),IF(_Pat_Gewicht/10&lt;=48,_Pat_Gewicht/10,48),INDEX(Tbl_Ped_MedContIV,C19,H$2))),"")</f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4"/>
        <v>0</v>
      </c>
      <c r="Q19" s="208">
        <f t="shared" si="5"/>
        <v>0</v>
      </c>
      <c r="R19" s="208">
        <f t="shared" si="23"/>
        <v>0</v>
      </c>
      <c r="S19" s="208">
        <f t="shared" si="24"/>
        <v>0</v>
      </c>
      <c r="T19" s="208">
        <f t="shared" si="6"/>
        <v>0</v>
      </c>
      <c r="U19" s="208">
        <f t="shared" si="7"/>
        <v>0</v>
      </c>
      <c r="V19" s="208" t="b">
        <f t="shared" si="8"/>
        <v>0</v>
      </c>
      <c r="W19" s="208" t="b">
        <f t="shared" si="9"/>
        <v>0</v>
      </c>
      <c r="X19" s="209" t="b">
        <f t="shared" si="25"/>
        <v>0</v>
      </c>
      <c r="Y19" s="208" t="b">
        <f t="shared" si="10"/>
        <v>0</v>
      </c>
      <c r="Z19" s="208" t="b">
        <f t="shared" si="11"/>
        <v>0</v>
      </c>
      <c r="AA19" s="208" t="b">
        <f t="shared" si="26"/>
        <v>0</v>
      </c>
      <c r="AB19" s="208" t="b">
        <f t="shared" si="12"/>
        <v>0</v>
      </c>
      <c r="AC19" s="208" t="b">
        <f t="shared" si="13"/>
        <v>0</v>
      </c>
      <c r="AD19" s="208" t="str">
        <f t="shared" si="14"/>
        <v/>
      </c>
      <c r="AE19" s="208" t="str">
        <f t="shared" si="27"/>
        <v/>
      </c>
      <c r="AF19" s="208" t="str">
        <f t="shared" si="15"/>
        <v/>
      </c>
      <c r="AG19" s="208" t="str">
        <f t="shared" si="16"/>
        <v/>
      </c>
      <c r="AH19" s="208" t="str">
        <f t="shared" si="17"/>
        <v/>
      </c>
      <c r="AI19" s="208" t="str">
        <f t="shared" si="18"/>
        <v/>
      </c>
      <c r="AJ19" s="208" t="str">
        <f t="shared" si="19"/>
        <v/>
      </c>
      <c r="AK19" s="208" t="str">
        <f t="shared" si="28"/>
        <v/>
      </c>
      <c r="AL19" s="208" t="str">
        <f t="shared" si="20"/>
        <v/>
      </c>
      <c r="AM19" s="208" t="str">
        <f t="shared" si="21"/>
        <v/>
      </c>
      <c r="AN19" s="208" t="str">
        <f t="shared" si="22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6">
        <v>16</v>
      </c>
      <c r="B21" s="346"/>
      <c r="C21" s="346"/>
      <c r="D21" s="347">
        <v>0</v>
      </c>
      <c r="E21" s="346">
        <v>0</v>
      </c>
      <c r="F21" s="346">
        <v>1</v>
      </c>
      <c r="G21" s="346">
        <v>0</v>
      </c>
      <c r="H21" s="346"/>
      <c r="I21" s="346"/>
      <c r="J21" s="346"/>
      <c r="K21" s="346" t="e">
        <f>LEFT(D21,FIND(" ",D21))</f>
        <v>#VALUE!</v>
      </c>
      <c r="L21" s="346" t="e">
        <f>MID(D21, FIND(" ",D21), LEN(D21) - FIND(" ",D21) + 1)</f>
        <v>#VALUE!</v>
      </c>
      <c r="M21" s="346">
        <f>IF(PedGuiMedIV!E25&lt;&gt;"",G21/10*24,0)</f>
        <v>0</v>
      </c>
      <c r="N21" s="346">
        <f>IF($F21=3,M21*0.05,0)</f>
        <v>0</v>
      </c>
      <c r="O21" s="346">
        <f>IF($F21=4,M21*0.1,0)</f>
        <v>0</v>
      </c>
      <c r="P21" s="346">
        <f>IF($F21=2,M21*0.155,0)</f>
        <v>0</v>
      </c>
      <c r="Q21" s="346">
        <f>IF(OR($C21=24),0.5*$M21,IF(C21=4,M21*145/1000,0))</f>
        <v>0</v>
      </c>
      <c r="R21" s="346">
        <f>Q21</f>
        <v>0</v>
      </c>
      <c r="S21" s="346">
        <f t="shared" si="24"/>
        <v>0</v>
      </c>
      <c r="T21" s="346">
        <f>IF(OR($C21=4),0.2*$M21,0)</f>
        <v>0</v>
      </c>
      <c r="U21" s="346">
        <f>IF(OR(C21=20,C21=21),0.1*M21,0)</f>
        <v>0</v>
      </c>
      <c r="V21" s="346"/>
      <c r="W21" s="346"/>
      <c r="X21" s="346"/>
      <c r="Y21" s="346"/>
      <c r="Z21" s="346"/>
      <c r="AA21" s="346"/>
      <c r="AB21" s="346"/>
      <c r="AC21" s="346"/>
      <c r="AD21" s="346" t="str">
        <f>IF(C21&gt;1,"verw","")</f>
        <v/>
      </c>
      <c r="AE21" s="346"/>
      <c r="AF21" s="346" t="str">
        <f>IF(C21&lt;&gt;"",C21,"")</f>
        <v/>
      </c>
      <c r="AG21" s="346">
        <f>IF(D21="","",D21)</f>
        <v>0</v>
      </c>
      <c r="AH21" s="346" t="str">
        <f>IF(C21&lt;&gt;"",E21&amp;" ml","")</f>
        <v/>
      </c>
      <c r="AI21" s="346" t="str">
        <f>IF((INDEX(Tbl_Ped_MedContIV_OplVl,F21,1)=0),"",INDEX(Tbl_Ped_MedContIV_OplVl,F21,1))</f>
        <v/>
      </c>
      <c r="AJ21" s="346" t="str">
        <f>IF(C21&gt;1,G21/10&amp;" ml/uur","")</f>
        <v/>
      </c>
      <c r="AK21" s="346" t="str">
        <f>IFERROR(ROUND((G21/10)*K21/E21/(_Pat_Gewicht/10),3)&amp;" "&amp;L21&amp;"/kg/uur "&amp;"("&amp;ROUND((G21/10/60)*K21/E21/(_Pat_Gewicht/10),3)&amp;" "&amp;L21&amp;"/kg/min)","")</f>
        <v/>
      </c>
      <c r="AL21" s="346"/>
      <c r="AM21" s="346" t="str">
        <f>IF(C21&gt;1,24*G21/10&amp;" ml","")</f>
        <v/>
      </c>
      <c r="AN21" s="346"/>
    </row>
    <row r="22" spans="1:40" s="218" customFormat="1" x14ac:dyDescent="0.2">
      <c r="A22" s="346">
        <v>17</v>
      </c>
      <c r="B22" s="346"/>
      <c r="C22" s="346"/>
      <c r="D22" s="346">
        <v>0</v>
      </c>
      <c r="E22" s="346">
        <v>0</v>
      </c>
      <c r="F22" s="346">
        <v>1</v>
      </c>
      <c r="G22" s="346">
        <v>0</v>
      </c>
      <c r="H22" s="346"/>
      <c r="I22" s="346"/>
      <c r="J22" s="346"/>
      <c r="K22" s="346" t="e">
        <f>LEFT(D22,FIND(" ",D22))</f>
        <v>#VALUE!</v>
      </c>
      <c r="L22" s="346" t="e">
        <f>MID(D22, FIND(" ",D22), LEN(D22) - FIND(" ",D22) + 1)</f>
        <v>#VALUE!</v>
      </c>
      <c r="M22" s="346">
        <f>IF(PedGuiMedIV!E26&lt;&gt;"",G22/10*24,0)</f>
        <v>0</v>
      </c>
      <c r="N22" s="346">
        <f>IF($F22=3,M22*0.05,0)</f>
        <v>0</v>
      </c>
      <c r="O22" s="346">
        <f>IF($F22=4,M22*0.1,0)</f>
        <v>0</v>
      </c>
      <c r="P22" s="346">
        <f>IF($F22=2,M22*0.155,0)</f>
        <v>0</v>
      </c>
      <c r="Q22" s="346">
        <f>IF(OR($C22=24),0.5*$M22,IF(C22=4,M22*145/1000,0))</f>
        <v>0</v>
      </c>
      <c r="R22" s="346">
        <f t="shared" ref="R22:R25" si="29">Q22</f>
        <v>0</v>
      </c>
      <c r="S22" s="346">
        <f t="shared" si="24"/>
        <v>0</v>
      </c>
      <c r="T22" s="346">
        <f>IF(OR($C22=4),0.2*$M22,0)</f>
        <v>0</v>
      </c>
      <c r="U22" s="346">
        <f>IF(OR(C22=20,C22=21),0.1*M22,0)</f>
        <v>0</v>
      </c>
      <c r="V22" s="346"/>
      <c r="W22" s="346"/>
      <c r="X22" s="346"/>
      <c r="Y22" s="346"/>
      <c r="Z22" s="346"/>
      <c r="AA22" s="346"/>
      <c r="AB22" s="346"/>
      <c r="AC22" s="346"/>
      <c r="AD22" s="346" t="str">
        <f>IF(C22&gt;1,"verw","")</f>
        <v/>
      </c>
      <c r="AE22" s="346"/>
      <c r="AF22" s="346" t="str">
        <f>IF(C22&lt;&gt;"",C22,"")</f>
        <v/>
      </c>
      <c r="AG22" s="346">
        <f t="shared" ref="AG22:AG25" si="30">IF(D22="","",D22)</f>
        <v>0</v>
      </c>
      <c r="AH22" s="346" t="str">
        <f>IF(C22&lt;&gt;"",E22&amp;" ml","")</f>
        <v/>
      </c>
      <c r="AI22" s="346" t="str">
        <f>IF((INDEX(Tbl_Ped_MedContIV_OplVl,F22,1)=0),"",INDEX(Tbl_Ped_MedContIV_OplVl,F22,1))</f>
        <v/>
      </c>
      <c r="AJ22" s="346" t="str">
        <f>IF(C22&gt;1,G22/10&amp;" ml/uur","")</f>
        <v/>
      </c>
      <c r="AK22" s="346" t="str">
        <f>IFERROR(ROUND((G22/10)*K22/E22/(_Pat_Gewicht/10),3)&amp;" "&amp;L22&amp;"/kg/uur "&amp;"("&amp;ROUND((G22/10/60)*K22/E22/(_Pat_Gewicht/10),3)&amp;" "&amp;L22&amp;"/kg/min)","")</f>
        <v/>
      </c>
      <c r="AL22" s="346"/>
      <c r="AM22" s="346" t="str">
        <f>IF(C22&gt;1,24*G22/10&amp;" ml","")</f>
        <v/>
      </c>
      <c r="AN22" s="346"/>
    </row>
    <row r="23" spans="1:40" s="218" customFormat="1" x14ac:dyDescent="0.2">
      <c r="A23" s="346">
        <v>18</v>
      </c>
      <c r="B23" s="346"/>
      <c r="C23" s="346"/>
      <c r="D23" s="346">
        <v>0</v>
      </c>
      <c r="E23" s="346">
        <v>0</v>
      </c>
      <c r="F23" s="346">
        <v>1</v>
      </c>
      <c r="G23" s="346">
        <v>0</v>
      </c>
      <c r="H23" s="346"/>
      <c r="I23" s="346"/>
      <c r="J23" s="346"/>
      <c r="K23" s="346" t="e">
        <f>LEFT(D23,FIND(" ",D23))</f>
        <v>#VALUE!</v>
      </c>
      <c r="L23" s="346" t="e">
        <f>MID(D23, FIND(" ",D23), LEN(D23) - FIND(" ",D23) + 1)</f>
        <v>#VALUE!</v>
      </c>
      <c r="M23" s="346">
        <f>IF(PedGuiMedIV!E27&lt;&gt;"",G23/10*24,0)</f>
        <v>0</v>
      </c>
      <c r="N23" s="346">
        <f>IF($F23=3,M23*0.05,0)</f>
        <v>0</v>
      </c>
      <c r="O23" s="346">
        <f>IF($F23=4,M23*0.1,0)</f>
        <v>0</v>
      </c>
      <c r="P23" s="346">
        <f>IF($F23=2,M23*0.155,0)</f>
        <v>0</v>
      </c>
      <c r="Q23" s="346">
        <f>IF(OR($C23=24),0.5*$M23,IF(C23=4,M23*145/1000,0))</f>
        <v>0</v>
      </c>
      <c r="R23" s="346">
        <f t="shared" si="29"/>
        <v>0</v>
      </c>
      <c r="S23" s="346">
        <f t="shared" si="24"/>
        <v>0</v>
      </c>
      <c r="T23" s="346">
        <f>IF(OR($C23=4),0.2*$M23,0)</f>
        <v>0</v>
      </c>
      <c r="U23" s="346">
        <f>IF(OR(C23=20,C23=21),0.1*M23,0)</f>
        <v>0</v>
      </c>
      <c r="V23" s="346"/>
      <c r="W23" s="346"/>
      <c r="X23" s="346"/>
      <c r="Y23" s="346"/>
      <c r="Z23" s="346"/>
      <c r="AA23" s="346"/>
      <c r="AB23" s="346"/>
      <c r="AC23" s="346"/>
      <c r="AD23" s="346" t="str">
        <f>IF(C23&gt;1,"verw","")</f>
        <v/>
      </c>
      <c r="AE23" s="346"/>
      <c r="AF23" s="346" t="str">
        <f>IF(C23&lt;&gt;"",C23,"")</f>
        <v/>
      </c>
      <c r="AG23" s="346">
        <f t="shared" si="30"/>
        <v>0</v>
      </c>
      <c r="AH23" s="346" t="str">
        <f>IF(C23&lt;&gt;"",E23&amp;" ml","")</f>
        <v/>
      </c>
      <c r="AI23" s="346" t="str">
        <f>IF((INDEX(Tbl_Ped_MedContIV_OplVl,F23,1)=0),"",INDEX(Tbl_Ped_MedContIV_OplVl,F23,1))</f>
        <v/>
      </c>
      <c r="AJ23" s="346" t="str">
        <f>IF(C23&gt;1,G23/10&amp;" ml/uur","")</f>
        <v/>
      </c>
      <c r="AK23" s="346" t="str">
        <f>IFERROR(ROUND((G23/10)*K23/E23/(_Pat_Gewicht/10),3)&amp;" "&amp;L23&amp;"/kg/uur "&amp;"("&amp;ROUND((G23/10/60)*K23/E23/(_Pat_Gewicht/10),3)&amp;" "&amp;L23&amp;"/kg/min)","")</f>
        <v/>
      </c>
      <c r="AL23" s="346"/>
      <c r="AM23" s="346" t="str">
        <f>IF(C23&gt;1,24*G23/10&amp;" ml","")</f>
        <v/>
      </c>
      <c r="AN23" s="346"/>
    </row>
    <row r="24" spans="1:40" s="218" customFormat="1" x14ac:dyDescent="0.2">
      <c r="A24" s="346">
        <v>19</v>
      </c>
      <c r="B24" s="346"/>
      <c r="C24" s="346"/>
      <c r="D24" s="346">
        <v>0</v>
      </c>
      <c r="E24" s="346">
        <v>0</v>
      </c>
      <c r="F24" s="346">
        <v>1</v>
      </c>
      <c r="G24" s="346">
        <v>0</v>
      </c>
      <c r="H24" s="346"/>
      <c r="I24" s="346"/>
      <c r="J24" s="346"/>
      <c r="K24" s="346" t="e">
        <f>LEFT(D24,FIND(" ",D24))</f>
        <v>#VALUE!</v>
      </c>
      <c r="L24" s="346" t="e">
        <f>MID(D24, FIND(" ",D24), LEN(D24) - FIND(" ",D24) + 1)</f>
        <v>#VALUE!</v>
      </c>
      <c r="M24" s="346">
        <f>IF(PedGuiMedIV!E28&lt;&gt;"",G24/10*24,0)</f>
        <v>0</v>
      </c>
      <c r="N24" s="346">
        <f>IF($F24=3,M24*0.05,0)</f>
        <v>0</v>
      </c>
      <c r="O24" s="346">
        <f>IF($F24=4,M24*0.1,0)</f>
        <v>0</v>
      </c>
      <c r="P24" s="346">
        <f>IF($F24=2,M24*0.155,0)</f>
        <v>0</v>
      </c>
      <c r="Q24" s="346">
        <f>IF(OR($C24=24),0.5*$M24,IF(C24=4,M24*145/1000,0))</f>
        <v>0</v>
      </c>
      <c r="R24" s="346">
        <f t="shared" si="29"/>
        <v>0</v>
      </c>
      <c r="S24" s="346">
        <f t="shared" si="24"/>
        <v>0</v>
      </c>
      <c r="T24" s="346">
        <f>IF(OR($C24=4),0.2*$M24,0)</f>
        <v>0</v>
      </c>
      <c r="U24" s="346">
        <f>IF(OR(C24=20,C24=21),0.1*M24,0)</f>
        <v>0</v>
      </c>
      <c r="V24" s="346"/>
      <c r="W24" s="346"/>
      <c r="X24" s="346"/>
      <c r="Y24" s="346"/>
      <c r="Z24" s="346"/>
      <c r="AA24" s="346"/>
      <c r="AB24" s="346"/>
      <c r="AC24" s="346"/>
      <c r="AD24" s="346" t="str">
        <f>IF(C24&gt;1,"verw","")</f>
        <v/>
      </c>
      <c r="AE24" s="346"/>
      <c r="AF24" s="346" t="str">
        <f>IF(C24&lt;&gt;"",C24,"")</f>
        <v/>
      </c>
      <c r="AG24" s="346">
        <f t="shared" si="30"/>
        <v>0</v>
      </c>
      <c r="AH24" s="346" t="str">
        <f>IF(C24&lt;&gt;"",E24&amp;" ml","")</f>
        <v/>
      </c>
      <c r="AI24" s="346" t="str">
        <f>IF((INDEX(Tbl_Ped_MedContIV_OplVl,F24,1)=0),"",INDEX(Tbl_Ped_MedContIV_OplVl,F24,1))</f>
        <v/>
      </c>
      <c r="AJ24" s="346" t="str">
        <f>IF(C24&gt;1,G24/10&amp;" ml/uur","")</f>
        <v/>
      </c>
      <c r="AK24" s="346" t="str">
        <f>IFERROR(ROUND((G24/10)*K24/E24/(_Pat_Gewicht/10),3)&amp;" "&amp;L24&amp;"/kg/uur "&amp;"("&amp;ROUND((G24/10/60)*K24/E24/(_Pat_Gewicht/10),3)&amp;" "&amp;L24&amp;"/kg/min)","")</f>
        <v/>
      </c>
      <c r="AL24" s="346"/>
      <c r="AM24" s="346" t="str">
        <f>IF(C24&gt;1,24*G24/10&amp;" ml","")</f>
        <v/>
      </c>
      <c r="AN24" s="346"/>
    </row>
    <row r="25" spans="1:40" s="218" customFormat="1" x14ac:dyDescent="0.2">
      <c r="A25" s="427">
        <v>20</v>
      </c>
      <c r="B25" s="427"/>
      <c r="C25" s="427"/>
      <c r="D25" s="427">
        <v>0</v>
      </c>
      <c r="E25" s="427">
        <v>0</v>
      </c>
      <c r="F25" s="427">
        <v>1</v>
      </c>
      <c r="G25" s="427">
        <v>0</v>
      </c>
      <c r="H25" s="427"/>
      <c r="I25" s="427"/>
      <c r="J25" s="427"/>
      <c r="K25" s="427" t="e">
        <f>LEFT(D25,FIND(" ",D25))</f>
        <v>#VALUE!</v>
      </c>
      <c r="L25" s="427" t="e">
        <f>MID(D25, FIND(" ",D25), LEN(D25) - FIND(" ",D25) + 1)</f>
        <v>#VALUE!</v>
      </c>
      <c r="M25" s="427">
        <f>IF(PedGuiMedIV!E29&lt;&gt;"",G25/10*24,0)</f>
        <v>0</v>
      </c>
      <c r="N25" s="427">
        <f>IF($F25=3,M25*0.05,0)</f>
        <v>0</v>
      </c>
      <c r="O25" s="427">
        <f>IF($F25=4,M25*0.1,0)</f>
        <v>0</v>
      </c>
      <c r="P25" s="427">
        <f>IF($F25=2,M25*0.155,0)</f>
        <v>0</v>
      </c>
      <c r="Q25" s="427">
        <f>IF(OR($C25=24),0.5*$M25,IF(C25=4,M25*145/1000,0))</f>
        <v>0</v>
      </c>
      <c r="R25" s="427">
        <f t="shared" si="29"/>
        <v>0</v>
      </c>
      <c r="S25" s="427">
        <f t="shared" si="24"/>
        <v>0</v>
      </c>
      <c r="T25" s="427">
        <f>IF(OR($C25=4),0.2*$M25,0)</f>
        <v>0</v>
      </c>
      <c r="U25" s="427">
        <f>IF(OR(C25=20,C25=21),0.1*M25,0)</f>
        <v>0</v>
      </c>
      <c r="V25" s="427"/>
      <c r="W25" s="427"/>
      <c r="X25" s="427"/>
      <c r="Y25" s="427"/>
      <c r="Z25" s="427"/>
      <c r="AA25" s="427"/>
      <c r="AB25" s="427"/>
      <c r="AC25" s="427"/>
      <c r="AD25" s="427" t="str">
        <f>IF(C25&gt;1,"verw","")</f>
        <v/>
      </c>
      <c r="AE25" s="427"/>
      <c r="AF25" s="427" t="str">
        <f>IF(C25&lt;&gt;"",C25,"")</f>
        <v/>
      </c>
      <c r="AG25" s="427">
        <f t="shared" si="30"/>
        <v>0</v>
      </c>
      <c r="AH25" s="427" t="str">
        <f>IF(C25&lt;&gt;"",E25&amp;" ml","")</f>
        <v/>
      </c>
      <c r="AI25" s="427" t="str">
        <f>IF((INDEX(Tbl_Ped_MedContIV_OplVl,F25,1)=0),"",INDEX(Tbl_Ped_MedContIV_OplVl,F25,1))</f>
        <v/>
      </c>
      <c r="AJ25" s="427" t="str">
        <f>IF(C25&gt;1,G25/10&amp;" ml/uur","")</f>
        <v/>
      </c>
      <c r="AK25" s="427" t="str">
        <f>IFERROR(ROUND((G25/10)*K25/E25/(_Pat_Gewicht/10),3)&amp;" "&amp;L25&amp;"/kg/uur "&amp;"("&amp;ROUND((G25/10/60)*K25/E25/(_Pat_Gewicht/10),3)&amp;" "&amp;L25&amp;"/kg/min)","")</f>
        <v/>
      </c>
      <c r="AL25" s="427"/>
      <c r="AM25" s="427" t="str">
        <f>IF(C25&gt;1,24*G25/10&amp;" ml","")</f>
        <v/>
      </c>
      <c r="AN25" s="427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64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F17" sqref="F17"/>
    </sheetView>
  </sheetViews>
  <sheetFormatPr defaultColWidth="9.140625" defaultRowHeight="12.75" x14ac:dyDescent="0.2"/>
  <cols>
    <col min="1" max="1" width="5" style="814" customWidth="1"/>
    <col min="2" max="2" width="33.140625" style="814" customWidth="1"/>
    <col min="3" max="3" width="12" style="814" customWidth="1"/>
    <col min="4" max="4" width="17.5703125" style="814" customWidth="1"/>
    <col min="5" max="16" width="7.7109375" style="814" customWidth="1"/>
    <col min="17" max="17" width="30.7109375" style="814" customWidth="1"/>
    <col min="18" max="18" width="35.42578125" style="814" customWidth="1"/>
    <col min="19" max="20" width="8.7109375" style="814" customWidth="1"/>
    <col min="21" max="21" width="12.28515625" style="814" customWidth="1"/>
    <col min="22" max="22" width="8.7109375" style="814" customWidth="1"/>
    <col min="23" max="23" width="9.5703125" style="814" customWidth="1"/>
    <col min="24" max="24" width="25.7109375" style="814" customWidth="1"/>
    <col min="25" max="16384" width="9.140625" style="814"/>
  </cols>
  <sheetData>
    <row r="1" spans="1:24" x14ac:dyDescent="0.2">
      <c r="A1" s="812"/>
      <c r="B1" s="813"/>
      <c r="C1" s="813"/>
      <c r="D1" s="813"/>
      <c r="E1" s="813" t="s">
        <v>4118</v>
      </c>
      <c r="F1" s="813"/>
      <c r="G1" s="813"/>
      <c r="H1" s="813"/>
      <c r="I1" s="813"/>
      <c r="J1" s="813"/>
      <c r="K1" s="813" t="s">
        <v>4119</v>
      </c>
      <c r="L1" s="813"/>
      <c r="M1" s="813"/>
      <c r="N1" s="813"/>
      <c r="O1" s="813"/>
      <c r="P1" s="813"/>
      <c r="Q1" s="813"/>
      <c r="R1" s="813" t="s">
        <v>4107</v>
      </c>
      <c r="S1" s="813"/>
      <c r="T1" s="813"/>
      <c r="U1" s="813"/>
      <c r="V1" s="813"/>
    </row>
    <row r="2" spans="1:24" x14ac:dyDescent="0.2">
      <c r="A2" s="815"/>
      <c r="B2" s="816"/>
      <c r="C2" s="816"/>
      <c r="D2" s="816"/>
      <c r="E2" s="816" t="s">
        <v>365</v>
      </c>
      <c r="F2" s="816"/>
      <c r="G2" s="816" t="s">
        <v>366</v>
      </c>
      <c r="H2" s="816"/>
      <c r="I2" s="816" t="s">
        <v>367</v>
      </c>
      <c r="J2" s="816"/>
      <c r="K2" s="816"/>
      <c r="L2" s="816"/>
      <c r="M2" s="816"/>
      <c r="N2" s="816"/>
      <c r="O2" s="816"/>
      <c r="P2" s="816"/>
      <c r="Q2" s="816"/>
      <c r="R2" s="816"/>
      <c r="S2" s="816" t="s">
        <v>375</v>
      </c>
      <c r="T2" s="816"/>
      <c r="U2" s="816"/>
      <c r="V2" s="816"/>
    </row>
    <row r="3" spans="1:24" s="819" customFormat="1" ht="25.5" x14ac:dyDescent="0.2">
      <c r="A3" s="817"/>
      <c r="B3" s="818" t="s">
        <v>4121</v>
      </c>
      <c r="C3" s="818" t="s">
        <v>3321</v>
      </c>
      <c r="D3" s="818" t="s">
        <v>4123</v>
      </c>
      <c r="E3" s="818" t="s">
        <v>4122</v>
      </c>
      <c r="F3" s="818" t="s">
        <v>378</v>
      </c>
      <c r="G3" s="818" t="s">
        <v>4122</v>
      </c>
      <c r="H3" s="818" t="s">
        <v>378</v>
      </c>
      <c r="I3" s="818" t="s">
        <v>4122</v>
      </c>
      <c r="J3" s="818" t="s">
        <v>378</v>
      </c>
      <c r="K3" s="818" t="s">
        <v>4115</v>
      </c>
      <c r="L3" s="818" t="s">
        <v>4116</v>
      </c>
      <c r="M3" s="818" t="s">
        <v>4117</v>
      </c>
      <c r="N3" s="818" t="s">
        <v>4909</v>
      </c>
      <c r="O3" s="818" t="s">
        <v>4907</v>
      </c>
      <c r="P3" s="818" t="s">
        <v>4105</v>
      </c>
      <c r="Q3" s="818" t="s">
        <v>4125</v>
      </c>
      <c r="R3" s="818" t="s">
        <v>368</v>
      </c>
      <c r="S3" s="818" t="s">
        <v>4122</v>
      </c>
      <c r="T3" s="818" t="s">
        <v>378</v>
      </c>
      <c r="U3" s="818" t="s">
        <v>4781</v>
      </c>
      <c r="V3" s="818" t="s">
        <v>4113</v>
      </c>
      <c r="X3" s="819" t="s">
        <v>4753</v>
      </c>
    </row>
    <row r="4" spans="1:24" x14ac:dyDescent="0.2">
      <c r="A4" s="815">
        <v>1</v>
      </c>
      <c r="B4" s="816"/>
      <c r="C4" s="816"/>
      <c r="D4" s="816"/>
      <c r="E4" s="816"/>
      <c r="F4" s="816"/>
      <c r="G4" s="816"/>
      <c r="H4" s="816"/>
      <c r="I4" s="816"/>
      <c r="J4" s="816"/>
      <c r="K4" s="816"/>
      <c r="L4" s="816"/>
      <c r="M4" s="816"/>
      <c r="N4" s="816"/>
      <c r="O4" s="816"/>
      <c r="P4" s="816">
        <v>1</v>
      </c>
      <c r="Q4" s="816"/>
      <c r="R4" s="816"/>
      <c r="S4" s="816"/>
      <c r="T4" s="816"/>
      <c r="U4" s="816"/>
      <c r="V4" s="816"/>
      <c r="X4" s="820"/>
    </row>
    <row r="5" spans="1:24" x14ac:dyDescent="0.2">
      <c r="A5" s="815">
        <f>A4+1</f>
        <v>2</v>
      </c>
      <c r="B5" s="824" t="s">
        <v>162</v>
      </c>
      <c r="C5" s="824" t="s">
        <v>121</v>
      </c>
      <c r="D5" s="824" t="s">
        <v>468</v>
      </c>
      <c r="E5" s="824">
        <v>1</v>
      </c>
      <c r="F5" s="824">
        <v>50</v>
      </c>
      <c r="G5" s="824">
        <v>2</v>
      </c>
      <c r="H5" s="824">
        <v>50</v>
      </c>
      <c r="I5" s="825">
        <v>5</v>
      </c>
      <c r="J5" s="825">
        <v>50</v>
      </c>
      <c r="K5" s="824">
        <v>0.05</v>
      </c>
      <c r="L5" s="824">
        <v>0.5</v>
      </c>
      <c r="M5" s="824">
        <v>1</v>
      </c>
      <c r="N5" s="824"/>
      <c r="O5" s="824">
        <v>0.1</v>
      </c>
      <c r="P5" s="824">
        <v>0</v>
      </c>
      <c r="Q5" s="824"/>
      <c r="R5" s="816" t="str">
        <f>IF(ISBLANK(Q5),CONCATENATE(K5,"-",L5," ",D5),Q5)</f>
        <v>0.05-0.5 microg/kg/min</v>
      </c>
      <c r="S5" s="816">
        <f t="shared" ref="S5:S35" si="0">IF(_Pat_Gewicht/10&lt;6,E5,IF(_Pat_Gewicht/10&lt;11,G5,I5))</f>
        <v>1</v>
      </c>
      <c r="T5" s="816">
        <f t="shared" ref="T5:T35" si="1">IF(_Pat_Gewicht/10&lt;6,F5,IF(_Pat_Gewicht/10&lt;11,H5,J5))</f>
        <v>50</v>
      </c>
      <c r="U5" s="816" t="b">
        <f>ContainsCaseInsensitive(D5,"kg")</f>
        <v>1</v>
      </c>
      <c r="V5" s="816">
        <f t="shared" ref="V5:V35" si="2">HLOOKUP(C5,Tbl_Glob_Conv_EenhCont,VLOOKUP(D5,Tbl_Glob_Conv_EenhCont,2,FALSE),FALSE)</f>
        <v>16.666666666666668</v>
      </c>
      <c r="X5" s="821" t="s">
        <v>239</v>
      </c>
    </row>
    <row r="6" spans="1:24" x14ac:dyDescent="0.2">
      <c r="A6" s="815">
        <f t="shared" ref="A6:A35" si="3">A5+1</f>
        <v>3</v>
      </c>
      <c r="B6" s="824" t="s">
        <v>91</v>
      </c>
      <c r="C6" s="824" t="s">
        <v>56</v>
      </c>
      <c r="D6" s="824" t="s">
        <v>290</v>
      </c>
      <c r="E6" s="824">
        <v>0.2</v>
      </c>
      <c r="F6" s="824">
        <v>1</v>
      </c>
      <c r="G6" s="824">
        <v>0.2</v>
      </c>
      <c r="H6" s="824">
        <v>1</v>
      </c>
      <c r="I6" s="825">
        <v>0.2</v>
      </c>
      <c r="J6" s="825">
        <v>1</v>
      </c>
      <c r="K6" s="824">
        <v>1</v>
      </c>
      <c r="L6" s="824">
        <v>2</v>
      </c>
      <c r="M6" s="824">
        <v>4</v>
      </c>
      <c r="N6" s="824"/>
      <c r="O6" s="824"/>
      <c r="P6" s="824">
        <v>1</v>
      </c>
      <c r="Q6" s="824"/>
      <c r="R6" s="816" t="str">
        <f t="shared" ref="R6:R35" si="4">IF(ISBLANK(Q6),CONCATENATE(K6,"-",L6," ",D6),Q6)</f>
        <v>1-2 gram/kg/dag</v>
      </c>
      <c r="S6" s="816">
        <f t="shared" si="0"/>
        <v>0.2</v>
      </c>
      <c r="T6" s="816">
        <f t="shared" si="1"/>
        <v>1</v>
      </c>
      <c r="U6" s="816" t="b">
        <f t="shared" ref="U6:U35" si="5">ContainsCaseInsensitive(D6,"kg")</f>
        <v>1</v>
      </c>
      <c r="V6" s="816">
        <f t="shared" si="2"/>
        <v>24</v>
      </c>
      <c r="X6" s="821" t="s">
        <v>467</v>
      </c>
    </row>
    <row r="7" spans="1:24" x14ac:dyDescent="0.2">
      <c r="A7" s="815">
        <f t="shared" si="3"/>
        <v>4</v>
      </c>
      <c r="B7" s="824" t="s">
        <v>112</v>
      </c>
      <c r="C7" s="824" t="s">
        <v>121</v>
      </c>
      <c r="D7" s="824" t="s">
        <v>333</v>
      </c>
      <c r="E7" s="824">
        <v>0.2</v>
      </c>
      <c r="F7" s="824">
        <v>50</v>
      </c>
      <c r="G7" s="824"/>
      <c r="H7" s="824"/>
      <c r="I7" s="824"/>
      <c r="J7" s="824"/>
      <c r="K7" s="824">
        <v>10</v>
      </c>
      <c r="L7" s="824">
        <v>50</v>
      </c>
      <c r="M7" s="824">
        <v>100</v>
      </c>
      <c r="N7" s="824"/>
      <c r="O7" s="824">
        <v>0.02</v>
      </c>
      <c r="P7" s="824">
        <v>0</v>
      </c>
      <c r="Q7" s="824"/>
      <c r="R7" s="816" t="str">
        <f t="shared" si="4"/>
        <v>10-50 nanog/kg/min</v>
      </c>
      <c r="S7" s="816">
        <f t="shared" si="0"/>
        <v>0.2</v>
      </c>
      <c r="T7" s="816">
        <f t="shared" si="1"/>
        <v>50</v>
      </c>
      <c r="U7" s="816" t="b">
        <f t="shared" si="5"/>
        <v>1</v>
      </c>
      <c r="V7" s="816">
        <f t="shared" si="2"/>
        <v>16666.666666666668</v>
      </c>
      <c r="X7" s="821" t="s">
        <v>470</v>
      </c>
    </row>
    <row r="8" spans="1:24" x14ac:dyDescent="0.2">
      <c r="A8" s="815">
        <f t="shared" si="3"/>
        <v>5</v>
      </c>
      <c r="B8" s="824" t="s">
        <v>341</v>
      </c>
      <c r="C8" s="824" t="s">
        <v>121</v>
      </c>
      <c r="D8" s="824" t="s">
        <v>468</v>
      </c>
      <c r="E8" s="824">
        <v>50</v>
      </c>
      <c r="F8" s="824">
        <v>50</v>
      </c>
      <c r="G8" s="824">
        <v>150</v>
      </c>
      <c r="H8" s="824">
        <v>50</v>
      </c>
      <c r="I8" s="825">
        <v>300</v>
      </c>
      <c r="J8" s="825">
        <v>50</v>
      </c>
      <c r="K8" s="824">
        <v>5</v>
      </c>
      <c r="L8" s="824">
        <v>15</v>
      </c>
      <c r="M8" s="824">
        <v>25</v>
      </c>
      <c r="N8" s="824">
        <v>0.6</v>
      </c>
      <c r="O8" s="824">
        <v>50</v>
      </c>
      <c r="P8" s="824">
        <v>0</v>
      </c>
      <c r="Q8" s="824"/>
      <c r="R8" s="816" t="str">
        <f t="shared" si="4"/>
        <v>5-15 microg/kg/min</v>
      </c>
      <c r="S8" s="816">
        <f t="shared" si="0"/>
        <v>50</v>
      </c>
      <c r="T8" s="816">
        <f t="shared" si="1"/>
        <v>50</v>
      </c>
      <c r="U8" s="816" t="b">
        <f t="shared" si="5"/>
        <v>1</v>
      </c>
      <c r="V8" s="816">
        <f t="shared" si="2"/>
        <v>16.666666666666668</v>
      </c>
    </row>
    <row r="9" spans="1:24" x14ac:dyDescent="0.2">
      <c r="A9" s="815">
        <f t="shared" si="3"/>
        <v>6</v>
      </c>
      <c r="B9" s="824" t="s">
        <v>34</v>
      </c>
      <c r="C9" s="824" t="s">
        <v>121</v>
      </c>
      <c r="D9" s="824" t="s">
        <v>600</v>
      </c>
      <c r="E9" s="824">
        <v>0.15</v>
      </c>
      <c r="F9" s="824">
        <v>50</v>
      </c>
      <c r="G9" s="824">
        <v>0.3</v>
      </c>
      <c r="H9" s="824">
        <v>50</v>
      </c>
      <c r="I9" s="825">
        <v>0.6</v>
      </c>
      <c r="J9" s="825">
        <v>50</v>
      </c>
      <c r="K9" s="824">
        <v>0.25</v>
      </c>
      <c r="L9" s="824">
        <v>2</v>
      </c>
      <c r="M9" s="824">
        <v>3</v>
      </c>
      <c r="N9" s="824"/>
      <c r="O9" s="824">
        <v>0.15</v>
      </c>
      <c r="P9" s="824">
        <v>2</v>
      </c>
      <c r="Q9" s="824"/>
      <c r="R9" s="816" t="str">
        <f t="shared" si="4"/>
        <v>0.25-2 microg/kg/uur</v>
      </c>
      <c r="S9" s="816">
        <f t="shared" si="0"/>
        <v>0.15</v>
      </c>
      <c r="T9" s="816">
        <f t="shared" si="1"/>
        <v>50</v>
      </c>
      <c r="U9" s="816" t="b">
        <f t="shared" si="5"/>
        <v>1</v>
      </c>
      <c r="V9" s="816">
        <f t="shared" si="2"/>
        <v>1000</v>
      </c>
    </row>
    <row r="10" spans="1:24" x14ac:dyDescent="0.2">
      <c r="A10" s="815">
        <f t="shared" si="3"/>
        <v>7</v>
      </c>
      <c r="B10" s="824" t="s">
        <v>260</v>
      </c>
      <c r="C10" s="824" t="s">
        <v>121</v>
      </c>
      <c r="D10" s="824" t="s">
        <v>468</v>
      </c>
      <c r="E10" s="824">
        <v>80</v>
      </c>
      <c r="F10" s="824">
        <v>50</v>
      </c>
      <c r="G10" s="824">
        <v>200</v>
      </c>
      <c r="H10" s="824">
        <v>50</v>
      </c>
      <c r="I10" s="825">
        <v>400</v>
      </c>
      <c r="J10" s="825">
        <v>50</v>
      </c>
      <c r="K10" s="824">
        <v>1</v>
      </c>
      <c r="L10" s="824">
        <v>20</v>
      </c>
      <c r="M10" s="824">
        <v>30</v>
      </c>
      <c r="N10" s="824"/>
      <c r="O10" s="824">
        <v>12.5</v>
      </c>
      <c r="P10" s="824">
        <v>0</v>
      </c>
      <c r="Q10" s="824"/>
      <c r="R10" s="816" t="str">
        <f t="shared" si="4"/>
        <v>1-20 microg/kg/min</v>
      </c>
      <c r="S10" s="816">
        <f t="shared" si="0"/>
        <v>80</v>
      </c>
      <c r="T10" s="816">
        <f t="shared" si="1"/>
        <v>50</v>
      </c>
      <c r="U10" s="816" t="b">
        <f t="shared" si="5"/>
        <v>1</v>
      </c>
      <c r="V10" s="816">
        <f t="shared" si="2"/>
        <v>16.666666666666668</v>
      </c>
    </row>
    <row r="11" spans="1:24" x14ac:dyDescent="0.2">
      <c r="A11" s="815">
        <f t="shared" si="3"/>
        <v>8</v>
      </c>
      <c r="B11" s="824" t="s">
        <v>234</v>
      </c>
      <c r="C11" s="824" t="s">
        <v>121</v>
      </c>
      <c r="D11" s="824" t="s">
        <v>468</v>
      </c>
      <c r="E11" s="824">
        <v>80</v>
      </c>
      <c r="F11" s="824">
        <v>50</v>
      </c>
      <c r="G11" s="824">
        <v>200</v>
      </c>
      <c r="H11" s="824">
        <v>50</v>
      </c>
      <c r="I11" s="825">
        <v>400</v>
      </c>
      <c r="J11" s="825">
        <v>50</v>
      </c>
      <c r="K11" s="824">
        <v>1</v>
      </c>
      <c r="L11" s="824">
        <v>20</v>
      </c>
      <c r="M11" s="824">
        <v>30</v>
      </c>
      <c r="N11" s="824"/>
      <c r="O11" s="824">
        <v>40</v>
      </c>
      <c r="P11" s="824">
        <v>0</v>
      </c>
      <c r="Q11" s="824"/>
      <c r="R11" s="816" t="str">
        <f t="shared" si="4"/>
        <v>1-20 microg/kg/min</v>
      </c>
      <c r="S11" s="816">
        <f t="shared" si="0"/>
        <v>80</v>
      </c>
      <c r="T11" s="816">
        <f t="shared" si="1"/>
        <v>50</v>
      </c>
      <c r="U11" s="816" t="b">
        <f t="shared" si="5"/>
        <v>1</v>
      </c>
      <c r="V11" s="816">
        <f t="shared" si="2"/>
        <v>16.666666666666668</v>
      </c>
    </row>
    <row r="12" spans="1:24" x14ac:dyDescent="0.2">
      <c r="A12" s="815">
        <f t="shared" si="3"/>
        <v>9</v>
      </c>
      <c r="B12" s="824" t="s">
        <v>4288</v>
      </c>
      <c r="C12" s="824" t="s">
        <v>122</v>
      </c>
      <c r="D12" s="824" t="s">
        <v>132</v>
      </c>
      <c r="E12" s="824">
        <f>_Pat_Gewicht/10</f>
        <v>0</v>
      </c>
      <c r="F12" s="824">
        <v>24</v>
      </c>
      <c r="G12" s="824">
        <f>_Pat_Gewicht/10</f>
        <v>0</v>
      </c>
      <c r="H12" s="824">
        <v>48</v>
      </c>
      <c r="I12" s="824">
        <f>IF(_Pat_Gewicht/10&gt;=48,48,_Pat_Gewicht/10)</f>
        <v>0</v>
      </c>
      <c r="J12" s="825">
        <v>48</v>
      </c>
      <c r="K12" s="824">
        <v>1</v>
      </c>
      <c r="L12" s="824">
        <f>IF(T12=24,4,8)</f>
        <v>4</v>
      </c>
      <c r="M12" s="824">
        <v>8</v>
      </c>
      <c r="N12" s="824"/>
      <c r="O12" s="824"/>
      <c r="P12" s="824">
        <v>2</v>
      </c>
      <c r="Q12" s="824" t="s">
        <v>4291</v>
      </c>
      <c r="R12" s="816" t="str">
        <f t="shared" si="4"/>
        <v>N.B. Epiduraal, volgens voorschrift anesthesist!</v>
      </c>
      <c r="S12" s="816">
        <f t="shared" si="0"/>
        <v>0</v>
      </c>
      <c r="T12" s="816">
        <f t="shared" si="1"/>
        <v>24</v>
      </c>
      <c r="U12" s="816" t="b">
        <f t="shared" si="5"/>
        <v>0</v>
      </c>
      <c r="V12" s="816">
        <f t="shared" si="2"/>
        <v>1</v>
      </c>
    </row>
    <row r="13" spans="1:24" x14ac:dyDescent="0.2">
      <c r="A13" s="815">
        <f t="shared" si="3"/>
        <v>10</v>
      </c>
      <c r="B13" s="824" t="s">
        <v>4287</v>
      </c>
      <c r="C13" s="824" t="s">
        <v>122</v>
      </c>
      <c r="D13" s="824" t="s">
        <v>132</v>
      </c>
      <c r="E13" s="824">
        <f>_Pat_Gewicht/10</f>
        <v>0</v>
      </c>
      <c r="F13" s="824">
        <v>24</v>
      </c>
      <c r="G13" s="824">
        <f>_Pat_Gewicht/10</f>
        <v>0</v>
      </c>
      <c r="H13" s="824">
        <v>48</v>
      </c>
      <c r="I13" s="824">
        <f>IF(_Pat_Gewicht/10&gt;=48,48,_Pat_Gewicht/10)</f>
        <v>0</v>
      </c>
      <c r="J13" s="825">
        <v>48</v>
      </c>
      <c r="K13" s="824">
        <v>1</v>
      </c>
      <c r="L13" s="824">
        <f>IF(T13=24,4,8)</f>
        <v>4</v>
      </c>
      <c r="M13" s="824">
        <v>8</v>
      </c>
      <c r="N13" s="824"/>
      <c r="O13" s="824"/>
      <c r="P13" s="824">
        <v>2</v>
      </c>
      <c r="Q13" s="824" t="s">
        <v>4291</v>
      </c>
      <c r="R13" s="816" t="str">
        <f t="shared" si="4"/>
        <v>N.B. Epiduraal, volgens voorschrift anesthesist!</v>
      </c>
      <c r="S13" s="816">
        <f t="shared" si="0"/>
        <v>0</v>
      </c>
      <c r="T13" s="816">
        <f t="shared" si="1"/>
        <v>24</v>
      </c>
      <c r="U13" s="816" t="b">
        <f t="shared" si="5"/>
        <v>0</v>
      </c>
      <c r="V13" s="816">
        <f t="shared" si="2"/>
        <v>1</v>
      </c>
    </row>
    <row r="14" spans="1:24" x14ac:dyDescent="0.2">
      <c r="A14" s="815">
        <f t="shared" si="3"/>
        <v>11</v>
      </c>
      <c r="B14" s="824" t="s">
        <v>76</v>
      </c>
      <c r="C14" s="824" t="s">
        <v>121</v>
      </c>
      <c r="D14" s="824" t="s">
        <v>333</v>
      </c>
      <c r="E14" s="824">
        <v>0.2</v>
      </c>
      <c r="F14" s="824">
        <v>50</v>
      </c>
      <c r="G14" s="824">
        <v>0.4</v>
      </c>
      <c r="H14" s="824">
        <v>50</v>
      </c>
      <c r="I14" s="825">
        <v>0.8</v>
      </c>
      <c r="J14" s="825">
        <v>50</v>
      </c>
      <c r="K14" s="824">
        <v>0.5</v>
      </c>
      <c r="L14" s="824">
        <v>50</v>
      </c>
      <c r="M14" s="824">
        <v>50</v>
      </c>
      <c r="N14" s="824">
        <v>5.0000000000000001E-3</v>
      </c>
      <c r="O14" s="824">
        <v>0.01</v>
      </c>
      <c r="P14" s="824">
        <v>1</v>
      </c>
      <c r="Q14" s="824"/>
      <c r="R14" s="816" t="str">
        <f t="shared" si="4"/>
        <v>0.5-50 nanog/kg/min</v>
      </c>
      <c r="S14" s="816">
        <f t="shared" si="0"/>
        <v>0.2</v>
      </c>
      <c r="T14" s="816">
        <f t="shared" si="1"/>
        <v>50</v>
      </c>
      <c r="U14" s="816" t="b">
        <f t="shared" si="5"/>
        <v>1</v>
      </c>
      <c r="V14" s="816">
        <f t="shared" si="2"/>
        <v>16666.666666666668</v>
      </c>
    </row>
    <row r="15" spans="1:24" x14ac:dyDescent="0.2">
      <c r="A15" s="815">
        <f t="shared" si="3"/>
        <v>12</v>
      </c>
      <c r="B15" s="824" t="s">
        <v>106</v>
      </c>
      <c r="C15" s="824" t="s">
        <v>121</v>
      </c>
      <c r="D15" s="824" t="s">
        <v>288</v>
      </c>
      <c r="E15" s="824">
        <v>100</v>
      </c>
      <c r="F15" s="824">
        <v>50</v>
      </c>
      <c r="G15" s="824">
        <v>250</v>
      </c>
      <c r="H15" s="824">
        <v>50</v>
      </c>
      <c r="I15" s="825">
        <v>250</v>
      </c>
      <c r="J15" s="825">
        <v>50</v>
      </c>
      <c r="K15" s="824">
        <v>0.5</v>
      </c>
      <c r="L15" s="824">
        <v>1</v>
      </c>
      <c r="M15" s="824">
        <v>2</v>
      </c>
      <c r="N15" s="824"/>
      <c r="O15" s="824"/>
      <c r="P15" s="824">
        <v>0</v>
      </c>
      <c r="Q15" s="824"/>
      <c r="R15" s="816" t="str">
        <f t="shared" si="4"/>
        <v>0.5-1 mg/kg/uur</v>
      </c>
      <c r="S15" s="816">
        <f t="shared" si="0"/>
        <v>100</v>
      </c>
      <c r="T15" s="816">
        <f t="shared" si="1"/>
        <v>50</v>
      </c>
      <c r="U15" s="816" t="b">
        <f t="shared" si="5"/>
        <v>1</v>
      </c>
      <c r="V15" s="816">
        <f t="shared" si="2"/>
        <v>1</v>
      </c>
    </row>
    <row r="16" spans="1:24" x14ac:dyDescent="0.2">
      <c r="A16" s="815">
        <f t="shared" si="3"/>
        <v>13</v>
      </c>
      <c r="B16" s="824" t="s">
        <v>369</v>
      </c>
      <c r="C16" s="824" t="s">
        <v>121</v>
      </c>
      <c r="D16" s="824" t="s">
        <v>376</v>
      </c>
      <c r="E16" s="824">
        <v>500</v>
      </c>
      <c r="F16" s="824">
        <v>50</v>
      </c>
      <c r="G16" s="824">
        <v>500</v>
      </c>
      <c r="H16" s="824">
        <v>50</v>
      </c>
      <c r="I16" s="825">
        <v>500</v>
      </c>
      <c r="J16" s="825">
        <v>50</v>
      </c>
      <c r="K16" s="824">
        <v>0.1</v>
      </c>
      <c r="L16" s="824">
        <v>1</v>
      </c>
      <c r="M16" s="824">
        <v>2</v>
      </c>
      <c r="N16" s="824"/>
      <c r="O16" s="824">
        <v>10</v>
      </c>
      <c r="P16" s="824">
        <v>0</v>
      </c>
      <c r="Q16" s="824"/>
      <c r="R16" s="816" t="str">
        <f t="shared" si="4"/>
        <v>0.1-1 mg/kg/min</v>
      </c>
      <c r="S16" s="816">
        <f t="shared" si="0"/>
        <v>500</v>
      </c>
      <c r="T16" s="816">
        <f t="shared" si="1"/>
        <v>50</v>
      </c>
      <c r="U16" s="816" t="b">
        <f t="shared" si="5"/>
        <v>1</v>
      </c>
      <c r="V16" s="816">
        <f t="shared" si="2"/>
        <v>1.6666666666666666E-2</v>
      </c>
    </row>
    <row r="17" spans="1:22" x14ac:dyDescent="0.2">
      <c r="A17" s="815">
        <f t="shared" si="3"/>
        <v>14</v>
      </c>
      <c r="B17" s="824" t="s">
        <v>383</v>
      </c>
      <c r="C17" s="824" t="s">
        <v>121</v>
      </c>
      <c r="D17" s="824" t="s">
        <v>600</v>
      </c>
      <c r="E17" s="824">
        <v>0.5</v>
      </c>
      <c r="F17" s="824">
        <v>50</v>
      </c>
      <c r="G17" s="824">
        <v>1</v>
      </c>
      <c r="H17" s="824">
        <v>50</v>
      </c>
      <c r="I17" s="825">
        <v>5</v>
      </c>
      <c r="J17" s="825">
        <v>50</v>
      </c>
      <c r="K17" s="824">
        <v>1</v>
      </c>
      <c r="L17" s="824">
        <v>5</v>
      </c>
      <c r="M17" s="824">
        <v>10</v>
      </c>
      <c r="N17" s="824"/>
      <c r="O17" s="824">
        <v>10</v>
      </c>
      <c r="P17" s="824">
        <v>0</v>
      </c>
      <c r="Q17" s="824"/>
      <c r="R17" s="816" t="str">
        <f t="shared" si="4"/>
        <v>1-5 microg/kg/uur</v>
      </c>
      <c r="S17" s="816">
        <f t="shared" si="0"/>
        <v>0.5</v>
      </c>
      <c r="T17" s="816">
        <f t="shared" si="1"/>
        <v>50</v>
      </c>
      <c r="U17" s="816" t="b">
        <f t="shared" si="5"/>
        <v>1</v>
      </c>
      <c r="V17" s="816">
        <f t="shared" si="2"/>
        <v>1000</v>
      </c>
    </row>
    <row r="18" spans="1:22" x14ac:dyDescent="0.2">
      <c r="A18" s="815">
        <f t="shared" si="3"/>
        <v>15</v>
      </c>
      <c r="B18" s="824" t="s">
        <v>370</v>
      </c>
      <c r="C18" s="824" t="s">
        <v>121</v>
      </c>
      <c r="D18" s="824" t="s">
        <v>468</v>
      </c>
      <c r="E18" s="824">
        <v>0.2</v>
      </c>
      <c r="F18" s="824">
        <v>20</v>
      </c>
      <c r="G18" s="824">
        <v>0.4</v>
      </c>
      <c r="H18" s="824">
        <v>20</v>
      </c>
      <c r="I18" s="825">
        <v>0.8</v>
      </c>
      <c r="J18" s="825">
        <v>20</v>
      </c>
      <c r="K18" s="824">
        <v>0.05</v>
      </c>
      <c r="L18" s="824">
        <v>5</v>
      </c>
      <c r="M18" s="824">
        <v>10</v>
      </c>
      <c r="N18" s="824"/>
      <c r="O18" s="824"/>
      <c r="P18" s="824">
        <v>0</v>
      </c>
      <c r="Q18" s="824"/>
      <c r="R18" s="816" t="str">
        <f t="shared" si="4"/>
        <v>0.05-5 microg/kg/min</v>
      </c>
      <c r="S18" s="816">
        <f t="shared" si="0"/>
        <v>0.2</v>
      </c>
      <c r="T18" s="816">
        <f t="shared" si="1"/>
        <v>20</v>
      </c>
      <c r="U18" s="816" t="b">
        <f t="shared" si="5"/>
        <v>1</v>
      </c>
      <c r="V18" s="816">
        <f t="shared" si="2"/>
        <v>16.666666666666668</v>
      </c>
    </row>
    <row r="19" spans="1:22" x14ac:dyDescent="0.2">
      <c r="A19" s="815">
        <f t="shared" si="3"/>
        <v>16</v>
      </c>
      <c r="B19" s="824" t="s">
        <v>126</v>
      </c>
      <c r="C19" s="824" t="s">
        <v>121</v>
      </c>
      <c r="D19" s="824" t="s">
        <v>289</v>
      </c>
      <c r="E19" s="824">
        <v>10</v>
      </c>
      <c r="F19" s="824">
        <v>50</v>
      </c>
      <c r="G19" s="824">
        <v>20</v>
      </c>
      <c r="H19" s="824">
        <v>50</v>
      </c>
      <c r="I19" s="825">
        <v>40</v>
      </c>
      <c r="J19" s="825">
        <v>50</v>
      </c>
      <c r="K19" s="824">
        <v>1</v>
      </c>
      <c r="L19" s="824">
        <v>4</v>
      </c>
      <c r="M19" s="824">
        <v>6</v>
      </c>
      <c r="N19" s="824"/>
      <c r="O19" s="824">
        <v>10</v>
      </c>
      <c r="P19" s="824">
        <v>0</v>
      </c>
      <c r="Q19" s="824"/>
      <c r="R19" s="816" t="str">
        <f t="shared" si="4"/>
        <v>1-4 mg/kg/dag</v>
      </c>
      <c r="S19" s="816">
        <f t="shared" si="0"/>
        <v>10</v>
      </c>
      <c r="T19" s="816">
        <f t="shared" si="1"/>
        <v>50</v>
      </c>
      <c r="U19" s="816" t="b">
        <f t="shared" si="5"/>
        <v>1</v>
      </c>
      <c r="V19" s="816">
        <f t="shared" si="2"/>
        <v>24</v>
      </c>
    </row>
    <row r="20" spans="1:22" x14ac:dyDescent="0.2">
      <c r="A20" s="815">
        <f t="shared" si="3"/>
        <v>17</v>
      </c>
      <c r="B20" s="824" t="s">
        <v>141</v>
      </c>
      <c r="C20" s="824" t="s">
        <v>4083</v>
      </c>
      <c r="D20" s="824" t="s">
        <v>142</v>
      </c>
      <c r="E20" s="824">
        <v>5000</v>
      </c>
      <c r="F20" s="824">
        <v>50</v>
      </c>
      <c r="G20" s="824">
        <v>10000</v>
      </c>
      <c r="H20" s="824">
        <v>50</v>
      </c>
      <c r="I20" s="825">
        <v>20000</v>
      </c>
      <c r="J20" s="825">
        <v>50</v>
      </c>
      <c r="K20" s="824">
        <v>10</v>
      </c>
      <c r="L20" s="824">
        <v>20</v>
      </c>
      <c r="M20" s="824">
        <v>50</v>
      </c>
      <c r="N20" s="824"/>
      <c r="O20" s="824"/>
      <c r="P20" s="824">
        <v>0</v>
      </c>
      <c r="Q20" s="824"/>
      <c r="R20" s="816" t="str">
        <f t="shared" si="4"/>
        <v>10-20 IE/kg/uur</v>
      </c>
      <c r="S20" s="816">
        <f t="shared" si="0"/>
        <v>5000</v>
      </c>
      <c r="T20" s="816">
        <f t="shared" si="1"/>
        <v>50</v>
      </c>
      <c r="U20" s="816" t="b">
        <f t="shared" si="5"/>
        <v>1</v>
      </c>
      <c r="V20" s="816">
        <f t="shared" si="2"/>
        <v>1</v>
      </c>
    </row>
    <row r="21" spans="1:22" x14ac:dyDescent="0.2">
      <c r="A21" s="815">
        <f t="shared" si="3"/>
        <v>18</v>
      </c>
      <c r="B21" s="824" t="s">
        <v>371</v>
      </c>
      <c r="C21" s="824" t="s">
        <v>4083</v>
      </c>
      <c r="D21" s="824" t="s">
        <v>142</v>
      </c>
      <c r="E21" s="824">
        <v>10</v>
      </c>
      <c r="F21" s="824">
        <v>50</v>
      </c>
      <c r="G21" s="824">
        <v>10</v>
      </c>
      <c r="H21" s="824">
        <v>50</v>
      </c>
      <c r="I21" s="825">
        <v>50</v>
      </c>
      <c r="J21" s="825">
        <v>50</v>
      </c>
      <c r="K21" s="824">
        <v>0.02</v>
      </c>
      <c r="L21" s="824">
        <v>0.125</v>
      </c>
      <c r="M21" s="824">
        <v>2</v>
      </c>
      <c r="N21" s="824"/>
      <c r="O21" s="824">
        <v>1</v>
      </c>
      <c r="P21" s="824">
        <v>2</v>
      </c>
      <c r="Q21" s="824"/>
      <c r="R21" s="816" t="str">
        <f t="shared" si="4"/>
        <v>0.02-0.125 IE/kg/uur</v>
      </c>
      <c r="S21" s="816">
        <f t="shared" si="0"/>
        <v>10</v>
      </c>
      <c r="T21" s="816">
        <f t="shared" si="1"/>
        <v>50</v>
      </c>
      <c r="U21" s="816" t="b">
        <f t="shared" si="5"/>
        <v>1</v>
      </c>
      <c r="V21" s="816">
        <f t="shared" si="2"/>
        <v>1</v>
      </c>
    </row>
    <row r="22" spans="1:22" x14ac:dyDescent="0.2">
      <c r="A22" s="815">
        <f t="shared" si="3"/>
        <v>19</v>
      </c>
      <c r="B22" s="824" t="s">
        <v>313</v>
      </c>
      <c r="C22" s="824" t="s">
        <v>121</v>
      </c>
      <c r="D22" s="824" t="s">
        <v>468</v>
      </c>
      <c r="E22" s="824">
        <v>2</v>
      </c>
      <c r="F22" s="824">
        <v>50</v>
      </c>
      <c r="G22" s="824">
        <v>2</v>
      </c>
      <c r="H22" s="824">
        <v>50</v>
      </c>
      <c r="I22" s="825">
        <v>2</v>
      </c>
      <c r="J22" s="825">
        <v>50</v>
      </c>
      <c r="K22" s="824">
        <v>0.01</v>
      </c>
      <c r="L22" s="824">
        <v>1.5</v>
      </c>
      <c r="M22" s="824">
        <v>3</v>
      </c>
      <c r="N22" s="824"/>
      <c r="O22" s="824">
        <v>1</v>
      </c>
      <c r="P22" s="824">
        <v>0</v>
      </c>
      <c r="Q22" s="824"/>
      <c r="R22" s="816" t="str">
        <f t="shared" si="4"/>
        <v>0.01-1.5 microg/kg/min</v>
      </c>
      <c r="S22" s="816">
        <f t="shared" si="0"/>
        <v>2</v>
      </c>
      <c r="T22" s="816">
        <f t="shared" si="1"/>
        <v>50</v>
      </c>
      <c r="U22" s="816" t="b">
        <f t="shared" si="5"/>
        <v>1</v>
      </c>
      <c r="V22" s="816">
        <f t="shared" si="2"/>
        <v>16.666666666666668</v>
      </c>
    </row>
    <row r="23" spans="1:22" x14ac:dyDescent="0.2">
      <c r="A23" s="815">
        <f t="shared" si="3"/>
        <v>20</v>
      </c>
      <c r="B23" s="824" t="s">
        <v>372</v>
      </c>
      <c r="C23" s="824" t="s">
        <v>121</v>
      </c>
      <c r="D23" s="824" t="s">
        <v>288</v>
      </c>
      <c r="E23" s="824">
        <v>250</v>
      </c>
      <c r="F23" s="824">
        <v>50</v>
      </c>
      <c r="G23" s="824">
        <v>250</v>
      </c>
      <c r="H23" s="824">
        <v>50</v>
      </c>
      <c r="I23" s="825">
        <v>250</v>
      </c>
      <c r="J23" s="825">
        <v>50</v>
      </c>
      <c r="K23" s="824">
        <v>0.25</v>
      </c>
      <c r="L23" s="824">
        <v>3</v>
      </c>
      <c r="M23" s="824">
        <v>4</v>
      </c>
      <c r="N23" s="824"/>
      <c r="O23" s="824">
        <v>5</v>
      </c>
      <c r="P23" s="824">
        <v>0</v>
      </c>
      <c r="Q23" s="824"/>
      <c r="R23" s="816" t="str">
        <f t="shared" si="4"/>
        <v>0.25-3 mg/kg/uur</v>
      </c>
      <c r="S23" s="816">
        <f t="shared" si="0"/>
        <v>250</v>
      </c>
      <c r="T23" s="816">
        <f t="shared" si="1"/>
        <v>50</v>
      </c>
      <c r="U23" s="816" t="b">
        <f t="shared" si="5"/>
        <v>1</v>
      </c>
      <c r="V23" s="816">
        <f t="shared" si="2"/>
        <v>1</v>
      </c>
    </row>
    <row r="24" spans="1:22" x14ac:dyDescent="0.2">
      <c r="A24" s="815">
        <f t="shared" si="3"/>
        <v>21</v>
      </c>
      <c r="B24" s="824" t="s">
        <v>373</v>
      </c>
      <c r="C24" s="824" t="s">
        <v>121</v>
      </c>
      <c r="D24" s="824" t="s">
        <v>288</v>
      </c>
      <c r="E24" s="824">
        <v>500</v>
      </c>
      <c r="F24" s="824">
        <v>50</v>
      </c>
      <c r="G24" s="824">
        <v>1000</v>
      </c>
      <c r="H24" s="824">
        <v>50</v>
      </c>
      <c r="I24" s="825">
        <v>2000</v>
      </c>
      <c r="J24" s="825">
        <v>50</v>
      </c>
      <c r="K24" s="824">
        <v>3</v>
      </c>
      <c r="L24" s="824">
        <v>20</v>
      </c>
      <c r="M24" s="824">
        <v>25</v>
      </c>
      <c r="N24" s="824"/>
      <c r="O24" s="824"/>
      <c r="P24" s="824">
        <v>0</v>
      </c>
      <c r="Q24" s="824"/>
      <c r="R24" s="816" t="str">
        <f t="shared" si="4"/>
        <v>3-20 mg/kg/uur</v>
      </c>
      <c r="S24" s="816">
        <f t="shared" si="0"/>
        <v>500</v>
      </c>
      <c r="T24" s="816">
        <f t="shared" si="1"/>
        <v>50</v>
      </c>
      <c r="U24" s="816" t="b">
        <f t="shared" si="5"/>
        <v>1</v>
      </c>
      <c r="V24" s="816">
        <f t="shared" si="2"/>
        <v>1</v>
      </c>
    </row>
    <row r="25" spans="1:22" x14ac:dyDescent="0.2">
      <c r="A25" s="815">
        <f t="shared" si="3"/>
        <v>22</v>
      </c>
      <c r="B25" s="824" t="s">
        <v>283</v>
      </c>
      <c r="C25" s="824" t="s">
        <v>121</v>
      </c>
      <c r="D25" s="824" t="s">
        <v>288</v>
      </c>
      <c r="E25" s="824">
        <v>25</v>
      </c>
      <c r="F25" s="824">
        <v>50</v>
      </c>
      <c r="G25" s="824">
        <v>50</v>
      </c>
      <c r="H25" s="824">
        <v>50</v>
      </c>
      <c r="I25" s="825">
        <v>50</v>
      </c>
      <c r="J25" s="825">
        <v>50</v>
      </c>
      <c r="K25" s="824">
        <v>0.05</v>
      </c>
      <c r="L25" s="824">
        <v>0.5</v>
      </c>
      <c r="M25" s="824">
        <v>1</v>
      </c>
      <c r="N25" s="824"/>
      <c r="O25" s="824">
        <v>5</v>
      </c>
      <c r="P25" s="824">
        <v>0</v>
      </c>
      <c r="Q25" s="824"/>
      <c r="R25" s="816" t="str">
        <f t="shared" si="4"/>
        <v>0.05-0.5 mg/kg/uur</v>
      </c>
      <c r="S25" s="816">
        <f t="shared" si="0"/>
        <v>25</v>
      </c>
      <c r="T25" s="816">
        <f t="shared" si="1"/>
        <v>50</v>
      </c>
      <c r="U25" s="816" t="b">
        <f t="shared" si="5"/>
        <v>1</v>
      </c>
      <c r="V25" s="816">
        <f t="shared" si="2"/>
        <v>1</v>
      </c>
    </row>
    <row r="26" spans="1:22" x14ac:dyDescent="0.2">
      <c r="A26" s="815">
        <f t="shared" si="3"/>
        <v>23</v>
      </c>
      <c r="B26" s="824" t="s">
        <v>374</v>
      </c>
      <c r="C26" s="824" t="s">
        <v>121</v>
      </c>
      <c r="D26" s="824" t="s">
        <v>468</v>
      </c>
      <c r="E26" s="824">
        <v>5</v>
      </c>
      <c r="F26" s="824">
        <v>50</v>
      </c>
      <c r="G26" s="824">
        <v>10</v>
      </c>
      <c r="H26" s="824">
        <v>50</v>
      </c>
      <c r="I26" s="825">
        <v>20</v>
      </c>
      <c r="J26" s="825">
        <v>50</v>
      </c>
      <c r="K26" s="824">
        <v>0.15</v>
      </c>
      <c r="L26" s="824">
        <v>0.5</v>
      </c>
      <c r="M26" s="824">
        <v>0.75</v>
      </c>
      <c r="N26" s="824"/>
      <c r="O26" s="824">
        <v>1</v>
      </c>
      <c r="P26" s="824">
        <v>0</v>
      </c>
      <c r="Q26" s="824"/>
      <c r="R26" s="816" t="str">
        <f t="shared" si="4"/>
        <v>0.15-0.5 microg/kg/min</v>
      </c>
      <c r="S26" s="816">
        <f t="shared" si="0"/>
        <v>5</v>
      </c>
      <c r="T26" s="816">
        <f t="shared" si="1"/>
        <v>50</v>
      </c>
      <c r="U26" s="816" t="b">
        <f t="shared" si="5"/>
        <v>1</v>
      </c>
      <c r="V26" s="816">
        <f t="shared" si="2"/>
        <v>16.666666666666668</v>
      </c>
    </row>
    <row r="27" spans="1:22" x14ac:dyDescent="0.2">
      <c r="A27" s="815">
        <f t="shared" si="3"/>
        <v>24</v>
      </c>
      <c r="B27" s="824" t="s">
        <v>90</v>
      </c>
      <c r="C27" s="824" t="s">
        <v>121</v>
      </c>
      <c r="D27" s="824" t="s">
        <v>289</v>
      </c>
      <c r="E27" s="824">
        <v>2</v>
      </c>
      <c r="F27" s="824">
        <v>50</v>
      </c>
      <c r="G27" s="824">
        <v>5</v>
      </c>
      <c r="H27" s="824">
        <v>50</v>
      </c>
      <c r="I27" s="825">
        <v>10</v>
      </c>
      <c r="J27" s="825">
        <v>50</v>
      </c>
      <c r="K27" s="824">
        <v>0.1</v>
      </c>
      <c r="L27" s="824">
        <v>0.5</v>
      </c>
      <c r="M27" s="824">
        <v>1</v>
      </c>
      <c r="N27" s="824"/>
      <c r="O27" s="824">
        <v>1</v>
      </c>
      <c r="P27" s="824">
        <v>0</v>
      </c>
      <c r="Q27" s="824"/>
      <c r="R27" s="816" t="str">
        <f t="shared" si="4"/>
        <v>0.1-0.5 mg/kg/dag</v>
      </c>
      <c r="S27" s="816">
        <f t="shared" si="0"/>
        <v>2</v>
      </c>
      <c r="T27" s="816">
        <f t="shared" si="1"/>
        <v>50</v>
      </c>
      <c r="U27" s="816" t="b">
        <f t="shared" si="5"/>
        <v>1</v>
      </c>
      <c r="V27" s="816">
        <f t="shared" si="2"/>
        <v>24</v>
      </c>
    </row>
    <row r="28" spans="1:22" x14ac:dyDescent="0.2">
      <c r="A28" s="815">
        <f t="shared" si="3"/>
        <v>25</v>
      </c>
      <c r="B28" s="824" t="s">
        <v>265</v>
      </c>
      <c r="C28" s="824" t="s">
        <v>382</v>
      </c>
      <c r="D28" s="824" t="s">
        <v>311</v>
      </c>
      <c r="E28" s="824">
        <v>25</v>
      </c>
      <c r="F28" s="824">
        <v>50</v>
      </c>
      <c r="G28" s="824">
        <v>25</v>
      </c>
      <c r="H28" s="824">
        <v>50</v>
      </c>
      <c r="I28" s="825">
        <v>25</v>
      </c>
      <c r="J28" s="825">
        <v>50</v>
      </c>
      <c r="K28" s="824">
        <v>2</v>
      </c>
      <c r="L28" s="824">
        <v>4</v>
      </c>
      <c r="M28" s="824">
        <v>6</v>
      </c>
      <c r="N28" s="824"/>
      <c r="O28" s="824"/>
      <c r="P28" s="824">
        <v>0</v>
      </c>
      <c r="Q28" s="824"/>
      <c r="R28" s="816" t="str">
        <f t="shared" si="4"/>
        <v>2-4 mmol/kg/dag</v>
      </c>
      <c r="S28" s="816">
        <f t="shared" si="0"/>
        <v>25</v>
      </c>
      <c r="T28" s="816">
        <f t="shared" si="1"/>
        <v>50</v>
      </c>
      <c r="U28" s="816" t="b">
        <f t="shared" si="5"/>
        <v>1</v>
      </c>
      <c r="V28" s="816">
        <f t="shared" si="2"/>
        <v>24</v>
      </c>
    </row>
    <row r="29" spans="1:22" x14ac:dyDescent="0.2">
      <c r="A29" s="815">
        <f t="shared" si="3"/>
        <v>26</v>
      </c>
      <c r="B29" s="824" t="s">
        <v>49</v>
      </c>
      <c r="C29" s="824" t="s">
        <v>121</v>
      </c>
      <c r="D29" s="824" t="s">
        <v>468</v>
      </c>
      <c r="E29" s="824">
        <v>10</v>
      </c>
      <c r="F29" s="824">
        <v>50</v>
      </c>
      <c r="G29" s="824">
        <v>20</v>
      </c>
      <c r="H29" s="824">
        <v>50</v>
      </c>
      <c r="I29" s="825">
        <v>40</v>
      </c>
      <c r="J29" s="825">
        <v>50</v>
      </c>
      <c r="K29" s="824">
        <v>0.5</v>
      </c>
      <c r="L29" s="824">
        <v>8</v>
      </c>
      <c r="M29" s="824">
        <v>10</v>
      </c>
      <c r="N29" s="824"/>
      <c r="O29" s="824">
        <v>10</v>
      </c>
      <c r="P29" s="824">
        <v>0</v>
      </c>
      <c r="Q29" s="824"/>
      <c r="R29" s="816" t="str">
        <f t="shared" si="4"/>
        <v>0.5-8 microg/kg/min</v>
      </c>
      <c r="S29" s="816">
        <f t="shared" si="0"/>
        <v>10</v>
      </c>
      <c r="T29" s="816">
        <f t="shared" si="1"/>
        <v>50</v>
      </c>
      <c r="U29" s="816" t="b">
        <f t="shared" si="5"/>
        <v>1</v>
      </c>
      <c r="V29" s="816">
        <f t="shared" si="2"/>
        <v>16.666666666666668</v>
      </c>
    </row>
    <row r="30" spans="1:22" x14ac:dyDescent="0.2">
      <c r="A30" s="815">
        <f t="shared" si="3"/>
        <v>27</v>
      </c>
      <c r="B30" s="824" t="s">
        <v>309</v>
      </c>
      <c r="C30" s="824" t="s">
        <v>121</v>
      </c>
      <c r="D30" s="824" t="s">
        <v>468</v>
      </c>
      <c r="E30" s="824">
        <v>1</v>
      </c>
      <c r="F30" s="824">
        <v>50</v>
      </c>
      <c r="G30" s="824">
        <v>2</v>
      </c>
      <c r="H30" s="824">
        <v>50</v>
      </c>
      <c r="I30" s="825">
        <v>5</v>
      </c>
      <c r="J30" s="825">
        <v>50</v>
      </c>
      <c r="K30" s="824">
        <v>0.05</v>
      </c>
      <c r="L30" s="824">
        <v>0.5</v>
      </c>
      <c r="M30" s="824">
        <v>1</v>
      </c>
      <c r="N30" s="824"/>
      <c r="O30" s="824">
        <v>1</v>
      </c>
      <c r="P30" s="824">
        <v>0</v>
      </c>
      <c r="Q30" s="824"/>
      <c r="R30" s="816" t="str">
        <f t="shared" si="4"/>
        <v>0.05-0.5 microg/kg/min</v>
      </c>
      <c r="S30" s="816">
        <f t="shared" si="0"/>
        <v>1</v>
      </c>
      <c r="T30" s="816">
        <f t="shared" si="1"/>
        <v>50</v>
      </c>
      <c r="U30" s="816" t="b">
        <f t="shared" si="5"/>
        <v>1</v>
      </c>
      <c r="V30" s="816">
        <f t="shared" si="2"/>
        <v>16.666666666666668</v>
      </c>
    </row>
    <row r="31" spans="1:22" x14ac:dyDescent="0.2">
      <c r="A31" s="815">
        <f t="shared" si="3"/>
        <v>28</v>
      </c>
      <c r="B31" s="824" t="s">
        <v>256</v>
      </c>
      <c r="C31" s="824" t="s">
        <v>121</v>
      </c>
      <c r="D31" s="824" t="s">
        <v>288</v>
      </c>
      <c r="E31" s="824">
        <v>10</v>
      </c>
      <c r="F31" s="824">
        <v>1</v>
      </c>
      <c r="G31" s="824">
        <v>10</v>
      </c>
      <c r="H31" s="824">
        <v>1</v>
      </c>
      <c r="I31" s="825">
        <v>10</v>
      </c>
      <c r="J31" s="825">
        <v>1</v>
      </c>
      <c r="K31" s="824">
        <v>1</v>
      </c>
      <c r="L31" s="824">
        <v>4</v>
      </c>
      <c r="M31" s="824">
        <v>4</v>
      </c>
      <c r="N31" s="824"/>
      <c r="O31" s="824"/>
      <c r="P31" s="824">
        <v>1</v>
      </c>
      <c r="Q31" s="824"/>
      <c r="R31" s="816" t="str">
        <f t="shared" si="4"/>
        <v>1-4 mg/kg/uur</v>
      </c>
      <c r="S31" s="816">
        <f t="shared" si="0"/>
        <v>10</v>
      </c>
      <c r="T31" s="816">
        <f t="shared" si="1"/>
        <v>1</v>
      </c>
      <c r="U31" s="816" t="b">
        <f t="shared" si="5"/>
        <v>1</v>
      </c>
      <c r="V31" s="816">
        <f t="shared" si="2"/>
        <v>1</v>
      </c>
    </row>
    <row r="32" spans="1:22" x14ac:dyDescent="0.2">
      <c r="A32" s="815">
        <f t="shared" si="3"/>
        <v>29</v>
      </c>
      <c r="B32" s="824" t="s">
        <v>257</v>
      </c>
      <c r="C32" s="824" t="s">
        <v>121</v>
      </c>
      <c r="D32" s="824" t="s">
        <v>288</v>
      </c>
      <c r="E32" s="824">
        <v>20</v>
      </c>
      <c r="F32" s="824">
        <v>1</v>
      </c>
      <c r="G32" s="824">
        <v>20</v>
      </c>
      <c r="H32" s="824">
        <v>1</v>
      </c>
      <c r="I32" s="825">
        <v>20</v>
      </c>
      <c r="J32" s="825">
        <v>1</v>
      </c>
      <c r="K32" s="824">
        <v>1</v>
      </c>
      <c r="L32" s="824">
        <v>4</v>
      </c>
      <c r="M32" s="824">
        <v>4</v>
      </c>
      <c r="N32" s="824"/>
      <c r="O32" s="824"/>
      <c r="P32" s="824">
        <v>1</v>
      </c>
      <c r="Q32" s="824"/>
      <c r="R32" s="816" t="str">
        <f t="shared" si="4"/>
        <v>1-4 mg/kg/uur</v>
      </c>
      <c r="S32" s="816">
        <f t="shared" si="0"/>
        <v>20</v>
      </c>
      <c r="T32" s="816">
        <f t="shared" si="1"/>
        <v>1</v>
      </c>
      <c r="U32" s="816" t="b">
        <f t="shared" si="5"/>
        <v>1</v>
      </c>
      <c r="V32" s="816">
        <f t="shared" si="2"/>
        <v>1</v>
      </c>
    </row>
    <row r="33" spans="1:22" x14ac:dyDescent="0.2">
      <c r="A33" s="815">
        <f t="shared" si="3"/>
        <v>30</v>
      </c>
      <c r="B33" s="824" t="s">
        <v>211</v>
      </c>
      <c r="C33" s="824" t="s">
        <v>121</v>
      </c>
      <c r="D33" s="824" t="s">
        <v>288</v>
      </c>
      <c r="E33" s="824">
        <v>50</v>
      </c>
      <c r="F33" s="824">
        <v>50</v>
      </c>
      <c r="G33" s="824">
        <v>100</v>
      </c>
      <c r="H33" s="824">
        <v>50</v>
      </c>
      <c r="I33" s="825">
        <v>200</v>
      </c>
      <c r="J33" s="825">
        <v>50</v>
      </c>
      <c r="K33" s="824">
        <v>0.6</v>
      </c>
      <c r="L33" s="824">
        <v>1.2</v>
      </c>
      <c r="M33" s="824">
        <v>2</v>
      </c>
      <c r="N33" s="824"/>
      <c r="O33" s="824">
        <v>10</v>
      </c>
      <c r="P33" s="824">
        <v>0</v>
      </c>
      <c r="Q33" s="824"/>
      <c r="R33" s="816" t="str">
        <f t="shared" si="4"/>
        <v>0.6-1.2 mg/kg/uur</v>
      </c>
      <c r="S33" s="816">
        <f t="shared" si="0"/>
        <v>50</v>
      </c>
      <c r="T33" s="816">
        <f t="shared" si="1"/>
        <v>50</v>
      </c>
      <c r="U33" s="816" t="b">
        <f t="shared" si="5"/>
        <v>1</v>
      </c>
      <c r="V33" s="816">
        <f t="shared" si="2"/>
        <v>1</v>
      </c>
    </row>
    <row r="34" spans="1:22" x14ac:dyDescent="0.2">
      <c r="A34" s="815">
        <f t="shared" si="3"/>
        <v>31</v>
      </c>
      <c r="B34" s="824" t="s">
        <v>26</v>
      </c>
      <c r="C34" s="824" t="s">
        <v>121</v>
      </c>
      <c r="D34" s="824" t="s">
        <v>468</v>
      </c>
      <c r="E34" s="824">
        <v>5</v>
      </c>
      <c r="F34" s="824">
        <v>50</v>
      </c>
      <c r="G34" s="824">
        <v>10</v>
      </c>
      <c r="H34" s="824">
        <v>50</v>
      </c>
      <c r="I34" s="825">
        <v>20</v>
      </c>
      <c r="J34" s="825">
        <v>50</v>
      </c>
      <c r="K34" s="824">
        <v>0.1</v>
      </c>
      <c r="L34" s="824">
        <v>10</v>
      </c>
      <c r="M34" s="824">
        <v>15</v>
      </c>
      <c r="N34" s="824"/>
      <c r="O34" s="824"/>
      <c r="P34" s="824">
        <v>0</v>
      </c>
      <c r="Q34" s="824"/>
      <c r="R34" s="816" t="str">
        <f t="shared" si="4"/>
        <v>0.1-10 microg/kg/min</v>
      </c>
      <c r="S34" s="816">
        <f t="shared" si="0"/>
        <v>5</v>
      </c>
      <c r="T34" s="816">
        <f t="shared" si="1"/>
        <v>50</v>
      </c>
      <c r="U34" s="816" t="b">
        <f t="shared" si="5"/>
        <v>1</v>
      </c>
      <c r="V34" s="816">
        <f t="shared" si="2"/>
        <v>16.666666666666668</v>
      </c>
    </row>
    <row r="35" spans="1:22" x14ac:dyDescent="0.2">
      <c r="A35" s="815">
        <f t="shared" si="3"/>
        <v>32</v>
      </c>
      <c r="B35" s="824" t="s">
        <v>281</v>
      </c>
      <c r="C35" s="824" t="s">
        <v>121</v>
      </c>
      <c r="D35" s="824" t="s">
        <v>288</v>
      </c>
      <c r="E35" s="824">
        <v>1000</v>
      </c>
      <c r="F35" s="824">
        <v>50</v>
      </c>
      <c r="G35" s="824">
        <v>2000</v>
      </c>
      <c r="H35" s="824">
        <v>50</v>
      </c>
      <c r="I35" s="825">
        <v>4000</v>
      </c>
      <c r="J35" s="825">
        <v>50</v>
      </c>
      <c r="K35" s="824">
        <v>5</v>
      </c>
      <c r="L35" s="824">
        <v>10</v>
      </c>
      <c r="M35" s="824">
        <v>20</v>
      </c>
      <c r="N35" s="824"/>
      <c r="O35" s="824"/>
      <c r="P35" s="824">
        <v>0</v>
      </c>
      <c r="Q35" s="824" t="s">
        <v>352</v>
      </c>
      <c r="R35" s="816" t="str">
        <f t="shared" si="4"/>
        <v>Op geleide van spiegels</v>
      </c>
      <c r="S35" s="816">
        <f t="shared" si="0"/>
        <v>1000</v>
      </c>
      <c r="T35" s="816">
        <f t="shared" si="1"/>
        <v>50</v>
      </c>
      <c r="U35" s="816" t="b">
        <f t="shared" si="5"/>
        <v>1</v>
      </c>
      <c r="V35" s="816">
        <f t="shared" si="2"/>
        <v>1</v>
      </c>
    </row>
    <row r="36" spans="1:22" x14ac:dyDescent="0.2">
      <c r="A36" s="822" t="s">
        <v>4120</v>
      </c>
      <c r="B36" s="823">
        <v>1</v>
      </c>
      <c r="C36" s="823">
        <f>B36+1</f>
        <v>2</v>
      </c>
      <c r="D36" s="823">
        <f t="shared" ref="D36:T36" si="6">C36+1</f>
        <v>3</v>
      </c>
      <c r="E36" s="823">
        <f t="shared" si="6"/>
        <v>4</v>
      </c>
      <c r="F36" s="823">
        <f t="shared" si="6"/>
        <v>5</v>
      </c>
      <c r="G36" s="823">
        <f t="shared" si="6"/>
        <v>6</v>
      </c>
      <c r="H36" s="823">
        <f t="shared" si="6"/>
        <v>7</v>
      </c>
      <c r="I36" s="823">
        <f t="shared" si="6"/>
        <v>8</v>
      </c>
      <c r="J36" s="823">
        <f t="shared" si="6"/>
        <v>9</v>
      </c>
      <c r="K36" s="823">
        <f t="shared" si="6"/>
        <v>10</v>
      </c>
      <c r="L36" s="823">
        <f t="shared" si="6"/>
        <v>11</v>
      </c>
      <c r="M36" s="823">
        <f t="shared" si="6"/>
        <v>12</v>
      </c>
      <c r="N36" s="823">
        <v>13</v>
      </c>
      <c r="O36" s="823">
        <v>14</v>
      </c>
      <c r="P36" s="823">
        <v>15</v>
      </c>
      <c r="Q36" s="823">
        <f t="shared" si="6"/>
        <v>16</v>
      </c>
      <c r="R36" s="823">
        <f t="shared" si="6"/>
        <v>17</v>
      </c>
      <c r="S36" s="823">
        <f t="shared" si="6"/>
        <v>18</v>
      </c>
      <c r="T36" s="823">
        <f t="shared" si="6"/>
        <v>19</v>
      </c>
      <c r="U36" s="823">
        <f t="shared" ref="U36" si="7">T36+1</f>
        <v>20</v>
      </c>
      <c r="V36" s="823">
        <f t="shared" ref="V36" si="8">U36+1</f>
        <v>21</v>
      </c>
    </row>
  </sheetData>
  <sheetProtection selectLockedCells="1"/>
  <protectedRanges>
    <protectedRange password="CC20" sqref="B5:Q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0" customWidth="1"/>
    <col min="2" max="2" width="6" style="380" customWidth="1"/>
    <col min="3" max="3" width="3" style="380" customWidth="1"/>
    <col min="4" max="4" width="16.5703125" style="380" customWidth="1"/>
    <col min="5" max="5" width="17.28515625" style="380" customWidth="1"/>
    <col min="6" max="6" width="17.5703125" style="380" customWidth="1"/>
    <col min="7" max="7" width="18.5703125" style="380" customWidth="1"/>
    <col min="8" max="8" width="18.28515625" style="380" customWidth="1"/>
    <col min="9" max="9" width="9.7109375" style="380" customWidth="1"/>
    <col min="10" max="10" width="9.140625" style="380"/>
    <col min="11" max="11" width="9.42578125" style="380" bestFit="1" customWidth="1"/>
    <col min="12" max="12" width="9.28515625" style="380" bestFit="1" customWidth="1"/>
    <col min="13" max="16384" width="9.140625" style="380"/>
  </cols>
  <sheetData>
    <row r="1" spans="2:15" s="374" customFormat="1" ht="17.25" customHeight="1" x14ac:dyDescent="0.2">
      <c r="B1" s="644"/>
      <c r="C1" s="656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</row>
    <row r="2" spans="2:15" s="374" customFormat="1" ht="17.25" customHeight="1" x14ac:dyDescent="0.2">
      <c r="B2" s="644"/>
      <c r="C2" s="644"/>
      <c r="D2" s="647" t="s">
        <v>235</v>
      </c>
      <c r="E2" s="648" t="str">
        <f ca="1">Txt_Pat_AfspraakDat</f>
        <v>21-sep-2017</v>
      </c>
      <c r="F2" s="647"/>
      <c r="G2" s="657"/>
      <c r="H2" s="651" t="s">
        <v>236</v>
      </c>
      <c r="I2" s="651" t="str">
        <f>Txt_Pat_OpnameDat</f>
        <v/>
      </c>
      <c r="J2" s="659"/>
      <c r="K2" s="647"/>
      <c r="L2" s="644" t="str">
        <f>Txt_Pat_Gewicht</f>
        <v>Gewicht:</v>
      </c>
      <c r="M2" s="644"/>
      <c r="N2" s="644" t="str">
        <f>Txt_Pat_Bed</f>
        <v/>
      </c>
      <c r="O2" s="644"/>
    </row>
    <row r="3" spans="2:15" s="374" customFormat="1" ht="17.25" customHeight="1" x14ac:dyDescent="0.2">
      <c r="B3" s="644"/>
      <c r="C3" s="644"/>
      <c r="D3" s="647" t="s">
        <v>27</v>
      </c>
      <c r="E3" s="652" t="str">
        <f>Txt_Pat_FullName</f>
        <v/>
      </c>
      <c r="F3" s="647"/>
      <c r="G3" s="658"/>
      <c r="H3" s="651" t="s">
        <v>242</v>
      </c>
      <c r="I3" s="651" t="str">
        <f ca="1">Txt_Pat_GeboorteDat</f>
        <v/>
      </c>
      <c r="J3" s="647"/>
      <c r="K3" s="647"/>
      <c r="L3" s="647" t="str">
        <f>Txt_Pat_Lengte</f>
        <v>Lengte:</v>
      </c>
      <c r="M3" s="644"/>
      <c r="N3" s="644"/>
      <c r="O3" s="644"/>
    </row>
    <row r="4" spans="2:15" s="374" customFormat="1" ht="17.25" customHeight="1" x14ac:dyDescent="0.2">
      <c r="B4" s="644"/>
      <c r="C4" s="644"/>
      <c r="D4" s="653" t="s">
        <v>3493</v>
      </c>
      <c r="E4" s="647" t="str">
        <f>Txt_Pat_PatNo</f>
        <v/>
      </c>
      <c r="F4" s="647"/>
      <c r="G4" s="644"/>
      <c r="H4" s="651" t="s">
        <v>213</v>
      </c>
      <c r="I4" s="651" t="str">
        <f ca="1">Txt_Pat_Leeftijd</f>
        <v/>
      </c>
      <c r="J4" s="647"/>
      <c r="K4" s="647"/>
      <c r="L4" s="647" t="str">
        <f>Txt_Pat_Oppervlak</f>
        <v>Lichamelijk oppervlak:</v>
      </c>
      <c r="M4" s="644"/>
      <c r="N4" s="644"/>
      <c r="O4" s="644"/>
    </row>
    <row r="5" spans="2:15" s="374" customFormat="1" ht="8.1" customHeight="1" x14ac:dyDescent="0.2">
      <c r="B5" s="644"/>
      <c r="C5" s="644"/>
      <c r="D5" s="647"/>
      <c r="E5" s="647"/>
      <c r="F5" s="649"/>
      <c r="G5" s="647"/>
      <c r="H5" s="655"/>
      <c r="I5" s="647"/>
      <c r="J5" s="647"/>
      <c r="K5" s="647"/>
      <c r="L5" s="647"/>
      <c r="M5" s="644"/>
      <c r="N5" s="644"/>
      <c r="O5" s="644"/>
    </row>
    <row r="6" spans="2:15" ht="12.75" customHeight="1" x14ac:dyDescent="0.2"/>
    <row r="7" spans="2:15" ht="20.100000000000001" customHeight="1" x14ac:dyDescent="0.2">
      <c r="B7" s="687" t="s">
        <v>3327</v>
      </c>
      <c r="C7" s="692"/>
      <c r="D7" s="693" t="s">
        <v>25</v>
      </c>
      <c r="E7" s="687"/>
      <c r="F7" s="687"/>
      <c r="G7" s="687"/>
      <c r="H7" s="687"/>
      <c r="I7" s="687"/>
      <c r="J7" s="687"/>
      <c r="K7" s="687"/>
      <c r="L7" s="687"/>
      <c r="M7" s="687"/>
      <c r="N7" s="687"/>
      <c r="O7" s="687"/>
    </row>
    <row r="8" spans="2:15" ht="9" customHeight="1" x14ac:dyDescent="0.2">
      <c r="B8" s="389"/>
      <c r="J8" s="374"/>
      <c r="K8" s="379"/>
      <c r="L8" s="379"/>
      <c r="M8" s="379"/>
      <c r="N8" s="379"/>
    </row>
    <row r="9" spans="2:15" ht="20.100000000000001" customHeight="1" x14ac:dyDescent="0.2">
      <c r="B9" s="388" t="str">
        <f>PedBerIVenPM!D2</f>
        <v/>
      </c>
      <c r="C9" s="675">
        <v>1</v>
      </c>
      <c r="E9" s="542"/>
      <c r="H9" s="380" t="str">
        <f>PedBerIVenPM!C2</f>
        <v/>
      </c>
      <c r="J9" s="374"/>
      <c r="K9" s="381"/>
      <c r="L9" s="382"/>
      <c r="M9" s="379"/>
      <c r="N9" s="379"/>
    </row>
    <row r="10" spans="2:15" ht="20.100000000000001" customHeight="1" x14ac:dyDescent="0.2">
      <c r="B10" s="388" t="str">
        <f>PedBerIVenPM!D3</f>
        <v/>
      </c>
      <c r="C10" s="675">
        <v>2</v>
      </c>
      <c r="H10" s="380" t="str">
        <f>PedBerIVenPM!C3</f>
        <v/>
      </c>
      <c r="J10" s="374"/>
      <c r="K10" s="382"/>
      <c r="L10" s="382"/>
      <c r="M10" s="379"/>
      <c r="N10" s="379"/>
    </row>
    <row r="11" spans="2:15" ht="20.100000000000001" customHeight="1" x14ac:dyDescent="0.2">
      <c r="B11" s="388" t="str">
        <f>PedBerIVenPM!D4</f>
        <v/>
      </c>
      <c r="C11" s="675">
        <v>3</v>
      </c>
      <c r="H11" s="380" t="str">
        <f>PedBerIVenPM!C4</f>
        <v/>
      </c>
      <c r="J11" s="374"/>
      <c r="M11" s="379"/>
      <c r="N11" s="379"/>
    </row>
    <row r="12" spans="2:15" ht="20.100000000000001" customHeight="1" x14ac:dyDescent="0.2">
      <c r="B12" s="388" t="str">
        <f>PedBerIVenPM!D5</f>
        <v/>
      </c>
      <c r="C12" s="675">
        <v>4</v>
      </c>
      <c r="H12" s="380" t="str">
        <f>PedBerIVenPM!C5</f>
        <v/>
      </c>
      <c r="J12" s="374"/>
      <c r="M12" s="379"/>
      <c r="N12" s="379"/>
    </row>
    <row r="13" spans="2:15" ht="20.100000000000001" customHeight="1" x14ac:dyDescent="0.2">
      <c r="B13" s="388" t="str">
        <f>PedBerIVenPM!D6</f>
        <v/>
      </c>
      <c r="C13" s="675">
        <v>5</v>
      </c>
      <c r="H13" s="380" t="str">
        <f>PedBerIVenPM!C6</f>
        <v/>
      </c>
      <c r="J13" s="374"/>
      <c r="M13" s="379"/>
      <c r="N13" s="379"/>
    </row>
    <row r="14" spans="2:15" ht="20.100000000000001" customHeight="1" x14ac:dyDescent="0.2">
      <c r="B14" s="388" t="str">
        <f>PedBerIVenPM!D7</f>
        <v/>
      </c>
      <c r="C14" s="675">
        <v>6</v>
      </c>
      <c r="D14" s="374"/>
      <c r="E14" s="374"/>
      <c r="F14" s="374"/>
      <c r="G14" s="374"/>
      <c r="H14" s="374" t="str">
        <f>PedBerIVenPM!C7</f>
        <v/>
      </c>
      <c r="J14" s="374"/>
      <c r="M14" s="379"/>
      <c r="N14" s="379"/>
    </row>
    <row r="15" spans="2:15" ht="17.25" customHeight="1" x14ac:dyDescent="0.2">
      <c r="B15" s="386"/>
      <c r="J15" s="374"/>
      <c r="M15" s="379"/>
      <c r="N15" s="379"/>
    </row>
    <row r="16" spans="2:15" ht="20.100000000000001" customHeight="1" x14ac:dyDescent="0.2">
      <c r="B16" s="388" t="str">
        <f>PedBerIVenPM!D9</f>
        <v/>
      </c>
      <c r="C16" s="675"/>
      <c r="D16" s="675" t="s">
        <v>225</v>
      </c>
      <c r="E16" s="832">
        <f>_Ped_Lijn_Opm</f>
        <v>0</v>
      </c>
      <c r="F16" s="833"/>
      <c r="G16" s="833"/>
      <c r="H16" s="833"/>
      <c r="I16" s="383"/>
      <c r="J16" s="384"/>
      <c r="M16" s="379"/>
      <c r="N16" s="379"/>
    </row>
    <row r="17" spans="2:15" ht="17.25" customHeight="1" x14ac:dyDescent="0.2">
      <c r="B17" s="389"/>
      <c r="J17" s="379"/>
      <c r="M17" s="379"/>
      <c r="N17" s="379"/>
    </row>
    <row r="18" spans="2:15" ht="20.100000000000001" customHeight="1" x14ac:dyDescent="0.2">
      <c r="B18" s="389"/>
      <c r="D18" s="367"/>
      <c r="E18" s="382"/>
      <c r="F18" s="382"/>
      <c r="G18" s="382"/>
      <c r="H18" s="382"/>
      <c r="I18" s="382"/>
      <c r="J18" s="381"/>
    </row>
    <row r="19" spans="2:15" ht="20.100000000000001" customHeight="1" x14ac:dyDescent="0.2">
      <c r="B19" s="693" t="str">
        <f>PedBerIVenPM!F13</f>
        <v/>
      </c>
      <c r="C19" s="687"/>
      <c r="D19" s="687" t="s">
        <v>20</v>
      </c>
      <c r="E19" s="694"/>
      <c r="F19" s="687"/>
      <c r="G19" s="687"/>
      <c r="H19" s="687"/>
      <c r="I19" s="687"/>
      <c r="J19" s="695"/>
      <c r="K19" s="687"/>
      <c r="L19" s="687"/>
      <c r="M19" s="687"/>
      <c r="N19" s="687"/>
      <c r="O19" s="687"/>
    </row>
    <row r="20" spans="2:15" ht="8.1" customHeight="1" x14ac:dyDescent="0.2">
      <c r="B20" s="388"/>
      <c r="C20" s="535"/>
    </row>
    <row r="21" spans="2:15" ht="20.100000000000001" customHeight="1" x14ac:dyDescent="0.2">
      <c r="B21" s="388"/>
      <c r="C21" s="535"/>
      <c r="D21" s="675" t="s">
        <v>205</v>
      </c>
      <c r="G21" s="675" t="s">
        <v>50</v>
      </c>
    </row>
    <row r="22" spans="2:15" ht="8.1" customHeight="1" x14ac:dyDescent="0.2">
      <c r="B22" s="388"/>
      <c r="C22" s="535"/>
    </row>
    <row r="23" spans="2:15" ht="20.100000000000001" customHeight="1" x14ac:dyDescent="0.2">
      <c r="B23" s="388" t="str">
        <f>PedBerIVenPM!F14</f>
        <v/>
      </c>
      <c r="C23" s="535"/>
      <c r="D23" s="675" t="s">
        <v>228</v>
      </c>
      <c r="E23" s="540" t="str">
        <f>IF(PedBerIVenPM!A12&gt;1,PedBerIVenPM!D12&amp;" /min","")</f>
        <v>30 /min</v>
      </c>
    </row>
    <row r="24" spans="2:15" ht="8.1" customHeight="1" x14ac:dyDescent="0.2">
      <c r="B24" s="535"/>
      <c r="C24" s="535"/>
      <c r="D24" s="386"/>
      <c r="E24" s="477"/>
    </row>
    <row r="25" spans="2:15" ht="20.100000000000001" customHeight="1" thickBot="1" x14ac:dyDescent="0.25">
      <c r="B25" s="535"/>
      <c r="C25" s="535"/>
      <c r="D25" s="675" t="s">
        <v>51</v>
      </c>
      <c r="E25" s="540" t="str">
        <f>IF(PedBerIVenPM!A12&gt;1,(PedBerIVenPM!D13/10)&amp;" V","")</f>
        <v>0,1 V</v>
      </c>
    </row>
    <row r="26" spans="2:15" ht="20.100000000000001" customHeight="1" thickTop="1" thickBot="1" x14ac:dyDescent="0.25">
      <c r="B26" s="535"/>
      <c r="C26" s="535"/>
      <c r="D26" s="675" t="s">
        <v>3337</v>
      </c>
      <c r="E26" s="478" t="str">
        <f>IF(PedBerIVenPM!A12&gt;1,(PedBerIVenPM!D14/10)&amp;" V","")</f>
        <v>0,1 V</v>
      </c>
    </row>
    <row r="27" spans="2:15" ht="8.1" customHeight="1" thickTop="1" x14ac:dyDescent="0.2">
      <c r="B27" s="535"/>
      <c r="C27" s="535"/>
      <c r="D27" s="386"/>
      <c r="E27" s="477"/>
    </row>
    <row r="28" spans="2:15" ht="20.100000000000001" customHeight="1" x14ac:dyDescent="0.2">
      <c r="B28" s="535"/>
      <c r="C28" s="535"/>
      <c r="D28" s="675" t="s">
        <v>52</v>
      </c>
      <c r="E28" s="540" t="str">
        <f>IF(PedBerIVenPM!A12&gt;1,PedBerIVenPM!D15&amp;" msec","")</f>
        <v>20 msec</v>
      </c>
    </row>
    <row r="29" spans="2:15" ht="8.1" customHeight="1" x14ac:dyDescent="0.2">
      <c r="B29" s="535"/>
      <c r="C29" s="535"/>
      <c r="D29" s="386"/>
      <c r="E29" s="477"/>
    </row>
    <row r="30" spans="2:15" ht="20.100000000000001" customHeight="1" thickBot="1" x14ac:dyDescent="0.25">
      <c r="B30" s="535"/>
      <c r="C30" s="535"/>
      <c r="D30" s="675" t="s">
        <v>53</v>
      </c>
      <c r="E30" s="540" t="str">
        <f>IF(PedBerIVenPM!A12&gt;1,PedBerIVenPM!D16/10&amp;" mV","")</f>
        <v>0,2 mV</v>
      </c>
    </row>
    <row r="31" spans="2:15" ht="20.100000000000001" customHeight="1" thickTop="1" thickBot="1" x14ac:dyDescent="0.25">
      <c r="B31" s="535"/>
      <c r="C31" s="535"/>
      <c r="D31" s="675" t="s">
        <v>3338</v>
      </c>
      <c r="E31" s="478" t="str">
        <f>IF(PedBerIVenPM!A12&gt;1,(PedBerIVenPM!D17/10)&amp;" mV","")</f>
        <v>1 mV</v>
      </c>
    </row>
    <row r="32" spans="2:15" ht="17.25" customHeight="1" thickTop="1" x14ac:dyDescent="0.2"/>
  </sheetData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3327</v>
      </c>
      <c r="E1" s="1" t="s">
        <v>94</v>
      </c>
      <c r="F1" s="1" t="s">
        <v>824</v>
      </c>
      <c r="G1" s="1" t="s">
        <v>267</v>
      </c>
      <c r="I1" s="1" t="s">
        <v>4871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3327</v>
      </c>
      <c r="G12" s="259"/>
      <c r="H12" s="259"/>
      <c r="I12" s="209" t="s">
        <v>4872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0" customWidth="1"/>
    <col min="2" max="3" width="6" style="380" customWidth="1"/>
    <col min="4" max="4" width="3.140625" style="380" customWidth="1"/>
    <col min="5" max="5" width="20.28515625" style="380" customWidth="1"/>
    <col min="6" max="7" width="13.7109375" style="380" customWidth="1"/>
    <col min="8" max="8" width="18.7109375" style="380" customWidth="1"/>
    <col min="9" max="9" width="17.85546875" style="380" customWidth="1"/>
    <col min="10" max="10" width="7.140625" style="380" customWidth="1"/>
    <col min="11" max="11" width="22" style="380" customWidth="1"/>
    <col min="12" max="13" width="13.7109375" style="380" customWidth="1"/>
    <col min="14" max="14" width="17.85546875" style="380" customWidth="1"/>
    <col min="15" max="15" width="18.7109375" style="380" customWidth="1"/>
    <col min="16" max="16" width="10.42578125" style="380" customWidth="1"/>
    <col min="17" max="18" width="9.140625" style="380"/>
    <col min="19" max="19" width="10.7109375" style="380" bestFit="1" customWidth="1"/>
    <col min="20" max="21" width="9.140625" style="380"/>
    <col min="22" max="22" width="10.7109375" style="380" bestFit="1" customWidth="1"/>
    <col min="23" max="16384" width="9.140625" style="380"/>
  </cols>
  <sheetData>
    <row r="1" spans="2:25" s="373" customFormat="1" ht="17.25" customHeight="1" x14ac:dyDescent="0.2">
      <c r="B1" s="644"/>
      <c r="C1" s="656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556"/>
      <c r="P1" s="556"/>
    </row>
    <row r="2" spans="2:25" s="373" customFormat="1" ht="17.25" customHeight="1" x14ac:dyDescent="0.2">
      <c r="B2" s="644"/>
      <c r="C2" s="644"/>
      <c r="D2" s="647"/>
      <c r="E2" s="644" t="s">
        <v>235</v>
      </c>
      <c r="F2" s="648" t="str">
        <f ca="1">Txt_Pat_AfspraakDat</f>
        <v>21-sep-2017</v>
      </c>
      <c r="G2" s="649"/>
      <c r="H2" s="647"/>
      <c r="I2" s="651" t="s">
        <v>3496</v>
      </c>
      <c r="J2" s="651"/>
      <c r="K2" s="647" t="str">
        <f>Txt_Pat_OpnameDat</f>
        <v/>
      </c>
      <c r="L2" s="644" t="str">
        <f>Txt_Pat_Gewicht</f>
        <v>Gewicht:</v>
      </c>
      <c r="M2" s="644"/>
      <c r="N2" s="647" t="str">
        <f>Txt_Pat_Bed</f>
        <v/>
      </c>
      <c r="O2" s="556"/>
      <c r="P2" s="556"/>
    </row>
    <row r="3" spans="2:25" s="373" customFormat="1" ht="17.25" customHeight="1" x14ac:dyDescent="0.2">
      <c r="B3" s="644"/>
      <c r="C3" s="644"/>
      <c r="D3" s="647"/>
      <c r="E3" s="644" t="s">
        <v>27</v>
      </c>
      <c r="F3" s="652" t="str">
        <f>Txt_Pat_FullName</f>
        <v/>
      </c>
      <c r="G3" s="652"/>
      <c r="H3" s="647"/>
      <c r="I3" s="651" t="s">
        <v>3497</v>
      </c>
      <c r="J3" s="651"/>
      <c r="K3" s="647" t="str">
        <f ca="1">Txt_Pat_GeboorteDat</f>
        <v/>
      </c>
      <c r="L3" s="644" t="str">
        <f>Txt_Pat_Lengte</f>
        <v>Lengte:</v>
      </c>
      <c r="M3" s="660"/>
      <c r="N3" s="661"/>
      <c r="O3" s="556"/>
      <c r="P3" s="557"/>
    </row>
    <row r="4" spans="2:25" s="373" customFormat="1" ht="17.25" customHeight="1" x14ac:dyDescent="0.2">
      <c r="B4" s="644"/>
      <c r="C4" s="644"/>
      <c r="D4" s="647"/>
      <c r="E4" s="662" t="s">
        <v>3493</v>
      </c>
      <c r="F4" s="647" t="str">
        <f>Txt_Pat_PatNo</f>
        <v/>
      </c>
      <c r="G4" s="649"/>
      <c r="H4" s="647"/>
      <c r="I4" s="655" t="s">
        <v>213</v>
      </c>
      <c r="J4" s="655"/>
      <c r="K4" s="647" t="str">
        <f ca="1">Txt_Pat_Leeftijd</f>
        <v/>
      </c>
      <c r="L4" s="644" t="str">
        <f>Txt_Pat_Oppervlak</f>
        <v>Lichamelijk oppervlak:</v>
      </c>
      <c r="M4" s="660"/>
      <c r="N4" s="661"/>
      <c r="O4" s="556"/>
      <c r="P4" s="556"/>
    </row>
    <row r="5" spans="2:25" s="373" customFormat="1" ht="8.1" customHeight="1" x14ac:dyDescent="0.2">
      <c r="B5" s="644"/>
      <c r="C5" s="644"/>
      <c r="D5" s="647"/>
      <c r="E5" s="644"/>
      <c r="F5" s="644"/>
      <c r="G5" s="649"/>
      <c r="H5" s="647"/>
      <c r="I5" s="655"/>
      <c r="J5" s="655"/>
      <c r="K5" s="647"/>
      <c r="L5" s="644"/>
      <c r="M5" s="661"/>
      <c r="N5" s="661"/>
      <c r="O5" s="556"/>
      <c r="P5" s="556"/>
    </row>
    <row r="6" spans="2:25" s="373" customFormat="1" ht="8.1" customHeight="1" x14ac:dyDescent="0.2">
      <c r="D6" s="371"/>
      <c r="F6" s="371"/>
      <c r="G6" s="372"/>
      <c r="H6" s="371"/>
      <c r="I6" s="378"/>
      <c r="J6" s="378"/>
      <c r="K6" s="371"/>
    </row>
    <row r="7" spans="2:25" s="373" customFormat="1" ht="20.100000000000001" customHeight="1" x14ac:dyDescent="0.2">
      <c r="B7" s="687" t="s">
        <v>3327</v>
      </c>
      <c r="C7" s="687"/>
      <c r="D7" s="696" t="s">
        <v>3494</v>
      </c>
      <c r="E7" s="687"/>
      <c r="F7" s="696"/>
      <c r="G7" s="697"/>
      <c r="H7" s="696"/>
      <c r="I7" s="698"/>
      <c r="J7" s="698" t="s">
        <v>3327</v>
      </c>
      <c r="K7" s="696"/>
      <c r="L7" s="687"/>
      <c r="M7" s="687"/>
      <c r="N7" s="687"/>
      <c r="O7" s="556"/>
    </row>
    <row r="8" spans="2:25" ht="8.1" customHeight="1" x14ac:dyDescent="0.2">
      <c r="C8" s="388"/>
      <c r="E8" s="387"/>
      <c r="F8" s="358"/>
      <c r="G8" s="359"/>
      <c r="H8" s="782"/>
      <c r="I8" s="360"/>
      <c r="J8" s="360"/>
      <c r="K8" s="782"/>
      <c r="L8" s="782"/>
      <c r="M8" s="782"/>
      <c r="N8" s="782"/>
    </row>
    <row r="9" spans="2:25" ht="20.100000000000001" customHeight="1" x14ac:dyDescent="0.2">
      <c r="B9" s="559" t="str">
        <f>PedBerEnt!G3</f>
        <v/>
      </c>
      <c r="C9" s="559"/>
      <c r="D9" s="675"/>
      <c r="E9" s="675" t="s">
        <v>116</v>
      </c>
      <c r="H9" s="675"/>
      <c r="I9" s="386"/>
      <c r="J9" s="386"/>
      <c r="K9" s="675" t="s">
        <v>3495</v>
      </c>
      <c r="L9" s="675"/>
      <c r="M9" s="675"/>
      <c r="Q9" s="389"/>
    </row>
    <row r="10" spans="2:25" ht="20.100000000000001" customHeight="1" thickBot="1" x14ac:dyDescent="0.25">
      <c r="B10" s="559"/>
      <c r="C10" s="559"/>
      <c r="E10" s="386"/>
      <c r="I10" s="386"/>
      <c r="J10" s="386"/>
      <c r="K10" s="680" t="str">
        <f>PedBerEnt!A11</f>
        <v>energy</v>
      </c>
      <c r="L10" s="507">
        <f>PedBerEnt!B11</f>
        <v>0</v>
      </c>
      <c r="M10" s="386" t="s">
        <v>4081</v>
      </c>
      <c r="O10" s="390"/>
      <c r="Q10" s="389"/>
    </row>
    <row r="11" spans="2:25" ht="20.100000000000001" customHeight="1" thickTop="1" thickBot="1" x14ac:dyDescent="0.25">
      <c r="B11" s="559"/>
      <c r="C11" s="559"/>
      <c r="D11" s="675"/>
      <c r="E11" s="679" t="s">
        <v>217</v>
      </c>
      <c r="F11" s="675"/>
      <c r="G11" s="675"/>
      <c r="H11" s="675"/>
      <c r="I11" s="387"/>
      <c r="J11" s="386"/>
      <c r="K11" s="680" t="str">
        <f>PedBerEnt!A12</f>
        <v>eiwit</v>
      </c>
      <c r="L11" s="488">
        <f>PedBerEnt!B12</f>
        <v>0</v>
      </c>
      <c r="M11" s="391" t="s">
        <v>29</v>
      </c>
    </row>
    <row r="12" spans="2:25" ht="20.100000000000001" customHeight="1" thickTop="1" thickBot="1" x14ac:dyDescent="0.25">
      <c r="B12" s="559" t="str">
        <f>PedBerEnt!G4</f>
        <v/>
      </c>
      <c r="C12" s="559"/>
      <c r="D12" s="675"/>
      <c r="E12" s="781" t="str">
        <f>PedBerEnt!H4</f>
        <v/>
      </c>
      <c r="F12" s="781" t="str">
        <f>IF(PedBerEnt!E4&lt;&gt;0,PedBerEnt!D4&amp;" ml","")</f>
        <v/>
      </c>
      <c r="I12" s="392" t="str">
        <f>PedBerEnt!J4</f>
        <v/>
      </c>
      <c r="J12" s="392"/>
      <c r="K12" s="680" t="str">
        <f>PedBerEnt!A13</f>
        <v>KH</v>
      </c>
      <c r="L12" s="488">
        <f>PedBerEnt!B13</f>
        <v>0</v>
      </c>
      <c r="M12" s="391" t="s">
        <v>29</v>
      </c>
      <c r="S12" s="393"/>
      <c r="T12" s="393"/>
      <c r="U12" s="393"/>
      <c r="V12" s="393"/>
      <c r="W12" s="393"/>
      <c r="X12" s="393"/>
      <c r="Y12" s="393"/>
    </row>
    <row r="13" spans="2:25" ht="20.100000000000001" customHeight="1" thickTop="1" thickBot="1" x14ac:dyDescent="0.25">
      <c r="B13" s="559"/>
      <c r="C13" s="559"/>
      <c r="D13" s="675"/>
      <c r="E13" s="675" t="s">
        <v>804</v>
      </c>
      <c r="F13" s="678"/>
      <c r="G13" s="675"/>
      <c r="H13" s="675"/>
      <c r="I13" s="392"/>
      <c r="J13" s="392"/>
      <c r="K13" s="681" t="str">
        <f>PedBerEnt!A14</f>
        <v>vet</v>
      </c>
      <c r="L13" s="488">
        <f>PedBerEnt!B14</f>
        <v>0</v>
      </c>
      <c r="M13" s="391" t="s">
        <v>29</v>
      </c>
      <c r="S13" s="393"/>
      <c r="T13" s="393"/>
      <c r="U13" s="393"/>
      <c r="V13" s="393"/>
      <c r="W13" s="393"/>
      <c r="X13" s="393"/>
      <c r="Y13" s="393"/>
    </row>
    <row r="14" spans="2:25" ht="20.100000000000001" customHeight="1" thickTop="1" thickBot="1" x14ac:dyDescent="0.25">
      <c r="B14" s="559" t="str">
        <f>PedBerEnt!$G5</f>
        <v/>
      </c>
      <c r="C14" s="559"/>
      <c r="D14" s="675"/>
      <c r="E14" s="781" t="str">
        <f>PedBerEnt!H5</f>
        <v/>
      </c>
      <c r="F14" s="781" t="str">
        <f>IF(PedBerEnt!F5&gt;1,PedBerEnt!D5&amp;" gram","")</f>
        <v/>
      </c>
      <c r="I14" s="392" t="str">
        <f>PedBerEnt!J5</f>
        <v/>
      </c>
      <c r="J14" s="392"/>
      <c r="K14" s="681" t="str">
        <f>PedBerEnt!A15</f>
        <v>Na</v>
      </c>
      <c r="L14" s="488">
        <f>PedBerEnt!B15</f>
        <v>0</v>
      </c>
      <c r="M14" s="391" t="s">
        <v>121</v>
      </c>
      <c r="S14" s="393"/>
      <c r="T14" s="393"/>
      <c r="U14" s="393"/>
      <c r="V14" s="393"/>
      <c r="W14" s="393"/>
      <c r="X14" s="393"/>
      <c r="Y14" s="393"/>
    </row>
    <row r="15" spans="2:25" ht="20.100000000000001" customHeight="1" thickTop="1" thickBot="1" x14ac:dyDescent="0.25">
      <c r="B15" s="559" t="str">
        <f>PedBerEnt!$G6</f>
        <v/>
      </c>
      <c r="C15" s="559"/>
      <c r="D15" s="675"/>
      <c r="E15" s="485" t="str">
        <f>PedBerEnt!H6</f>
        <v/>
      </c>
      <c r="F15" s="485" t="str">
        <f>IF(PedBerEnt!F6&gt;1,PedBerEnt!D6&amp;" gram","")</f>
        <v/>
      </c>
      <c r="I15" s="392" t="str">
        <f>PedBerEnt!J6</f>
        <v/>
      </c>
      <c r="J15" s="392"/>
      <c r="K15" s="681" t="str">
        <f>PedBerEnt!A16</f>
        <v>K</v>
      </c>
      <c r="L15" s="488">
        <f>PedBerEnt!B16</f>
        <v>0</v>
      </c>
      <c r="M15" s="391" t="s">
        <v>121</v>
      </c>
      <c r="S15" s="393"/>
      <c r="T15" s="393"/>
      <c r="U15" s="393"/>
      <c r="V15" s="393"/>
      <c r="W15" s="393"/>
      <c r="X15" s="393"/>
      <c r="Y15" s="393"/>
    </row>
    <row r="16" spans="2:25" ht="20.100000000000001" customHeight="1" thickTop="1" thickBot="1" x14ac:dyDescent="0.25">
      <c r="B16" s="559" t="str">
        <f>PedBerEnt!$G7</f>
        <v/>
      </c>
      <c r="C16" s="559"/>
      <c r="D16" s="675"/>
      <c r="E16" s="481" t="str">
        <f>PedBerEnt!H7</f>
        <v/>
      </c>
      <c r="F16" s="481" t="str">
        <f>IF(PedBerEnt!F7&gt;1,PedBerEnt!D7&amp;" gram","")</f>
        <v/>
      </c>
      <c r="I16" s="392" t="str">
        <f>PedBerEnt!J7</f>
        <v/>
      </c>
      <c r="J16" s="392"/>
      <c r="K16" s="681" t="str">
        <f>PedBerEnt!A17</f>
        <v>Ca</v>
      </c>
      <c r="L16" s="488">
        <f>PedBerEnt!B17</f>
        <v>0</v>
      </c>
      <c r="M16" s="391" t="s">
        <v>121</v>
      </c>
      <c r="S16" s="393"/>
      <c r="T16" s="393"/>
      <c r="U16" s="393"/>
      <c r="V16" s="393"/>
      <c r="W16" s="393"/>
      <c r="X16" s="393"/>
      <c r="Y16" s="393"/>
    </row>
    <row r="17" spans="2:25" ht="20.100000000000001" customHeight="1" thickTop="1" thickBot="1" x14ac:dyDescent="0.25">
      <c r="B17" s="559"/>
      <c r="C17" s="559"/>
      <c r="E17" s="367"/>
      <c r="F17" s="782"/>
      <c r="K17" s="680" t="str">
        <f>PedBerEnt!A18</f>
        <v>P</v>
      </c>
      <c r="L17" s="488">
        <f>PedBerEnt!B18</f>
        <v>0</v>
      </c>
      <c r="M17" s="391" t="s">
        <v>121</v>
      </c>
      <c r="O17" s="393"/>
      <c r="S17" s="393"/>
      <c r="T17" s="393"/>
      <c r="U17" s="393"/>
      <c r="V17" s="393"/>
      <c r="W17" s="393"/>
      <c r="X17" s="393"/>
      <c r="Y17" s="393"/>
    </row>
    <row r="18" spans="2:25" ht="20.100000000000001" customHeight="1" thickTop="1" thickBot="1" x14ac:dyDescent="0.25">
      <c r="B18" s="559" t="str">
        <f>PedBerEnt!$G9</f>
        <v/>
      </c>
      <c r="C18" s="559" t="str">
        <f>PedBerEnt!$G9</f>
        <v/>
      </c>
      <c r="D18" s="675"/>
      <c r="E18" s="680" t="s">
        <v>225</v>
      </c>
      <c r="F18" s="834">
        <f>_Ped_Ent_Opm</f>
        <v>0</v>
      </c>
      <c r="G18" s="835"/>
      <c r="H18" s="835"/>
      <c r="I18" s="835"/>
      <c r="J18" s="782"/>
      <c r="K18" s="681" t="str">
        <f>PedBerEnt!A19</f>
        <v>Mg</v>
      </c>
      <c r="L18" s="479">
        <f>PedBerEnt!B19</f>
        <v>0</v>
      </c>
      <c r="M18" s="391" t="s">
        <v>121</v>
      </c>
      <c r="O18" s="393"/>
      <c r="S18" s="393"/>
      <c r="T18" s="393"/>
      <c r="U18" s="393"/>
      <c r="V18" s="393"/>
      <c r="W18" s="393"/>
      <c r="X18" s="393"/>
      <c r="Y18" s="393"/>
    </row>
    <row r="19" spans="2:25" ht="8.1" customHeight="1" thickTop="1" x14ac:dyDescent="0.2">
      <c r="E19" s="394"/>
      <c r="F19" s="782"/>
      <c r="K19" s="386"/>
      <c r="L19" s="395"/>
      <c r="N19" s="393"/>
      <c r="O19" s="393"/>
      <c r="S19" s="393"/>
      <c r="T19" s="393"/>
      <c r="U19" s="393"/>
      <c r="V19" s="393"/>
      <c r="W19" s="393"/>
      <c r="X19" s="393"/>
      <c r="Y19" s="393"/>
    </row>
    <row r="20" spans="2:25" ht="20.100000000000001" customHeight="1" x14ac:dyDescent="0.2">
      <c r="B20" s="687" t="s">
        <v>3327</v>
      </c>
      <c r="C20" s="687"/>
      <c r="D20" s="687" t="s">
        <v>428</v>
      </c>
      <c r="E20" s="687"/>
      <c r="F20" s="687"/>
      <c r="G20" s="687"/>
      <c r="H20" s="687"/>
      <c r="I20" s="687"/>
      <c r="J20" s="687" t="s">
        <v>3327</v>
      </c>
      <c r="K20" s="694"/>
      <c r="L20" s="687"/>
      <c r="M20" s="699"/>
      <c r="N20" s="699"/>
      <c r="O20" s="562"/>
      <c r="S20" s="393"/>
      <c r="T20" s="393"/>
      <c r="U20" s="393"/>
      <c r="V20" s="393"/>
      <c r="W20" s="393"/>
      <c r="X20" s="393"/>
      <c r="Y20" s="393"/>
    </row>
    <row r="21" spans="2:25" ht="8.1" customHeight="1" x14ac:dyDescent="0.2">
      <c r="C21" s="374"/>
      <c r="D21" s="374"/>
      <c r="E21" s="373"/>
      <c r="F21" s="374"/>
      <c r="G21" s="374"/>
      <c r="H21" s="374"/>
      <c r="I21" s="374"/>
      <c r="J21" s="374"/>
      <c r="K21" s="396"/>
      <c r="L21" s="374"/>
      <c r="M21" s="397"/>
      <c r="N21" s="397"/>
      <c r="O21" s="393"/>
      <c r="S21" s="393"/>
      <c r="T21" s="393"/>
      <c r="U21" s="393"/>
      <c r="V21" s="393"/>
      <c r="W21" s="393"/>
      <c r="X21" s="393"/>
      <c r="Y21" s="393"/>
    </row>
    <row r="22" spans="2:25" ht="20.100000000000001" customHeight="1" x14ac:dyDescent="0.2">
      <c r="B22" s="559" t="str">
        <f>PedBerTPN!Y3</f>
        <v/>
      </c>
      <c r="C22" s="559"/>
      <c r="D22" s="675"/>
      <c r="E22" s="680" t="s">
        <v>3501</v>
      </c>
      <c r="F22" s="507" t="str">
        <f>PedBerTPN!V3</f>
        <v/>
      </c>
      <c r="G22" s="387"/>
      <c r="H22" s="386"/>
      <c r="I22" s="387" t="str">
        <f>IF(F22&lt;&gt;""," "&amp;PedBerTPN!G3&amp;" ml/dag","")</f>
        <v/>
      </c>
      <c r="J22" s="559" t="str">
        <f>PedBerTPN!Y21</f>
        <v/>
      </c>
      <c r="K22" s="680" t="s">
        <v>3512</v>
      </c>
      <c r="L22" s="507" t="str">
        <f>PedBerTPN!V21</f>
        <v/>
      </c>
      <c r="M22" s="386"/>
      <c r="N22" s="387" t="str">
        <f>IF(L22&lt;&gt;"",PedBerTPN!G21&amp;" mL/dag","")</f>
        <v/>
      </c>
      <c r="S22" s="393"/>
      <c r="W22" s="393"/>
      <c r="X22" s="393"/>
      <c r="Y22" s="393"/>
    </row>
    <row r="23" spans="2:25" ht="20.100000000000001" customHeight="1" thickBot="1" x14ac:dyDescent="0.25">
      <c r="B23" s="559" t="str">
        <f>PedBerTPN!Y5</f>
        <v/>
      </c>
      <c r="C23" s="559" t="str">
        <f>PedBerTPN!Z5</f>
        <v/>
      </c>
      <c r="D23" s="675"/>
      <c r="E23" s="675"/>
      <c r="F23" s="386" t="str">
        <f>PedBerTPN!V5</f>
        <v/>
      </c>
      <c r="G23" s="507" t="str">
        <f>PedBerTPN!W5</f>
        <v/>
      </c>
      <c r="H23" s="387"/>
      <c r="I23" s="387" t="str">
        <f>IF(F23="",""," "&amp;PedBerTPN!W5&amp;"/dag")</f>
        <v/>
      </c>
      <c r="J23" s="559"/>
      <c r="K23" s="675"/>
      <c r="M23" s="391"/>
      <c r="N23" s="391"/>
      <c r="S23" s="393"/>
      <c r="W23" s="393"/>
      <c r="X23" s="393"/>
      <c r="Y23" s="393"/>
    </row>
    <row r="24" spans="2:25" ht="20.100000000000001" customHeight="1" thickTop="1" thickBot="1" x14ac:dyDescent="0.25">
      <c r="B24" s="559" t="str">
        <f>PedBerTPN!Y6</f>
        <v/>
      </c>
      <c r="C24" s="559"/>
      <c r="D24" s="675"/>
      <c r="E24" s="680" t="s">
        <v>3502</v>
      </c>
      <c r="F24" s="386" t="str">
        <f>PedBerTPN!V6</f>
        <v/>
      </c>
      <c r="G24" s="479" t="str">
        <f>PedBerTPN!W6</f>
        <v/>
      </c>
      <c r="H24" s="387" t="str">
        <f>IF(PedBerTPN!W7="",""," + "&amp;PedBerTPN!W7&amp;" gluc 10%")</f>
        <v/>
      </c>
      <c r="I24" s="387" t="str">
        <f>IF(F24="",""," " &amp;SUM(PedBerTPN!G6:G7)&amp;" ml/dag")</f>
        <v/>
      </c>
      <c r="J24" s="559"/>
      <c r="K24" s="675"/>
      <c r="L24" s="398" t="str">
        <f>PedBerTPN!W22</f>
        <v/>
      </c>
      <c r="M24" s="391"/>
      <c r="N24" s="391"/>
      <c r="S24" s="393"/>
      <c r="W24" s="393"/>
      <c r="X24" s="393"/>
      <c r="Y24" s="393"/>
    </row>
    <row r="25" spans="2:25" ht="20.100000000000001" customHeight="1" thickTop="1" x14ac:dyDescent="0.2">
      <c r="B25" s="559"/>
      <c r="C25" s="559"/>
      <c r="D25" s="675"/>
      <c r="E25" s="675"/>
      <c r="G25" s="386" t="str">
        <f>PedBerTPN!W8</f>
        <v/>
      </c>
      <c r="H25" s="560"/>
      <c r="I25" s="561"/>
      <c r="J25" s="558"/>
      <c r="K25" s="675"/>
      <c r="M25" s="386"/>
      <c r="N25" s="386"/>
      <c r="S25" s="393"/>
      <c r="W25" s="393"/>
      <c r="X25" s="393"/>
      <c r="Y25" s="393"/>
    </row>
    <row r="26" spans="2:25" ht="20.100000000000001" customHeight="1" thickBot="1" x14ac:dyDescent="0.25">
      <c r="B26" s="559" t="str">
        <f>PedBerTPN!Y9</f>
        <v/>
      </c>
      <c r="C26" s="559"/>
      <c r="D26" s="675"/>
      <c r="E26" s="680" t="s">
        <v>3503</v>
      </c>
      <c r="F26" s="386"/>
      <c r="G26" s="507" t="str">
        <f>PedBerTPN!W9</f>
        <v/>
      </c>
      <c r="H26" s="392"/>
      <c r="I26" s="387"/>
      <c r="J26" s="559" t="str">
        <f>PedBerTPN!Y23</f>
        <v/>
      </c>
      <c r="K26" s="680" t="s">
        <v>3503</v>
      </c>
      <c r="L26" s="507" t="str">
        <f>PedBerTPN!W23</f>
        <v/>
      </c>
      <c r="M26" s="386"/>
      <c r="N26" s="386"/>
      <c r="S26" s="393"/>
      <c r="W26" s="393"/>
      <c r="X26" s="393"/>
      <c r="Y26" s="393"/>
    </row>
    <row r="27" spans="2:25" ht="20.100000000000001" customHeight="1" thickTop="1" thickBot="1" x14ac:dyDescent="0.25">
      <c r="B27" s="559" t="str">
        <f>PedBerTPN!Y10</f>
        <v/>
      </c>
      <c r="C27" s="559"/>
      <c r="D27" s="675"/>
      <c r="E27" s="680" t="s">
        <v>3504</v>
      </c>
      <c r="F27" s="386"/>
      <c r="G27" s="479" t="str">
        <f>PedBerTPN!W10</f>
        <v/>
      </c>
      <c r="H27" s="392"/>
      <c r="I27" s="387"/>
      <c r="J27" s="559" t="str">
        <f>PedBerTPN!Y24</f>
        <v/>
      </c>
      <c r="K27" s="680" t="s">
        <v>3504</v>
      </c>
      <c r="L27" s="479" t="str">
        <f>PedBerTPN!W24</f>
        <v/>
      </c>
      <c r="M27" s="386"/>
      <c r="N27" s="386"/>
      <c r="S27" s="393"/>
      <c r="W27" s="393"/>
      <c r="X27" s="393"/>
      <c r="Y27" s="393"/>
    </row>
    <row r="28" spans="2:25" ht="9.9499999999999993" customHeight="1" thickTop="1" x14ac:dyDescent="0.2">
      <c r="B28" s="559"/>
      <c r="C28" s="559"/>
      <c r="D28" s="675"/>
      <c r="E28" s="680"/>
      <c r="F28" s="386"/>
      <c r="G28" s="389"/>
      <c r="H28" s="392"/>
      <c r="I28" s="387"/>
      <c r="J28" s="386"/>
      <c r="K28" s="367"/>
      <c r="M28" s="389"/>
      <c r="N28" s="389"/>
      <c r="S28" s="393"/>
      <c r="W28" s="393"/>
      <c r="X28" s="393"/>
      <c r="Y28" s="393"/>
    </row>
    <row r="29" spans="2:25" ht="20.100000000000001" customHeight="1" thickBot="1" x14ac:dyDescent="0.25">
      <c r="B29" s="559" t="str">
        <f>PedBerTPN!Y12</f>
        <v/>
      </c>
      <c r="C29" s="559"/>
      <c r="D29" s="675"/>
      <c r="E29" s="680" t="s">
        <v>3505</v>
      </c>
      <c r="F29" s="386" t="str">
        <f>PedBerTPN!V11</f>
        <v/>
      </c>
      <c r="G29" s="507" t="str">
        <f>PedBerTPN!W12</f>
        <v/>
      </c>
      <c r="H29" s="387" t="str">
        <f>IF(PedBerTPN!W11="",""," + "&amp;PedBerTPN!W11&amp;" gluc 10%")</f>
        <v/>
      </c>
      <c r="I29" s="387" t="str">
        <f>IF(F29="",""," "&amp;SUM(PedBerTPN!G12:G13)+PedBerTPN!G11&amp;" ml/dag")</f>
        <v/>
      </c>
      <c r="J29" s="386"/>
      <c r="K29" s="367"/>
      <c r="M29" s="393"/>
      <c r="N29" s="393"/>
      <c r="O29" s="393"/>
      <c r="Q29" s="393"/>
      <c r="R29" s="393"/>
      <c r="S29" s="393"/>
      <c r="W29" s="393"/>
      <c r="X29" s="393"/>
      <c r="Y29" s="393"/>
    </row>
    <row r="30" spans="2:25" ht="20.100000000000001" customHeight="1" thickTop="1" thickBot="1" x14ac:dyDescent="0.25">
      <c r="B30" s="559" t="str">
        <f>PedBerTPN!Y13</f>
        <v/>
      </c>
      <c r="C30" s="559"/>
      <c r="D30" s="675"/>
      <c r="E30" s="680" t="s">
        <v>3506</v>
      </c>
      <c r="F30" s="386"/>
      <c r="G30" s="479" t="str">
        <f>PedBerTPN!W13</f>
        <v/>
      </c>
      <c r="H30" s="392"/>
      <c r="I30" s="387"/>
      <c r="J30" s="398"/>
      <c r="M30" s="393"/>
      <c r="N30" s="393"/>
      <c r="O30" s="393"/>
      <c r="P30" s="393"/>
      <c r="Q30" s="393"/>
      <c r="R30" s="393"/>
      <c r="S30" s="393"/>
      <c r="W30" s="393"/>
      <c r="X30" s="393"/>
      <c r="Y30" s="393"/>
    </row>
    <row r="31" spans="2:25" ht="9.9499999999999993" customHeight="1" thickTop="1" x14ac:dyDescent="0.2">
      <c r="B31" s="559"/>
      <c r="C31" s="559"/>
      <c r="E31" s="385"/>
      <c r="F31" s="386"/>
      <c r="G31" s="389"/>
      <c r="H31" s="392"/>
      <c r="I31" s="387"/>
      <c r="J31" s="386"/>
      <c r="M31" s="393"/>
      <c r="N31" s="393"/>
      <c r="O31" s="393"/>
      <c r="P31" s="393"/>
      <c r="Q31" s="393"/>
      <c r="R31" s="393"/>
      <c r="S31" s="393"/>
      <c r="W31" s="393"/>
      <c r="X31" s="393"/>
      <c r="Y31" s="393"/>
    </row>
    <row r="32" spans="2:25" ht="20.100000000000001" customHeight="1" x14ac:dyDescent="0.2">
      <c r="B32" s="559" t="str">
        <f>PedBerTPN!Y15</f>
        <v/>
      </c>
      <c r="C32" s="559"/>
      <c r="D32" s="675"/>
      <c r="E32" s="680" t="s">
        <v>4784</v>
      </c>
      <c r="F32" s="386" t="str">
        <f>PedBerTPN!V14</f>
        <v/>
      </c>
      <c r="G32" s="507" t="str">
        <f>PedBerTPN!W15</f>
        <v/>
      </c>
      <c r="H32" s="387" t="str">
        <f>IF(PedBerTPN!W14="",""," + "&amp;PedBerTPN!W14&amp;" gluc 5%")</f>
        <v/>
      </c>
      <c r="I32" s="387" t="str">
        <f>IF(PedBerTPN!W15="",""," "&amp;SUM(PedBerTPN!G14:G15)&amp;" ml/dag")</f>
        <v/>
      </c>
      <c r="J32" s="386"/>
      <c r="M32" s="393"/>
      <c r="N32" s="393"/>
      <c r="O32" s="393"/>
      <c r="P32" s="393"/>
      <c r="Q32" s="393"/>
      <c r="R32" s="393"/>
      <c r="S32" s="393"/>
      <c r="W32" s="393"/>
      <c r="X32" s="393"/>
      <c r="Y32" s="393"/>
    </row>
    <row r="33" spans="2:25" ht="8.1" customHeight="1" x14ac:dyDescent="0.2">
      <c r="B33" s="559"/>
      <c r="C33" s="559"/>
      <c r="D33" s="374"/>
      <c r="E33" s="385"/>
      <c r="G33" s="389"/>
      <c r="H33" s="386"/>
      <c r="I33" s="387"/>
      <c r="J33" s="386"/>
      <c r="M33" s="393"/>
      <c r="N33" s="393"/>
      <c r="O33" s="393"/>
      <c r="P33" s="393"/>
      <c r="Q33" s="393"/>
      <c r="R33" s="393"/>
      <c r="S33" s="393"/>
      <c r="W33" s="393"/>
      <c r="X33" s="393"/>
      <c r="Y33" s="393"/>
    </row>
    <row r="34" spans="2:25" ht="20.100000000000001" customHeight="1" x14ac:dyDescent="0.2">
      <c r="B34" s="559" t="str">
        <f>PedBerTPN!Y16</f>
        <v/>
      </c>
      <c r="C34" s="559"/>
      <c r="D34" s="675"/>
      <c r="E34" s="680" t="s">
        <v>3507</v>
      </c>
      <c r="F34" s="507" t="str">
        <f>PedBerTPN!V16</f>
        <v/>
      </c>
      <c r="G34" s="386"/>
      <c r="H34" s="386"/>
      <c r="I34" s="387" t="str">
        <f>IF(PedBerTPN!G16&lt;&gt;0," "&amp;PedBerTPN!G16&amp;" ml/dag","")</f>
        <v/>
      </c>
      <c r="J34" s="386"/>
      <c r="M34" s="393"/>
      <c r="N34" s="393"/>
      <c r="O34" s="393"/>
      <c r="P34" s="393"/>
      <c r="Q34" s="393"/>
      <c r="R34" s="393"/>
      <c r="S34" s="393"/>
      <c r="W34" s="393"/>
      <c r="X34" s="393"/>
      <c r="Y34" s="393"/>
    </row>
    <row r="35" spans="2:25" ht="20.100000000000001" customHeight="1" x14ac:dyDescent="0.2">
      <c r="B35" s="559"/>
      <c r="C35" s="559"/>
      <c r="D35" s="675"/>
      <c r="E35" s="680" t="s">
        <v>3508</v>
      </c>
      <c r="F35" s="386"/>
      <c r="G35" s="386" t="str">
        <f>PedBerTPN!W17</f>
        <v/>
      </c>
      <c r="H35" s="386"/>
      <c r="I35" s="387"/>
      <c r="J35" s="386"/>
      <c r="M35" s="393"/>
      <c r="N35" s="393"/>
      <c r="O35" s="393"/>
      <c r="P35" s="393"/>
      <c r="Q35" s="393"/>
      <c r="R35" s="393"/>
      <c r="S35" s="393"/>
      <c r="W35" s="393"/>
      <c r="X35" s="393"/>
      <c r="Y35" s="393"/>
    </row>
    <row r="36" spans="2:25" ht="20.100000000000001" customHeight="1" thickBot="1" x14ac:dyDescent="0.25">
      <c r="B36" s="559" t="str">
        <f>PedBerTPN!Y18</f>
        <v/>
      </c>
      <c r="C36" s="559"/>
      <c r="D36" s="675"/>
      <c r="E36" s="680" t="s">
        <v>3509</v>
      </c>
      <c r="F36" s="386"/>
      <c r="G36" s="507" t="str">
        <f>PedBerTPN!W18</f>
        <v/>
      </c>
      <c r="H36" s="386"/>
      <c r="I36" s="387"/>
      <c r="J36" s="386"/>
      <c r="M36" s="393"/>
      <c r="N36" s="393"/>
      <c r="O36" s="393"/>
      <c r="P36" s="393"/>
      <c r="Q36" s="393"/>
      <c r="R36" s="393"/>
      <c r="S36" s="393"/>
      <c r="T36" s="393"/>
      <c r="U36" s="393"/>
      <c r="V36" s="393"/>
      <c r="W36" s="393"/>
      <c r="X36" s="393"/>
      <c r="Y36" s="393"/>
    </row>
    <row r="37" spans="2:25" ht="20.100000000000001" customHeight="1" thickTop="1" thickBot="1" x14ac:dyDescent="0.25">
      <c r="B37" s="559" t="str">
        <f>PedBerTPN!Y19</f>
        <v/>
      </c>
      <c r="C37" s="559"/>
      <c r="D37" s="675"/>
      <c r="E37" s="680" t="s">
        <v>3510</v>
      </c>
      <c r="F37" s="386"/>
      <c r="G37" s="479" t="str">
        <f>PedBerTPN!W19</f>
        <v/>
      </c>
      <c r="H37" s="386"/>
      <c r="I37" s="387"/>
      <c r="J37" s="386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  <c r="X37" s="393"/>
      <c r="Y37" s="393"/>
    </row>
    <row r="38" spans="2:25" ht="9.9499999999999993" customHeight="1" thickTop="1" x14ac:dyDescent="0.2">
      <c r="B38" s="559"/>
      <c r="C38" s="559"/>
      <c r="G38" s="389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  <c r="X38" s="393"/>
      <c r="Y38" s="393"/>
    </row>
    <row r="39" spans="2:25" ht="20.100000000000001" customHeight="1" x14ac:dyDescent="0.2">
      <c r="B39" s="559" t="str">
        <f>IF(OR(F39=0,F39=""),"","verw")</f>
        <v/>
      </c>
      <c r="C39" s="559"/>
      <c r="D39" s="675"/>
      <c r="E39" s="680" t="s">
        <v>3511</v>
      </c>
      <c r="F39" s="834">
        <f>_Ped_TPN_Opm</f>
        <v>0</v>
      </c>
      <c r="G39" s="835"/>
      <c r="H39" s="835"/>
      <c r="I39" s="835"/>
      <c r="J39" s="782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  <c r="X39" s="393"/>
      <c r="Y39" s="393"/>
    </row>
    <row r="40" spans="2:25" ht="10.5" customHeight="1" x14ac:dyDescent="0.2">
      <c r="E40" s="389"/>
      <c r="G40" s="389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</row>
    <row r="41" spans="2:25" s="522" customFormat="1" x14ac:dyDescent="0.2">
      <c r="B41" s="707"/>
      <c r="C41" s="707"/>
      <c r="D41" s="707"/>
      <c r="E41" s="711" t="s">
        <v>4811</v>
      </c>
      <c r="F41" s="711" t="s">
        <v>86</v>
      </c>
      <c r="G41" s="711" t="s">
        <v>433</v>
      </c>
      <c r="H41" s="711"/>
      <c r="I41" s="741" t="s">
        <v>89</v>
      </c>
      <c r="J41" s="711"/>
      <c r="K41" s="711" t="s">
        <v>4811</v>
      </c>
      <c r="L41" s="711" t="s">
        <v>86</v>
      </c>
      <c r="M41" s="712" t="s">
        <v>433</v>
      </c>
      <c r="N41" s="742" t="s">
        <v>89</v>
      </c>
      <c r="O41" s="562"/>
    </row>
    <row r="42" spans="2:25" x14ac:dyDescent="0.2">
      <c r="B42" s="707"/>
      <c r="C42" s="707"/>
      <c r="D42" s="713"/>
      <c r="E42" s="714" t="s">
        <v>267</v>
      </c>
      <c r="F42" s="714" t="str">
        <f t="shared" ref="F42:F48" si="0">VLOOKUP($E42,Tbl_Ped_Totalen, 13,FALSE)</f>
        <v>0 ml/kg</v>
      </c>
      <c r="G42" s="714" t="str">
        <f t="shared" ref="G42:G48" ca="1" si="1">VLOOKUP($E42,Tbl_Ped_Totalen, 10,FALSE)</f>
        <v>150 ml/kg</v>
      </c>
      <c r="H42" s="714" t="str">
        <f>"= "&amp;PedBerTot!H4&amp;" ml/dag"</f>
        <v>= 0 ml/dag</v>
      </c>
      <c r="I42" s="714"/>
      <c r="J42" s="714"/>
      <c r="K42" s="714"/>
      <c r="L42" s="714"/>
      <c r="M42" s="714"/>
      <c r="N42" s="714"/>
      <c r="O42" s="563"/>
    </row>
    <row r="43" spans="2:25" x14ac:dyDescent="0.2">
      <c r="B43" s="707"/>
      <c r="C43" s="707"/>
      <c r="D43" s="713"/>
      <c r="E43" s="714" t="s">
        <v>178</v>
      </c>
      <c r="F43" s="714" t="str">
        <f t="shared" si="0"/>
        <v>0 kcal/kg</v>
      </c>
      <c r="G43" s="714" t="str">
        <f t="shared" si="1"/>
        <v xml:space="preserve"> kcal/kg</v>
      </c>
      <c r="H43" s="714"/>
      <c r="I43" s="714"/>
      <c r="J43" s="714"/>
      <c r="K43" s="714" t="s">
        <v>268</v>
      </c>
      <c r="L43" s="714" t="str">
        <f t="shared" ref="L43:L48" si="2">VLOOKUP($K43,Tbl_Ped_Totalen, 13,FALSE)</f>
        <v>0 mmol/kg</v>
      </c>
      <c r="M43" s="714" t="str">
        <f t="shared" ref="M43:M48" si="3">VLOOKUP($K43,Tbl_Ped_Totalen,10,FALSE)</f>
        <v>2-4 mmol/kg</v>
      </c>
      <c r="N43" s="714" t="str">
        <f>IF(_Glob_Lab_Natrium&gt;0,_Glob_Lab_Natrium,"")</f>
        <v/>
      </c>
      <c r="O43" s="563"/>
    </row>
    <row r="44" spans="2:25" x14ac:dyDescent="0.2">
      <c r="B44" s="707"/>
      <c r="C44" s="707"/>
      <c r="D44" s="713"/>
      <c r="E44" s="714" t="s">
        <v>143</v>
      </c>
      <c r="F44" s="714" t="str">
        <f t="shared" si="0"/>
        <v>0 gram/kg</v>
      </c>
      <c r="G44" s="714" t="str">
        <f t="shared" si="1"/>
        <v xml:space="preserve"> gram/kg</v>
      </c>
      <c r="H44" s="714" t="str">
        <f>"= "&amp;ROUND(PedBerTot!I5/1.4,1)&amp;" mg/kg/min"</f>
        <v>= 0 mg/kg/min</v>
      </c>
      <c r="I44" s="714" t="str">
        <f>IF(_Glob_Lab_Glucose&gt;0,_Glob_Lab_Glucose,"")</f>
        <v/>
      </c>
      <c r="J44" s="714"/>
      <c r="K44" s="714" t="s">
        <v>269</v>
      </c>
      <c r="L44" s="714" t="str">
        <f t="shared" si="2"/>
        <v>0 mmol/kg</v>
      </c>
      <c r="M44" s="714" t="str">
        <f t="shared" si="3"/>
        <v>1-2 mmol/kg</v>
      </c>
      <c r="N44" s="714" t="str">
        <f>IF(_Glob_Lab_Kalium&gt;0,_Glob_Lab_Kalium,"")</f>
        <v/>
      </c>
      <c r="O44" s="563"/>
    </row>
    <row r="45" spans="2:25" x14ac:dyDescent="0.2">
      <c r="B45" s="707"/>
      <c r="C45" s="707"/>
      <c r="D45" s="713"/>
      <c r="E45" s="714" t="s">
        <v>147</v>
      </c>
      <c r="F45" s="714" t="str">
        <f t="shared" si="0"/>
        <v>0 gram/kg</v>
      </c>
      <c r="G45" s="714" t="str">
        <f t="shared" si="1"/>
        <v xml:space="preserve"> gram/kg</v>
      </c>
      <c r="H45" s="714"/>
      <c r="I45" s="714" t="str">
        <f>IF(_Glob_Lab_Albumine&gt;0,_Glob_Lab_Albumine,"")</f>
        <v/>
      </c>
      <c r="J45" s="714"/>
      <c r="K45" s="714" t="s">
        <v>824</v>
      </c>
      <c r="L45" s="714" t="str">
        <f t="shared" si="2"/>
        <v>0 mmol/kg</v>
      </c>
      <c r="M45" s="714" t="str">
        <f t="shared" si="3"/>
        <v/>
      </c>
      <c r="N45" s="714" t="str">
        <f>IF(_Glob_Lab_Chloride&gt;0,_Glob_Lab_Chloride,"")</f>
        <v/>
      </c>
      <c r="O45" s="563"/>
    </row>
    <row r="46" spans="2:25" x14ac:dyDescent="0.2">
      <c r="B46" s="707"/>
      <c r="C46" s="707"/>
      <c r="D46" s="713"/>
      <c r="E46" s="714" t="s">
        <v>148</v>
      </c>
      <c r="F46" s="714" t="str">
        <f t="shared" si="0"/>
        <v>0 gram/kg</v>
      </c>
      <c r="G46" s="714" t="str">
        <f t="shared" si="1"/>
        <v xml:space="preserve"> gram/kg</v>
      </c>
      <c r="H46" s="714"/>
      <c r="I46" s="714" t="str">
        <f>IF(_Glob_Lab_Triglyceriden&gt;0,_Glob_Lab_Triglyceriden,"")</f>
        <v/>
      </c>
      <c r="J46" s="714"/>
      <c r="K46" s="714" t="s">
        <v>144</v>
      </c>
      <c r="L46" s="714" t="str">
        <f t="shared" si="2"/>
        <v>0 mmol/kg</v>
      </c>
      <c r="M46" s="714" t="str">
        <f t="shared" si="3"/>
        <v>0,8 mmol/kg</v>
      </c>
      <c r="N46" s="714" t="str">
        <f>IF(_Glob_Lab_Calcium&gt;0,_Glob_Lab_Calcium,"")</f>
        <v/>
      </c>
      <c r="O46" s="563"/>
    </row>
    <row r="47" spans="2:25" x14ac:dyDescent="0.2">
      <c r="B47" s="707"/>
      <c r="C47" s="707"/>
      <c r="D47" s="713"/>
      <c r="E47" s="714" t="s">
        <v>825</v>
      </c>
      <c r="F47" s="714" t="str">
        <f t="shared" si="0"/>
        <v>0 IE/kg</v>
      </c>
      <c r="G47" s="714" t="str">
        <f t="shared" si="1"/>
        <v/>
      </c>
      <c r="H47" s="714"/>
      <c r="I47" s="714"/>
      <c r="J47" s="714"/>
      <c r="K47" s="714" t="s">
        <v>146</v>
      </c>
      <c r="L47" s="714" t="str">
        <f t="shared" si="2"/>
        <v>0 mmol/kg</v>
      </c>
      <c r="M47" s="714" t="str">
        <f t="shared" si="3"/>
        <v>0,1-0,3 mmol/kg</v>
      </c>
      <c r="N47" s="714" t="str">
        <f>IF(_Glob_Lab_Magnesium&gt;0,_Glob_Lab_Magnesium,"")</f>
        <v/>
      </c>
    </row>
    <row r="48" spans="2:25" x14ac:dyDescent="0.2">
      <c r="B48" s="707"/>
      <c r="C48" s="707"/>
      <c r="D48" s="713"/>
      <c r="E48" s="714" t="s">
        <v>826</v>
      </c>
      <c r="F48" s="714" t="str">
        <f t="shared" si="0"/>
        <v>0 mmol/kg</v>
      </c>
      <c r="G48" s="714" t="str">
        <f t="shared" si="1"/>
        <v/>
      </c>
      <c r="H48" s="714"/>
      <c r="I48" s="714" t="str">
        <f>IF(_Glob_Lab_Ijzer&gt;0,_Glob_Lab_Ijzer,"")</f>
        <v/>
      </c>
      <c r="J48" s="714"/>
      <c r="K48" s="714" t="s">
        <v>145</v>
      </c>
      <c r="L48" s="714" t="str">
        <f t="shared" si="2"/>
        <v>0 mmol/kg</v>
      </c>
      <c r="M48" s="714" t="str">
        <f t="shared" si="3"/>
        <v>0,75 mmol/kg</v>
      </c>
      <c r="N48" s="714" t="str">
        <f>IF(_Glob_Lab_Fosfaat&gt;0,_Glob_Lab_Fosfaat,"")</f>
        <v/>
      </c>
    </row>
  </sheetData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3320</v>
      </c>
      <c r="H2" s="219" t="s">
        <v>3498</v>
      </c>
      <c r="I2" s="219" t="s">
        <v>3499</v>
      </c>
      <c r="J2" s="219" t="s">
        <v>3500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4108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4078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4079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4080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5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5"/>
      <c r="L11" s="209"/>
    </row>
    <row r="12" spans="1:26" ht="15" x14ac:dyDescent="0.25">
      <c r="A12" s="415" t="s">
        <v>147</v>
      </c>
      <c r="B12" s="218">
        <f>_Glob_SpecialeVoeding_02</f>
        <v>0</v>
      </c>
      <c r="C12" s="218">
        <f t="shared" si="4"/>
        <v>0</v>
      </c>
      <c r="E12" s="415"/>
      <c r="L12" s="209"/>
    </row>
    <row r="13" spans="1:26" ht="15" x14ac:dyDescent="0.25">
      <c r="A13" s="415" t="s">
        <v>179</v>
      </c>
      <c r="B13" s="218">
        <f>_Glob_SpecialeVoeding_03</f>
        <v>0</v>
      </c>
      <c r="C13" s="218">
        <f t="shared" si="4"/>
        <v>0</v>
      </c>
      <c r="E13" s="415"/>
      <c r="L13" s="209"/>
    </row>
    <row r="14" spans="1:26" ht="15" x14ac:dyDescent="0.25">
      <c r="A14" s="415" t="s">
        <v>148</v>
      </c>
      <c r="B14" s="218">
        <f>_Glob_SpecialeVoeding_04</f>
        <v>0</v>
      </c>
      <c r="C14" s="218">
        <f t="shared" si="4"/>
        <v>0</v>
      </c>
      <c r="E14" s="415"/>
      <c r="L14" s="209"/>
    </row>
    <row r="15" spans="1:26" ht="15" x14ac:dyDescent="0.25">
      <c r="A15" s="415" t="s">
        <v>173</v>
      </c>
      <c r="B15" s="218">
        <f>_Glob_SpecialeVoeding_05</f>
        <v>0</v>
      </c>
      <c r="C15" s="218">
        <f t="shared" si="4"/>
        <v>0</v>
      </c>
      <c r="E15" s="415"/>
      <c r="L15" s="209"/>
    </row>
    <row r="16" spans="1:26" ht="15" x14ac:dyDescent="0.25">
      <c r="A16" s="415" t="s">
        <v>174</v>
      </c>
      <c r="B16" s="218">
        <f>_Glob_SpecialeVoeding_06</f>
        <v>0</v>
      </c>
      <c r="C16" s="218">
        <f t="shared" si="4"/>
        <v>0</v>
      </c>
      <c r="E16" s="415"/>
      <c r="L16" s="209"/>
    </row>
    <row r="17" spans="1:12" ht="15" x14ac:dyDescent="0.25">
      <c r="A17" s="415" t="s">
        <v>175</v>
      </c>
      <c r="B17" s="218">
        <f>_Glob_SpecialeVoeding_07</f>
        <v>0</v>
      </c>
      <c r="C17" s="218">
        <f t="shared" si="4"/>
        <v>0</v>
      </c>
      <c r="E17" s="415"/>
      <c r="L17" s="209"/>
    </row>
    <row r="18" spans="1:12" ht="15" x14ac:dyDescent="0.25">
      <c r="A18" s="415" t="s">
        <v>180</v>
      </c>
      <c r="B18" s="218">
        <f>_Glob_SpecialeVoeding_08</f>
        <v>0</v>
      </c>
      <c r="C18" s="218">
        <f t="shared" si="4"/>
        <v>0</v>
      </c>
      <c r="E18" s="415"/>
      <c r="L18" s="209"/>
    </row>
    <row r="19" spans="1:12" ht="15" x14ac:dyDescent="0.25">
      <c r="A19" s="415" t="s">
        <v>176</v>
      </c>
      <c r="B19" s="218">
        <f>_Glob_SpecialeVoeding_09</f>
        <v>0</v>
      </c>
      <c r="C19" s="218">
        <f t="shared" si="4"/>
        <v>0</v>
      </c>
      <c r="E19" s="415"/>
      <c r="L19" s="209"/>
    </row>
    <row r="20" spans="1:12" ht="15" x14ac:dyDescent="0.25">
      <c r="A20" s="415" t="s">
        <v>741</v>
      </c>
      <c r="B20" s="218">
        <f>_Glob_SpecialeVoeding_10</f>
        <v>0</v>
      </c>
      <c r="C20" s="218">
        <f t="shared" si="4"/>
        <v>0</v>
      </c>
      <c r="E20" s="415"/>
      <c r="L20" s="209"/>
    </row>
    <row r="21" spans="1:12" ht="15" x14ac:dyDescent="0.25">
      <c r="A21" s="415" t="s">
        <v>742</v>
      </c>
      <c r="B21" s="218">
        <f>_Glob_SpecialeVoeding_11</f>
        <v>0</v>
      </c>
      <c r="C21" s="218">
        <f t="shared" si="4"/>
        <v>0</v>
      </c>
      <c r="E21" s="415"/>
      <c r="L21" s="209"/>
    </row>
    <row r="22" spans="1:12" ht="15" x14ac:dyDescent="0.25">
      <c r="A22" s="415" t="s">
        <v>466</v>
      </c>
      <c r="B22" s="218">
        <f>_Glob_SpecialeVoeding_12</f>
        <v>0</v>
      </c>
      <c r="C22" s="218">
        <f t="shared" si="4"/>
        <v>0</v>
      </c>
      <c r="E22" s="415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68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68">
        <v>2</v>
      </c>
      <c r="J1" s="568">
        <v>3</v>
      </c>
      <c r="K1" s="568">
        <v>4</v>
      </c>
      <c r="L1" s="568">
        <v>5</v>
      </c>
      <c r="M1" s="568">
        <v>6</v>
      </c>
      <c r="N1" s="568">
        <v>7</v>
      </c>
      <c r="O1" s="568">
        <v>8</v>
      </c>
      <c r="P1" s="568">
        <v>9</v>
      </c>
      <c r="Q1" s="568">
        <v>10</v>
      </c>
      <c r="R1" s="568">
        <v>11</v>
      </c>
      <c r="S1" s="568">
        <v>12</v>
      </c>
      <c r="T1" s="568">
        <v>13</v>
      </c>
      <c r="U1" s="568">
        <v>14</v>
      </c>
    </row>
    <row r="2" spans="1:26" ht="25.5" x14ac:dyDescent="0.2">
      <c r="B2" t="s">
        <v>183</v>
      </c>
      <c r="C2" s="106" t="s">
        <v>900</v>
      </c>
      <c r="D2" s="106" t="s">
        <v>4786</v>
      </c>
      <c r="E2" s="106" t="s">
        <v>4789</v>
      </c>
      <c r="F2" s="106" t="s">
        <v>4787</v>
      </c>
      <c r="G2" s="106" t="s">
        <v>4785</v>
      </c>
      <c r="H2" s="209" t="s">
        <v>363</v>
      </c>
      <c r="I2" s="568" t="s">
        <v>178</v>
      </c>
      <c r="J2" s="568" t="s">
        <v>147</v>
      </c>
      <c r="K2" s="569" t="s">
        <v>179</v>
      </c>
      <c r="L2" s="568" t="s">
        <v>148</v>
      </c>
      <c r="M2" s="568" t="s">
        <v>173</v>
      </c>
      <c r="N2" s="568" t="s">
        <v>174</v>
      </c>
      <c r="O2" s="568" t="s">
        <v>175</v>
      </c>
      <c r="P2" s="568" t="s">
        <v>180</v>
      </c>
      <c r="Q2" s="568" t="s">
        <v>176</v>
      </c>
      <c r="R2" s="568" t="s">
        <v>741</v>
      </c>
      <c r="S2" s="568" t="s">
        <v>742</v>
      </c>
      <c r="T2" s="568" t="s">
        <v>466</v>
      </c>
      <c r="V2" s="212" t="s">
        <v>4782</v>
      </c>
      <c r="W2" s="212" t="s">
        <v>4783</v>
      </c>
      <c r="X2" s="793" t="s">
        <v>5305</v>
      </c>
      <c r="Y2" s="209" t="s">
        <v>4780</v>
      </c>
      <c r="Z2" s="209" t="s">
        <v>4293</v>
      </c>
    </row>
    <row r="3" spans="1:26" x14ac:dyDescent="0.2">
      <c r="A3" s="209" t="s">
        <v>4873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4788</v>
      </c>
      <c r="B4" s="208">
        <v>0</v>
      </c>
      <c r="I4" s="568"/>
      <c r="J4" s="568"/>
      <c r="K4" s="568"/>
      <c r="L4" s="568"/>
      <c r="M4" s="568"/>
      <c r="N4" s="568"/>
      <c r="O4" s="568"/>
      <c r="P4" s="568"/>
      <c r="Q4" s="568"/>
      <c r="R4" s="568"/>
      <c r="S4" s="568"/>
      <c r="T4" s="568"/>
      <c r="U4" s="568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68">
        <f t="shared" ref="I5:T15" si="0">IF($H5="",0,VLOOKUP($H5,Tbl_Glob_ParEnt,I$1,FALSE))*$G5</f>
        <v>0</v>
      </c>
      <c r="J5" s="568">
        <f t="shared" si="0"/>
        <v>0</v>
      </c>
      <c r="K5" s="568">
        <f t="shared" si="0"/>
        <v>0</v>
      </c>
      <c r="L5" s="568">
        <f t="shared" si="0"/>
        <v>0</v>
      </c>
      <c r="M5" s="568">
        <f t="shared" si="0"/>
        <v>0</v>
      </c>
      <c r="N5" s="568">
        <f t="shared" si="0"/>
        <v>0</v>
      </c>
      <c r="O5" s="568">
        <f t="shared" si="0"/>
        <v>0</v>
      </c>
      <c r="P5" s="568">
        <f t="shared" si="0"/>
        <v>0</v>
      </c>
      <c r="Q5" s="568">
        <f t="shared" si="0"/>
        <v>0</v>
      </c>
      <c r="R5" s="568">
        <f t="shared" si="0"/>
        <v>0</v>
      </c>
      <c r="S5" s="568">
        <f t="shared" si="0"/>
        <v>0</v>
      </c>
      <c r="T5" s="568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68">
        <f t="shared" si="0"/>
        <v>0</v>
      </c>
      <c r="J6" s="568">
        <f t="shared" si="0"/>
        <v>0</v>
      </c>
      <c r="K6" s="568">
        <f t="shared" si="0"/>
        <v>0</v>
      </c>
      <c r="L6" s="568">
        <f t="shared" si="0"/>
        <v>0</v>
      </c>
      <c r="M6" s="568">
        <f t="shared" si="0"/>
        <v>0</v>
      </c>
      <c r="N6" s="568">
        <f t="shared" si="0"/>
        <v>0</v>
      </c>
      <c r="O6" s="568">
        <f t="shared" si="0"/>
        <v>0</v>
      </c>
      <c r="P6" s="568">
        <f t="shared" si="0"/>
        <v>0</v>
      </c>
      <c r="Q6" s="568">
        <f t="shared" si="0"/>
        <v>0</v>
      </c>
      <c r="R6" s="568">
        <f t="shared" si="0"/>
        <v>0</v>
      </c>
      <c r="S6" s="568">
        <f t="shared" si="0"/>
        <v>0</v>
      </c>
      <c r="T6" s="568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68">
        <f t="shared" si="0"/>
        <v>0</v>
      </c>
      <c r="J7" s="568">
        <f t="shared" si="0"/>
        <v>0</v>
      </c>
      <c r="K7" s="568">
        <f t="shared" si="0"/>
        <v>0</v>
      </c>
      <c r="L7" s="568">
        <f t="shared" si="0"/>
        <v>0</v>
      </c>
      <c r="M7" s="568">
        <f t="shared" si="0"/>
        <v>0</v>
      </c>
      <c r="N7" s="568">
        <f t="shared" si="0"/>
        <v>0</v>
      </c>
      <c r="O7" s="568">
        <f t="shared" si="0"/>
        <v>0</v>
      </c>
      <c r="P7" s="568">
        <f t="shared" si="0"/>
        <v>0</v>
      </c>
      <c r="Q7" s="568">
        <f t="shared" si="0"/>
        <v>0</v>
      </c>
      <c r="R7" s="568">
        <f t="shared" si="0"/>
        <v>0</v>
      </c>
      <c r="S7" s="568">
        <f t="shared" si="0"/>
        <v>0</v>
      </c>
      <c r="T7" s="568">
        <f t="shared" si="0"/>
        <v>0</v>
      </c>
      <c r="U7" s="568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68">
        <f t="shared" si="0"/>
        <v>0</v>
      </c>
      <c r="J8" s="568">
        <f t="shared" si="0"/>
        <v>0</v>
      </c>
      <c r="K8" s="568">
        <f t="shared" si="0"/>
        <v>0</v>
      </c>
      <c r="L8" s="568">
        <f t="shared" si="0"/>
        <v>0</v>
      </c>
      <c r="M8" s="568">
        <f t="shared" si="0"/>
        <v>0</v>
      </c>
      <c r="N8" s="568">
        <f t="shared" si="0"/>
        <v>0</v>
      </c>
      <c r="O8" s="568">
        <f t="shared" si="0"/>
        <v>0</v>
      </c>
      <c r="P8" s="568">
        <f t="shared" si="0"/>
        <v>0</v>
      </c>
      <c r="Q8" s="568">
        <f t="shared" si="0"/>
        <v>0</v>
      </c>
      <c r="R8" s="568">
        <f t="shared" si="0"/>
        <v>0</v>
      </c>
      <c r="S8" s="568">
        <f t="shared" si="0"/>
        <v>0</v>
      </c>
      <c r="T8" s="568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68">
        <f t="shared" si="0"/>
        <v>0</v>
      </c>
      <c r="J9" s="568">
        <f t="shared" si="0"/>
        <v>0</v>
      </c>
      <c r="K9" s="568">
        <f t="shared" si="0"/>
        <v>0</v>
      </c>
      <c r="L9" s="568">
        <f t="shared" si="0"/>
        <v>0</v>
      </c>
      <c r="M9" s="568">
        <f t="shared" si="0"/>
        <v>0</v>
      </c>
      <c r="N9" s="568">
        <f t="shared" si="0"/>
        <v>0</v>
      </c>
      <c r="O9" s="568">
        <f t="shared" si="0"/>
        <v>0</v>
      </c>
      <c r="P9" s="568">
        <f t="shared" si="0"/>
        <v>0</v>
      </c>
      <c r="Q9" s="568">
        <f t="shared" si="0"/>
        <v>0</v>
      </c>
      <c r="R9" s="568">
        <f t="shared" si="0"/>
        <v>0</v>
      </c>
      <c r="S9" s="568">
        <f t="shared" si="0"/>
        <v>0</v>
      </c>
      <c r="T9" s="568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68">
        <f t="shared" si="0"/>
        <v>0</v>
      </c>
      <c r="J10" s="568">
        <f t="shared" si="0"/>
        <v>0</v>
      </c>
      <c r="K10" s="568">
        <f t="shared" si="0"/>
        <v>0</v>
      </c>
      <c r="L10" s="568">
        <f t="shared" si="0"/>
        <v>0</v>
      </c>
      <c r="M10" s="568">
        <f t="shared" si="0"/>
        <v>0</v>
      </c>
      <c r="N10" s="568">
        <f t="shared" si="0"/>
        <v>0</v>
      </c>
      <c r="O10" s="568">
        <f t="shared" si="0"/>
        <v>0</v>
      </c>
      <c r="P10" s="568">
        <f t="shared" si="0"/>
        <v>0</v>
      </c>
      <c r="Q10" s="568">
        <f t="shared" si="0"/>
        <v>0</v>
      </c>
      <c r="R10" s="568">
        <f t="shared" si="0"/>
        <v>0</v>
      </c>
      <c r="S10" s="568">
        <f t="shared" si="0"/>
        <v>0</v>
      </c>
      <c r="T10" s="568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68">
        <f t="shared" ref="I11:T11" si="5">IF($H11="",0,VLOOKUP($H11,Tbl_Glob_ParEnt,I$1,FALSE))*$G11</f>
        <v>0</v>
      </c>
      <c r="J11" s="568">
        <f t="shared" si="5"/>
        <v>0</v>
      </c>
      <c r="K11" s="568">
        <f t="shared" si="5"/>
        <v>0</v>
      </c>
      <c r="L11" s="568">
        <f t="shared" si="5"/>
        <v>0</v>
      </c>
      <c r="M11" s="568">
        <f t="shared" si="5"/>
        <v>0</v>
      </c>
      <c r="N11" s="568">
        <f t="shared" si="5"/>
        <v>0</v>
      </c>
      <c r="O11" s="568">
        <f t="shared" si="5"/>
        <v>0</v>
      </c>
      <c r="P11" s="568">
        <f t="shared" si="5"/>
        <v>0</v>
      </c>
      <c r="Q11" s="568">
        <f t="shared" si="5"/>
        <v>0</v>
      </c>
      <c r="R11" s="568">
        <f t="shared" si="5"/>
        <v>0</v>
      </c>
      <c r="S11" s="568">
        <f t="shared" si="5"/>
        <v>0</v>
      </c>
      <c r="T11" s="568">
        <f t="shared" si="5"/>
        <v>0</v>
      </c>
      <c r="U11" s="568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68">
        <f t="shared" si="0"/>
        <v>0</v>
      </c>
      <c r="J12" s="568">
        <f t="shared" si="0"/>
        <v>0</v>
      </c>
      <c r="K12" s="568">
        <f t="shared" si="0"/>
        <v>0</v>
      </c>
      <c r="L12" s="568">
        <f t="shared" si="0"/>
        <v>0</v>
      </c>
      <c r="M12" s="568">
        <f t="shared" si="0"/>
        <v>0</v>
      </c>
      <c r="N12" s="568">
        <f t="shared" si="0"/>
        <v>0</v>
      </c>
      <c r="O12" s="568">
        <f t="shared" si="0"/>
        <v>0</v>
      </c>
      <c r="P12" s="568">
        <f t="shared" si="0"/>
        <v>0</v>
      </c>
      <c r="Q12" s="568">
        <f t="shared" si="0"/>
        <v>0</v>
      </c>
      <c r="R12" s="568">
        <f t="shared" si="0"/>
        <v>0</v>
      </c>
      <c r="S12" s="568">
        <f t="shared" si="0"/>
        <v>0</v>
      </c>
      <c r="T12" s="568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68">
        <f t="shared" si="0"/>
        <v>0</v>
      </c>
      <c r="J13" s="568">
        <f t="shared" si="0"/>
        <v>0</v>
      </c>
      <c r="K13" s="568">
        <f t="shared" si="0"/>
        <v>0</v>
      </c>
      <c r="L13" s="568">
        <f t="shared" si="0"/>
        <v>0</v>
      </c>
      <c r="M13" s="568">
        <f t="shared" si="0"/>
        <v>0</v>
      </c>
      <c r="N13" s="568">
        <f t="shared" si="0"/>
        <v>0</v>
      </c>
      <c r="O13" s="568">
        <f t="shared" si="0"/>
        <v>0</v>
      </c>
      <c r="P13" s="568">
        <f t="shared" si="0"/>
        <v>0</v>
      </c>
      <c r="Q13" s="568">
        <f t="shared" si="0"/>
        <v>0</v>
      </c>
      <c r="R13" s="568">
        <f t="shared" si="0"/>
        <v>0</v>
      </c>
      <c r="S13" s="568">
        <f t="shared" si="0"/>
        <v>0</v>
      </c>
      <c r="T13" s="568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68">
        <f t="shared" ref="I14:T14" si="6">IF($H14="",0,VLOOKUP($H14,Tbl_Glob_ParEnt,I$1,FALSE))*$G14</f>
        <v>0</v>
      </c>
      <c r="J14" s="568">
        <f t="shared" si="6"/>
        <v>0</v>
      </c>
      <c r="K14" s="568">
        <f t="shared" si="6"/>
        <v>0</v>
      </c>
      <c r="L14" s="568">
        <f t="shared" si="6"/>
        <v>0</v>
      </c>
      <c r="M14" s="568">
        <f t="shared" si="6"/>
        <v>0</v>
      </c>
      <c r="N14" s="568">
        <f t="shared" si="6"/>
        <v>0</v>
      </c>
      <c r="O14" s="568">
        <f t="shared" si="6"/>
        <v>0</v>
      </c>
      <c r="P14" s="568">
        <f t="shared" si="6"/>
        <v>0</v>
      </c>
      <c r="Q14" s="568">
        <f t="shared" si="6"/>
        <v>0</v>
      </c>
      <c r="R14" s="568">
        <f t="shared" si="6"/>
        <v>0</v>
      </c>
      <c r="S14" s="568">
        <f t="shared" si="6"/>
        <v>0</v>
      </c>
      <c r="T14" s="568">
        <f t="shared" si="6"/>
        <v>0</v>
      </c>
      <c r="U14" s="568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68">
        <f t="shared" si="0"/>
        <v>0</v>
      </c>
      <c r="J15" s="568">
        <f t="shared" si="0"/>
        <v>0</v>
      </c>
      <c r="K15" s="568">
        <f t="shared" si="0"/>
        <v>0</v>
      </c>
      <c r="L15" s="568">
        <f t="shared" si="0"/>
        <v>0</v>
      </c>
      <c r="M15" s="568">
        <f t="shared" si="0"/>
        <v>0</v>
      </c>
      <c r="N15" s="568">
        <f t="shared" si="0"/>
        <v>0</v>
      </c>
      <c r="O15" s="568">
        <f t="shared" si="0"/>
        <v>0</v>
      </c>
      <c r="P15" s="568">
        <f t="shared" si="0"/>
        <v>0</v>
      </c>
      <c r="Q15" s="568">
        <f t="shared" si="0"/>
        <v>0</v>
      </c>
      <c r="R15" s="568">
        <f t="shared" si="0"/>
        <v>0</v>
      </c>
      <c r="S15" s="568">
        <f t="shared" si="0"/>
        <v>0</v>
      </c>
      <c r="T15" s="568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68">
        <f t="shared" ref="I17:T20" si="10">IF($H17="",0,VLOOKUP($H17,Tbl_Glob_ParEnt,I$1,FALSE))*$G17</f>
        <v>0</v>
      </c>
      <c r="J17" s="568">
        <f t="shared" si="10"/>
        <v>0</v>
      </c>
      <c r="K17" s="568">
        <f t="shared" si="10"/>
        <v>0</v>
      </c>
      <c r="L17" s="568">
        <f t="shared" si="10"/>
        <v>0</v>
      </c>
      <c r="M17" s="568">
        <f t="shared" si="10"/>
        <v>0</v>
      </c>
      <c r="N17" s="568">
        <f t="shared" si="10"/>
        <v>0</v>
      </c>
      <c r="O17" s="568">
        <f t="shared" si="10"/>
        <v>0</v>
      </c>
      <c r="P17" s="568">
        <f t="shared" si="10"/>
        <v>0</v>
      </c>
      <c r="Q17" s="568">
        <f t="shared" si="10"/>
        <v>0</v>
      </c>
      <c r="R17" s="568">
        <f t="shared" si="10"/>
        <v>0</v>
      </c>
      <c r="S17" s="568">
        <f t="shared" si="10"/>
        <v>0</v>
      </c>
      <c r="T17" s="568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68">
        <f>IF($H18="",0,VLOOKUP($H18,Tbl_Glob_ParEnt,I$1,FALSE))*$G18</f>
        <v>0</v>
      </c>
      <c r="J18" s="568">
        <f t="shared" si="10"/>
        <v>0</v>
      </c>
      <c r="K18" s="568">
        <f t="shared" si="10"/>
        <v>0</v>
      </c>
      <c r="L18" s="568">
        <f t="shared" si="10"/>
        <v>0</v>
      </c>
      <c r="M18" s="568">
        <f t="shared" si="10"/>
        <v>0</v>
      </c>
      <c r="N18" s="568">
        <f t="shared" si="10"/>
        <v>0</v>
      </c>
      <c r="O18" s="568">
        <f t="shared" si="10"/>
        <v>0</v>
      </c>
      <c r="P18" s="568">
        <f t="shared" si="10"/>
        <v>0</v>
      </c>
      <c r="Q18" s="568">
        <f t="shared" si="10"/>
        <v>0</v>
      </c>
      <c r="R18" s="568">
        <f t="shared" si="10"/>
        <v>0</v>
      </c>
      <c r="S18" s="568">
        <f t="shared" si="10"/>
        <v>0</v>
      </c>
      <c r="T18" s="568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68">
        <f>IF($H19="",0,VLOOKUP($H19,Tbl_Glob_ParEnt,I$1,FALSE))*$G19</f>
        <v>0</v>
      </c>
      <c r="J19" s="568">
        <f t="shared" si="10"/>
        <v>0</v>
      </c>
      <c r="K19" s="568">
        <f t="shared" si="10"/>
        <v>0</v>
      </c>
      <c r="L19" s="568">
        <f t="shared" si="10"/>
        <v>0</v>
      </c>
      <c r="M19" s="568">
        <f t="shared" si="10"/>
        <v>0</v>
      </c>
      <c r="N19" s="568">
        <f t="shared" si="10"/>
        <v>0</v>
      </c>
      <c r="O19" s="568">
        <f t="shared" si="10"/>
        <v>0</v>
      </c>
      <c r="P19" s="568">
        <f t="shared" si="10"/>
        <v>0</v>
      </c>
      <c r="Q19" s="568">
        <f t="shared" si="10"/>
        <v>0</v>
      </c>
      <c r="R19" s="568">
        <f t="shared" si="10"/>
        <v>0</v>
      </c>
      <c r="S19" s="568">
        <f t="shared" si="10"/>
        <v>0</v>
      </c>
      <c r="T19" s="568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68">
        <f t="shared" si="10"/>
        <v>0</v>
      </c>
      <c r="J20" s="568">
        <f t="shared" si="10"/>
        <v>0</v>
      </c>
      <c r="K20" s="568">
        <f t="shared" si="10"/>
        <v>0</v>
      </c>
      <c r="L20" s="568">
        <f t="shared" si="10"/>
        <v>0</v>
      </c>
      <c r="M20" s="568">
        <f t="shared" si="10"/>
        <v>0</v>
      </c>
      <c r="N20" s="568">
        <f t="shared" si="10"/>
        <v>0</v>
      </c>
      <c r="O20" s="568">
        <f t="shared" si="10"/>
        <v>0</v>
      </c>
      <c r="P20" s="568">
        <f t="shared" si="10"/>
        <v>0</v>
      </c>
      <c r="Q20" s="568">
        <f t="shared" si="10"/>
        <v>0</v>
      </c>
      <c r="R20" s="568">
        <f t="shared" si="10"/>
        <v>0</v>
      </c>
      <c r="S20" s="568">
        <f t="shared" si="10"/>
        <v>0</v>
      </c>
      <c r="T20" s="568">
        <f t="shared" si="10"/>
        <v>0</v>
      </c>
      <c r="U20" s="568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4874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68">
        <f t="shared" ref="I22:T24" si="11">IF($H22="",0,VLOOKUP($H22,Tbl_Glob_ParEnt,I$1,FALSE))*$G22</f>
        <v>0</v>
      </c>
      <c r="J22" s="568">
        <f t="shared" si="11"/>
        <v>0</v>
      </c>
      <c r="K22" s="568">
        <f t="shared" si="11"/>
        <v>0</v>
      </c>
      <c r="L22" s="568">
        <f t="shared" si="11"/>
        <v>0</v>
      </c>
      <c r="M22" s="568">
        <f t="shared" si="11"/>
        <v>0</v>
      </c>
      <c r="N22" s="568">
        <f t="shared" si="11"/>
        <v>0</v>
      </c>
      <c r="O22" s="568">
        <f t="shared" si="11"/>
        <v>0</v>
      </c>
      <c r="P22" s="568">
        <f t="shared" si="11"/>
        <v>0</v>
      </c>
      <c r="Q22" s="568">
        <f t="shared" si="11"/>
        <v>0</v>
      </c>
      <c r="R22" s="568">
        <f t="shared" si="11"/>
        <v>0</v>
      </c>
      <c r="S22" s="568">
        <f t="shared" si="11"/>
        <v>0</v>
      </c>
      <c r="T22" s="568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68">
        <f t="shared" si="11"/>
        <v>0</v>
      </c>
      <c r="J23" s="568">
        <f t="shared" si="11"/>
        <v>0</v>
      </c>
      <c r="K23" s="568">
        <f t="shared" si="11"/>
        <v>0</v>
      </c>
      <c r="L23" s="568">
        <f t="shared" si="11"/>
        <v>0</v>
      </c>
      <c r="M23" s="568">
        <f t="shared" si="11"/>
        <v>0</v>
      </c>
      <c r="N23" s="568">
        <f t="shared" si="11"/>
        <v>0</v>
      </c>
      <c r="O23" s="568">
        <f t="shared" si="11"/>
        <v>0</v>
      </c>
      <c r="P23" s="568">
        <f t="shared" si="11"/>
        <v>0</v>
      </c>
      <c r="Q23" s="568">
        <f t="shared" si="11"/>
        <v>0</v>
      </c>
      <c r="R23" s="568">
        <f t="shared" si="11"/>
        <v>0</v>
      </c>
      <c r="S23" s="568">
        <f t="shared" si="11"/>
        <v>0</v>
      </c>
      <c r="T23" s="568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68">
        <f t="shared" si="11"/>
        <v>0</v>
      </c>
      <c r="J24" s="568">
        <f t="shared" si="11"/>
        <v>0</v>
      </c>
      <c r="K24" s="568">
        <f t="shared" si="11"/>
        <v>0</v>
      </c>
      <c r="L24" s="568">
        <f t="shared" si="11"/>
        <v>0</v>
      </c>
      <c r="M24" s="568">
        <f t="shared" si="11"/>
        <v>0</v>
      </c>
      <c r="N24" s="568">
        <f t="shared" si="11"/>
        <v>0</v>
      </c>
      <c r="O24" s="568">
        <f t="shared" si="11"/>
        <v>0</v>
      </c>
      <c r="P24" s="568">
        <f t="shared" si="11"/>
        <v>0</v>
      </c>
      <c r="Q24" s="568">
        <f t="shared" si="11"/>
        <v>0</v>
      </c>
      <c r="R24" s="568">
        <f t="shared" si="11"/>
        <v>0</v>
      </c>
      <c r="S24" s="568">
        <f t="shared" si="11"/>
        <v>0</v>
      </c>
      <c r="T24" s="568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69" t="s">
        <v>178</v>
      </c>
      <c r="J25" s="569" t="s">
        <v>147</v>
      </c>
      <c r="K25" s="569" t="s">
        <v>143</v>
      </c>
      <c r="L25" s="569" t="s">
        <v>148</v>
      </c>
      <c r="M25" s="569" t="s">
        <v>268</v>
      </c>
      <c r="N25" s="569" t="s">
        <v>269</v>
      </c>
      <c r="O25" s="569" t="s">
        <v>144</v>
      </c>
      <c r="P25" s="569" t="s">
        <v>145</v>
      </c>
      <c r="Q25" s="569" t="s">
        <v>146</v>
      </c>
      <c r="R25" s="569" t="s">
        <v>826</v>
      </c>
      <c r="S25" s="569" t="s">
        <v>825</v>
      </c>
      <c r="T25" s="569" t="s">
        <v>824</v>
      </c>
      <c r="U25" s="569" t="s">
        <v>267</v>
      </c>
    </row>
    <row r="26" spans="1:25" x14ac:dyDescent="0.2">
      <c r="A26" t="s">
        <v>86</v>
      </c>
      <c r="G26">
        <f>SUM(G5:G24)-G16</f>
        <v>0</v>
      </c>
      <c r="I26" s="568">
        <f t="shared" ref="I26:T26" si="12">SUM(I3:I24)</f>
        <v>0</v>
      </c>
      <c r="J26" s="568">
        <f t="shared" si="12"/>
        <v>0</v>
      </c>
      <c r="K26" s="568">
        <f t="shared" si="12"/>
        <v>0</v>
      </c>
      <c r="L26" s="568">
        <f t="shared" si="12"/>
        <v>0</v>
      </c>
      <c r="M26" s="568">
        <f t="shared" si="12"/>
        <v>0</v>
      </c>
      <c r="N26" s="568">
        <f t="shared" si="12"/>
        <v>0</v>
      </c>
      <c r="O26" s="568">
        <f t="shared" si="12"/>
        <v>0</v>
      </c>
      <c r="P26" s="568">
        <f t="shared" si="12"/>
        <v>0</v>
      </c>
      <c r="Q26" s="568">
        <f t="shared" si="12"/>
        <v>0</v>
      </c>
      <c r="R26" s="568">
        <f t="shared" si="12"/>
        <v>0</v>
      </c>
      <c r="S26" s="568">
        <f t="shared" si="12"/>
        <v>0</v>
      </c>
      <c r="T26" s="568">
        <f t="shared" si="12"/>
        <v>0</v>
      </c>
      <c r="U26" s="568">
        <f>G26</f>
        <v>0</v>
      </c>
    </row>
    <row r="27" spans="1:25" x14ac:dyDescent="0.2">
      <c r="A27" s="422"/>
      <c r="B27" s="422"/>
      <c r="C27" s="422"/>
      <c r="D27" s="422"/>
      <c r="E27" s="422"/>
      <c r="F27" s="422"/>
      <c r="G27" s="422"/>
      <c r="H27" s="422"/>
      <c r="I27" s="416"/>
      <c r="J27" s="416"/>
      <c r="K27" s="416"/>
      <c r="L27" s="416"/>
      <c r="M27" s="416"/>
      <c r="N27" s="416"/>
      <c r="O27" s="416"/>
      <c r="P27" s="416"/>
      <c r="Q27" s="416"/>
      <c r="R27" s="416"/>
    </row>
    <row r="28" spans="1:25" x14ac:dyDescent="0.2">
      <c r="A28" s="567" t="s">
        <v>184</v>
      </c>
      <c r="B28" s="784">
        <v>0</v>
      </c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  <c r="Q28" s="416"/>
      <c r="R28" s="416"/>
    </row>
    <row r="29" spans="1:25" x14ac:dyDescent="0.2">
      <c r="A29" s="422"/>
      <c r="B29" s="422"/>
      <c r="C29" s="422"/>
      <c r="D29" s="422"/>
      <c r="E29" s="422"/>
      <c r="F29" s="422"/>
      <c r="G29" s="422"/>
      <c r="H29" s="422"/>
      <c r="I29" s="416"/>
      <c r="J29" s="416"/>
      <c r="K29" s="416"/>
      <c r="L29" s="416"/>
      <c r="M29" s="416"/>
      <c r="N29" s="416"/>
      <c r="O29" s="416"/>
      <c r="P29" s="416"/>
      <c r="Q29" s="416"/>
      <c r="R29" s="416"/>
    </row>
    <row r="30" spans="1:25" ht="38.25" x14ac:dyDescent="0.2">
      <c r="A30" s="416"/>
      <c r="B30" s="792" t="s">
        <v>5281</v>
      </c>
      <c r="C30" s="792" t="s">
        <v>5282</v>
      </c>
      <c r="D30" s="792" t="s">
        <v>5283</v>
      </c>
      <c r="E30" s="792" t="s">
        <v>5284</v>
      </c>
      <c r="F30" s="792" t="s">
        <v>5285</v>
      </c>
      <c r="G30" s="792" t="s">
        <v>5286</v>
      </c>
      <c r="H30" s="792" t="s">
        <v>5287</v>
      </c>
      <c r="I30" s="416"/>
      <c r="J30" s="416"/>
      <c r="K30" s="416"/>
      <c r="L30" s="416"/>
      <c r="M30" s="416"/>
      <c r="N30" s="416"/>
      <c r="O30" s="416"/>
      <c r="P30" s="416"/>
      <c r="Q30" s="416"/>
      <c r="R30" s="416"/>
    </row>
    <row r="31" spans="1:25" x14ac:dyDescent="0.2">
      <c r="B31" s="792" t="str">
        <f>IF(NOT(D5),IF(H5="","",H5&amp;"::"&amp;W5),"")</f>
        <v/>
      </c>
      <c r="C31" s="792" t="str">
        <f>IF(NOT($H$21=""),H22&amp;"::"&amp;W22,"")</f>
        <v/>
      </c>
      <c r="D31" s="792" t="str">
        <f>IF(AND(D5,H5&lt;&gt;""),H5&amp;"::"&amp;W5,"")</f>
        <v/>
      </c>
      <c r="E31" s="792" t="str">
        <f>IF(AND(D6,H6&lt;&gt;""),H6&amp;"::"&amp;W6,"")</f>
        <v/>
      </c>
      <c r="F31" s="792" t="str">
        <f>IF(D11,IF(H11="","",H11&amp;"::"&amp;W11),"")</f>
        <v/>
      </c>
      <c r="G31" s="792" t="str">
        <f>IF(H14="","",H14&amp;"::"&amp;W14)</f>
        <v/>
      </c>
      <c r="H31" s="792" t="str">
        <f>IF(H17="","",H17&amp;"::"&amp;W17)</f>
        <v/>
      </c>
      <c r="I31" s="416"/>
      <c r="J31" s="416"/>
      <c r="K31" s="416"/>
      <c r="L31" s="416"/>
      <c r="M31" s="416"/>
      <c r="N31" s="416"/>
      <c r="O31" s="416"/>
      <c r="P31" s="416"/>
      <c r="Q31" s="416"/>
      <c r="R31" s="416"/>
    </row>
    <row r="32" spans="1:25" x14ac:dyDescent="0.2">
      <c r="B32" s="792" t="str">
        <f>IF(NOT(D6),IF(H6="","",H6&amp;"::"&amp;W6),"")</f>
        <v/>
      </c>
      <c r="C32" s="792" t="str">
        <f t="shared" ref="C32:C33" si="13">IF(NOT($H$21=""),H23&amp;"::"&amp;W23,"")</f>
        <v/>
      </c>
      <c r="D32" s="792"/>
      <c r="E32" s="792" t="str">
        <f>IF(AND(D7,H7&lt;&gt;""),H7&amp;"::"&amp;W7,"")</f>
        <v/>
      </c>
      <c r="F32" s="792" t="str">
        <f>IF(D11,IF(H12="","",H12&amp;"::"&amp;W12),"")</f>
        <v/>
      </c>
      <c r="G32" s="792" t="str">
        <f>IF(H15="","",H15&amp;"::"&amp;W15)</f>
        <v/>
      </c>
      <c r="H32" s="792" t="str">
        <f t="shared" ref="H32:H33" si="14">IF(H18="","",H18&amp;"::"&amp;W18)</f>
        <v/>
      </c>
      <c r="I32" s="416"/>
      <c r="J32" s="416"/>
      <c r="K32" s="416"/>
      <c r="L32" s="416"/>
      <c r="M32" s="416"/>
      <c r="N32" s="416"/>
      <c r="O32" s="416"/>
      <c r="P32" s="416"/>
      <c r="Q32" s="416"/>
      <c r="R32" s="416"/>
    </row>
    <row r="33" spans="1:18" x14ac:dyDescent="0.2">
      <c r="B33" s="792" t="str">
        <f>IF(B8&gt;1,H8&amp;"::"&amp;W8,"")</f>
        <v/>
      </c>
      <c r="C33" s="792" t="str">
        <f t="shared" si="13"/>
        <v/>
      </c>
      <c r="D33" s="792"/>
      <c r="E33" s="792"/>
      <c r="F33" s="792" t="str">
        <f>IF(D11,IF(H13="","",H13&amp;"::"&amp;W13),"")</f>
        <v/>
      </c>
      <c r="G33" s="792"/>
      <c r="H33" s="792" t="str">
        <f t="shared" si="14"/>
        <v/>
      </c>
      <c r="I33" s="416"/>
      <c r="J33" s="416"/>
      <c r="K33" s="416"/>
      <c r="L33" s="416"/>
      <c r="M33" s="416"/>
      <c r="N33" s="416"/>
      <c r="O33" s="416"/>
      <c r="P33" s="416"/>
      <c r="Q33" s="416"/>
      <c r="R33" s="416"/>
    </row>
    <row r="34" spans="1:18" x14ac:dyDescent="0.2">
      <c r="B34" s="792" t="str">
        <f>IF(B9,H9&amp;"::"&amp;W9,"")</f>
        <v/>
      </c>
      <c r="C34" s="792"/>
      <c r="D34" s="792"/>
      <c r="E34" s="792"/>
      <c r="F34" s="792"/>
      <c r="G34" s="792"/>
      <c r="H34" s="792"/>
      <c r="I34" s="416"/>
      <c r="J34" s="416"/>
      <c r="K34" s="416"/>
      <c r="L34" s="416"/>
      <c r="M34" s="416"/>
      <c r="N34" s="416"/>
      <c r="O34" s="416"/>
      <c r="P34" s="416"/>
      <c r="Q34" s="416"/>
      <c r="R34" s="416"/>
    </row>
    <row r="35" spans="1:18" x14ac:dyDescent="0.2">
      <c r="B35" s="792" t="str">
        <f>IF(B10,H10&amp;"::"&amp;W10,"")</f>
        <v/>
      </c>
      <c r="C35" s="792" t="str">
        <f t="shared" ref="C35:C36" si="15">IF(NOT(E9),I9&amp;"::"&amp;Y9,"")</f>
        <v/>
      </c>
      <c r="D35" s="792"/>
      <c r="E35" s="792"/>
      <c r="F35" s="792"/>
      <c r="G35" s="792"/>
      <c r="H35" s="792"/>
      <c r="I35" s="416"/>
      <c r="J35" s="416"/>
      <c r="K35" s="416"/>
      <c r="L35" s="416"/>
      <c r="M35" s="416"/>
      <c r="N35" s="416"/>
      <c r="O35" s="416"/>
      <c r="P35" s="416"/>
      <c r="Q35" s="416"/>
      <c r="R35" s="416"/>
    </row>
    <row r="36" spans="1:18" x14ac:dyDescent="0.2">
      <c r="B36" s="792" t="str">
        <f>IF(AND(A12,NOT(D11)),H12&amp;"::"&amp;W12,"")</f>
        <v>::</v>
      </c>
      <c r="C36" s="792" t="str">
        <f t="shared" si="15"/>
        <v/>
      </c>
      <c r="D36" s="792"/>
      <c r="E36" s="792"/>
      <c r="F36" s="792"/>
      <c r="G36" s="792"/>
      <c r="H36" s="792"/>
      <c r="I36" s="416"/>
      <c r="J36" s="416"/>
      <c r="K36" s="416"/>
      <c r="L36" s="416"/>
      <c r="M36" s="416"/>
      <c r="N36" s="416"/>
      <c r="O36" s="416"/>
      <c r="P36" s="416"/>
      <c r="Q36" s="416"/>
      <c r="R36" s="416"/>
    </row>
    <row r="37" spans="1:18" x14ac:dyDescent="0.2">
      <c r="B37" s="792" t="str">
        <f>IF(AND(A13,NOT(D11)),H13&amp;"::"&amp;W13,"")</f>
        <v>::</v>
      </c>
      <c r="C37" s="792"/>
      <c r="D37" s="792"/>
      <c r="E37" s="792"/>
      <c r="F37" s="792"/>
      <c r="G37" s="792"/>
      <c r="H37" s="792"/>
      <c r="I37" s="416"/>
      <c r="J37" s="416"/>
      <c r="K37" s="416"/>
      <c r="L37" s="416"/>
      <c r="M37" s="416"/>
      <c r="N37" s="416"/>
      <c r="O37" s="416"/>
      <c r="P37" s="416"/>
      <c r="Q37" s="416"/>
      <c r="R37" s="416"/>
    </row>
    <row r="38" spans="1:18" x14ac:dyDescent="0.2">
      <c r="A38" s="790"/>
      <c r="B38" s="792" t="str">
        <f>ConcatenateRange(B31:B37,"##")</f>
        <v>::##::</v>
      </c>
      <c r="C38" s="792" t="str">
        <f>ConcatenateRange(C31:C37,"##")</f>
        <v/>
      </c>
      <c r="D38" s="792" t="str">
        <f>ConcatenateRange(D31:D37,"##")</f>
        <v/>
      </c>
      <c r="E38" s="792" t="str">
        <f>ConcatenateRange(E31:E37,"##")</f>
        <v/>
      </c>
      <c r="F38" s="792" t="str">
        <f>ConcatenateRange(F31:F37,"##")</f>
        <v/>
      </c>
      <c r="G38" s="792" t="str">
        <f>ConcatenateRange(G31:G37,"##")</f>
        <v/>
      </c>
      <c r="H38" s="792" t="str">
        <f>ConcatenateRange(H31:H37,"##")</f>
        <v/>
      </c>
      <c r="I38" s="416"/>
      <c r="J38" s="416"/>
      <c r="K38" s="416"/>
      <c r="L38" s="416"/>
      <c r="M38" s="416"/>
      <c r="N38" s="416"/>
      <c r="O38" s="416"/>
      <c r="P38" s="416"/>
      <c r="Q38" s="416"/>
      <c r="R38" s="416"/>
    </row>
    <row r="39" spans="1:18" x14ac:dyDescent="0.2">
      <c r="A39" s="416"/>
      <c r="B39" s="790"/>
      <c r="D39" s="422"/>
      <c r="E39" s="422"/>
      <c r="F39" s="422"/>
      <c r="G39" s="422"/>
      <c r="H39" s="422"/>
      <c r="I39" s="416"/>
      <c r="J39" s="416"/>
      <c r="K39" s="416"/>
      <c r="L39" s="416"/>
      <c r="M39" s="416"/>
      <c r="N39" s="416"/>
      <c r="O39" s="416"/>
      <c r="P39" s="416"/>
      <c r="Q39" s="416"/>
      <c r="R39" s="416"/>
    </row>
    <row r="40" spans="1:18" x14ac:dyDescent="0.2">
      <c r="A40" s="416"/>
      <c r="B40" s="422"/>
      <c r="D40" s="422"/>
      <c r="E40" s="422"/>
      <c r="F40" s="422"/>
      <c r="G40" s="422"/>
      <c r="H40" s="422"/>
      <c r="I40" s="416"/>
      <c r="J40" s="416"/>
      <c r="K40" s="416"/>
      <c r="L40" s="416"/>
      <c r="M40" s="416"/>
      <c r="N40" s="416"/>
      <c r="O40" s="416"/>
      <c r="P40" s="416"/>
      <c r="Q40" s="416"/>
      <c r="R40" s="416"/>
    </row>
    <row r="41" spans="1:18" x14ac:dyDescent="0.2">
      <c r="A41" s="416"/>
      <c r="B41" s="422"/>
      <c r="D41" s="422"/>
      <c r="E41" s="422"/>
      <c r="F41" s="422"/>
      <c r="G41" s="422"/>
      <c r="H41" s="422"/>
      <c r="I41" s="416"/>
      <c r="J41" s="416"/>
      <c r="K41" s="416"/>
      <c r="L41" s="416"/>
      <c r="M41" s="416"/>
      <c r="N41" s="416"/>
      <c r="O41" s="416"/>
      <c r="P41" s="416"/>
      <c r="Q41" s="416"/>
      <c r="R41" s="416"/>
    </row>
    <row r="42" spans="1:18" x14ac:dyDescent="0.2">
      <c r="A42" s="416"/>
      <c r="B42" s="422"/>
      <c r="C42" s="422"/>
      <c r="D42" s="422"/>
      <c r="E42" s="422"/>
      <c r="F42" s="422"/>
      <c r="G42" s="422"/>
      <c r="H42" s="422"/>
      <c r="I42" s="416"/>
      <c r="J42" s="416"/>
      <c r="K42" s="416"/>
      <c r="L42" s="580"/>
      <c r="M42" s="416"/>
      <c r="N42" s="416"/>
      <c r="O42" s="416"/>
      <c r="P42" s="416"/>
      <c r="Q42" s="416"/>
      <c r="R42" s="416"/>
    </row>
    <row r="43" spans="1:18" x14ac:dyDescent="0.2">
      <c r="A43" s="422"/>
      <c r="C43" s="422"/>
      <c r="D43" s="422"/>
      <c r="E43" s="422"/>
      <c r="F43" s="422"/>
      <c r="G43" s="422"/>
      <c r="H43" s="422"/>
      <c r="I43" s="416"/>
      <c r="J43" s="416"/>
      <c r="K43" s="416"/>
      <c r="L43" s="416"/>
      <c r="M43" s="416"/>
      <c r="N43" s="416"/>
      <c r="O43" s="416"/>
      <c r="P43" s="416"/>
      <c r="Q43" s="416"/>
      <c r="R43" s="416"/>
    </row>
    <row r="44" spans="1:18" x14ac:dyDescent="0.2">
      <c r="A44" s="422"/>
      <c r="C44" s="422"/>
      <c r="D44" s="422"/>
      <c r="E44" s="422"/>
      <c r="F44" s="422"/>
      <c r="G44" s="422"/>
      <c r="H44" s="422"/>
      <c r="I44" s="416"/>
      <c r="J44" s="416"/>
      <c r="K44" s="416"/>
      <c r="L44" s="416"/>
      <c r="M44" s="416"/>
      <c r="N44" s="416"/>
      <c r="O44" s="416"/>
      <c r="P44" s="416"/>
      <c r="Q44" s="416"/>
      <c r="R44" s="416"/>
    </row>
    <row r="45" spans="1:18" x14ac:dyDescent="0.2">
      <c r="P45" s="569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68">
        <v>1</v>
      </c>
      <c r="B1" s="568">
        <v>2</v>
      </c>
      <c r="C1" s="568">
        <v>3</v>
      </c>
      <c r="D1" s="568">
        <v>4</v>
      </c>
      <c r="E1" s="568">
        <v>5</v>
      </c>
      <c r="F1" s="568">
        <v>6</v>
      </c>
      <c r="G1" s="568">
        <v>7</v>
      </c>
      <c r="H1" s="568">
        <v>8</v>
      </c>
      <c r="I1" s="568">
        <v>9</v>
      </c>
      <c r="J1" s="568">
        <v>10</v>
      </c>
      <c r="K1" s="568">
        <v>11</v>
      </c>
      <c r="L1" s="568">
        <v>12</v>
      </c>
      <c r="M1" s="568">
        <v>13</v>
      </c>
    </row>
    <row r="2" spans="1:14" s="9" customFormat="1" x14ac:dyDescent="0.2">
      <c r="A2" s="106" t="s">
        <v>4811</v>
      </c>
      <c r="B2" s="106" t="s">
        <v>3321</v>
      </c>
      <c r="C2" s="106" t="s">
        <v>4812</v>
      </c>
      <c r="D2" s="106" t="s">
        <v>4813</v>
      </c>
      <c r="E2" s="106" t="s">
        <v>4814</v>
      </c>
      <c r="F2" s="106" t="s">
        <v>4815</v>
      </c>
      <c r="G2" s="106" t="s">
        <v>177</v>
      </c>
      <c r="H2" s="106" t="s">
        <v>86</v>
      </c>
      <c r="I2" s="106" t="s">
        <v>4095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4081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3513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3513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4083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3513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4897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4896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4882</v>
      </c>
      <c r="B21" s="209" t="s">
        <v>4883</v>
      </c>
      <c r="C21" s="209" t="s">
        <v>4882</v>
      </c>
      <c r="D21" s="209" t="s">
        <v>4883</v>
      </c>
      <c r="E21" s="209"/>
      <c r="F21" s="208" t="s">
        <v>4877</v>
      </c>
      <c r="G21" s="209" t="s">
        <v>216</v>
      </c>
      <c r="H21" s="208" t="s">
        <v>4878</v>
      </c>
      <c r="I21" s="209" t="s">
        <v>216</v>
      </c>
      <c r="J21" s="208" t="s">
        <v>4879</v>
      </c>
      <c r="K21" s="209" t="s">
        <v>216</v>
      </c>
      <c r="L21" s="208" t="s">
        <v>4879</v>
      </c>
      <c r="M21" s="209" t="s">
        <v>216</v>
      </c>
      <c r="N21" s="208" t="s">
        <v>4880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4881</v>
      </c>
    </row>
    <row r="32" spans="1:15" x14ac:dyDescent="0.2">
      <c r="A32" s="209" t="s">
        <v>4884</v>
      </c>
      <c r="B32" s="208">
        <v>1.75</v>
      </c>
    </row>
    <row r="33" spans="1:2" x14ac:dyDescent="0.2">
      <c r="A33" s="209" t="s">
        <v>4885</v>
      </c>
      <c r="B33" s="208">
        <v>1.1499999999999999</v>
      </c>
    </row>
    <row r="34" spans="1:2" x14ac:dyDescent="0.2">
      <c r="A34" s="209" t="s">
        <v>4886</v>
      </c>
      <c r="B34" s="208">
        <v>1.3</v>
      </c>
    </row>
    <row r="35" spans="1:2" x14ac:dyDescent="0.2">
      <c r="A35" s="209" t="s">
        <v>4887</v>
      </c>
      <c r="B35" s="208">
        <v>1.3</v>
      </c>
    </row>
    <row r="36" spans="1:2" x14ac:dyDescent="0.2">
      <c r="A36" s="209" t="s">
        <v>4888</v>
      </c>
      <c r="B36" s="208">
        <v>1.3</v>
      </c>
    </row>
    <row r="37" spans="1:2" x14ac:dyDescent="0.2">
      <c r="A37" s="209" t="s">
        <v>4889</v>
      </c>
      <c r="B37" s="208">
        <v>1.4</v>
      </c>
    </row>
    <row r="38" spans="1:2" x14ac:dyDescent="0.2">
      <c r="A38" s="209" t="s">
        <v>4890</v>
      </c>
      <c r="B38" s="208">
        <v>1.4</v>
      </c>
    </row>
    <row r="39" spans="1:2" x14ac:dyDescent="0.2">
      <c r="A39" s="209" t="s">
        <v>4891</v>
      </c>
      <c r="B39" s="208">
        <v>1.6</v>
      </c>
    </row>
    <row r="40" spans="1:2" x14ac:dyDescent="0.2">
      <c r="A40" s="209" t="s">
        <v>4892</v>
      </c>
      <c r="B40" s="208">
        <v>1.4</v>
      </c>
    </row>
    <row r="41" spans="1:2" x14ac:dyDescent="0.2">
      <c r="A41" s="209" t="s">
        <v>4893</v>
      </c>
      <c r="B41" s="208">
        <v>1.35</v>
      </c>
    </row>
    <row r="42" spans="1:2" x14ac:dyDescent="0.2">
      <c r="A42" s="209" t="s">
        <v>4894</v>
      </c>
      <c r="B42" s="208">
        <v>1.3</v>
      </c>
    </row>
    <row r="43" spans="1:2" x14ac:dyDescent="0.2">
      <c r="A43" s="209" t="s">
        <v>4895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4098</v>
      </c>
      <c r="C3" t="s">
        <v>4081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4083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4099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4091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4092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4093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4094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18" t="s">
        <v>158</v>
      </c>
      <c r="B1" s="418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19" t="s">
        <v>4077</v>
      </c>
      <c r="D2" s="419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4085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0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0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19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0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4284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4250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0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0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0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0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0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0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0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0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0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0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0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0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1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1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1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1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1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1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1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1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783" customWidth="1"/>
    <col min="2" max="9" width="10.7109375" style="783" customWidth="1"/>
    <col min="10" max="10" width="3.7109375" style="783" customWidth="1"/>
    <col min="11" max="12" width="10.7109375" style="783" customWidth="1"/>
    <col min="13" max="16384" width="9.140625" style="783"/>
  </cols>
  <sheetData>
    <row r="1" spans="1:81" s="490" customFormat="1" ht="17.25" customHeight="1" x14ac:dyDescent="0.2">
      <c r="A1" s="356"/>
      <c r="B1" s="780"/>
      <c r="C1" s="780"/>
      <c r="D1" s="780"/>
      <c r="E1" s="780"/>
      <c r="F1" s="780"/>
      <c r="G1" s="780"/>
      <c r="H1" s="780"/>
      <c r="I1" s="780"/>
      <c r="J1" s="780"/>
      <c r="K1" s="780"/>
      <c r="L1" s="780"/>
      <c r="M1" s="780"/>
      <c r="N1" s="780"/>
      <c r="O1" s="780"/>
      <c r="P1" s="780"/>
      <c r="Q1" s="780"/>
      <c r="R1" s="780"/>
      <c r="S1" s="780"/>
      <c r="T1" s="357"/>
      <c r="U1" s="357"/>
      <c r="V1" s="357"/>
      <c r="W1" s="357"/>
      <c r="X1" s="357"/>
    </row>
    <row r="2" spans="1:81" s="490" customFormat="1" ht="17.25" customHeight="1" x14ac:dyDescent="0.2">
      <c r="A2" s="357"/>
      <c r="B2" s="780"/>
      <c r="C2" s="647" t="s">
        <v>235</v>
      </c>
      <c r="D2" s="648" t="str">
        <f ca="1">Txt_Pat_AfspraakDat</f>
        <v>21-sep-2017</v>
      </c>
      <c r="E2" s="649"/>
      <c r="F2" s="647"/>
      <c r="G2" s="646"/>
      <c r="H2" s="651" t="s">
        <v>3496</v>
      </c>
      <c r="I2" s="647"/>
      <c r="J2" s="780" t="str">
        <f>Txt_Pat_OpnameDat</f>
        <v/>
      </c>
      <c r="K2" s="780"/>
      <c r="L2" s="780"/>
      <c r="M2" s="780" t="str">
        <f>Txt_Pat_Gewicht</f>
        <v>Gewicht:</v>
      </c>
      <c r="N2" s="780"/>
      <c r="O2" s="780" t="str">
        <f>Txt_Pat_Bed</f>
        <v/>
      </c>
      <c r="P2" s="780"/>
      <c r="Q2" s="780"/>
      <c r="R2" s="780"/>
      <c r="S2" s="780"/>
      <c r="T2" s="357"/>
      <c r="U2" s="357"/>
      <c r="V2" s="357"/>
      <c r="W2" s="357"/>
      <c r="X2" s="357"/>
    </row>
    <row r="3" spans="1:81" s="490" customFormat="1" ht="17.25" customHeight="1" x14ac:dyDescent="0.2">
      <c r="A3" s="357"/>
      <c r="B3" s="644"/>
      <c r="C3" s="647" t="s">
        <v>27</v>
      </c>
      <c r="D3" s="652" t="str">
        <f>Txt_Pat_FullName</f>
        <v/>
      </c>
      <c r="E3" s="652"/>
      <c r="F3" s="647"/>
      <c r="G3" s="646"/>
      <c r="H3" s="651" t="s">
        <v>3497</v>
      </c>
      <c r="I3" s="780"/>
      <c r="J3" s="647" t="str">
        <f ca="1">Txt_Pat_GeboorteDat</f>
        <v/>
      </c>
      <c r="K3" s="780"/>
      <c r="L3" s="780"/>
      <c r="M3" s="780" t="str">
        <f>Txt_Pat_Lengte</f>
        <v>Lengte:</v>
      </c>
      <c r="N3" s="780"/>
      <c r="O3" s="780"/>
      <c r="P3" s="780"/>
      <c r="Q3" s="780"/>
      <c r="R3" s="780"/>
      <c r="S3" s="780"/>
      <c r="T3" s="357"/>
      <c r="U3" s="357"/>
      <c r="V3" s="357"/>
      <c r="W3" s="357"/>
      <c r="X3" s="357"/>
    </row>
    <row r="4" spans="1:81" s="490" customFormat="1" ht="17.25" customHeight="1" x14ac:dyDescent="0.2">
      <c r="A4" s="357"/>
      <c r="B4" s="780"/>
      <c r="C4" s="647" t="s">
        <v>3493</v>
      </c>
      <c r="D4" s="647" t="str">
        <f>Txt_Pat_PatNo</f>
        <v/>
      </c>
      <c r="E4" s="649"/>
      <c r="F4" s="647"/>
      <c r="G4" s="646"/>
      <c r="H4" s="655" t="s">
        <v>213</v>
      </c>
      <c r="I4" s="647"/>
      <c r="J4" s="647" t="str">
        <f ca="1">Txt_Pat_Leeftijd</f>
        <v/>
      </c>
      <c r="K4" s="780"/>
      <c r="L4" s="780"/>
      <c r="M4" s="780" t="str">
        <f>Txt_Pat_Oppervlak</f>
        <v>Lichamelijk oppervlak:</v>
      </c>
      <c r="N4" s="780"/>
      <c r="O4" s="780"/>
      <c r="P4" s="780"/>
      <c r="Q4" s="780"/>
      <c r="R4" s="780"/>
      <c r="S4" s="780"/>
      <c r="T4" s="357"/>
      <c r="U4" s="357"/>
      <c r="V4" s="357"/>
      <c r="W4" s="357"/>
      <c r="X4" s="357"/>
      <c r="Y4" s="361"/>
      <c r="Z4" s="361"/>
      <c r="AA4" s="361"/>
      <c r="AB4" s="361"/>
      <c r="AC4" s="361"/>
      <c r="AD4" s="361"/>
      <c r="AE4" s="361"/>
      <c r="AF4" s="361"/>
      <c r="AG4" s="361"/>
      <c r="AH4" s="361"/>
      <c r="AI4" s="361"/>
      <c r="AJ4" s="361"/>
      <c r="AK4" s="361"/>
      <c r="AL4" s="361"/>
      <c r="AM4" s="361"/>
      <c r="AN4" s="361"/>
      <c r="AO4" s="361"/>
      <c r="AP4" s="361"/>
      <c r="AQ4" s="361"/>
      <c r="AR4" s="361"/>
      <c r="AS4" s="361"/>
      <c r="AT4" s="361"/>
      <c r="AU4" s="361"/>
      <c r="AV4" s="361"/>
      <c r="AW4" s="361"/>
      <c r="AX4" s="361"/>
      <c r="AY4" s="361"/>
      <c r="AZ4" s="361"/>
      <c r="BA4" s="361"/>
      <c r="BB4" s="361"/>
      <c r="BC4" s="361"/>
      <c r="BD4" s="361"/>
      <c r="BE4" s="361"/>
      <c r="BF4" s="361"/>
      <c r="BG4" s="361"/>
      <c r="BH4" s="361"/>
      <c r="BI4" s="361"/>
      <c r="BJ4" s="361"/>
      <c r="BK4" s="361"/>
      <c r="BL4" s="361"/>
      <c r="BM4" s="361"/>
      <c r="BN4" s="361"/>
      <c r="BO4" s="361"/>
      <c r="BP4" s="361"/>
      <c r="BQ4" s="361"/>
      <c r="BR4" s="361"/>
      <c r="BS4" s="361"/>
      <c r="BT4" s="361"/>
      <c r="BU4" s="361"/>
      <c r="BV4" s="361"/>
      <c r="BW4" s="361"/>
      <c r="BX4" s="361"/>
      <c r="BY4" s="361"/>
      <c r="BZ4" s="361"/>
      <c r="CA4" s="361"/>
      <c r="CB4" s="361"/>
      <c r="CC4" s="361"/>
    </row>
    <row r="5" spans="1:81" s="490" customFormat="1" ht="8.1" customHeight="1" x14ac:dyDescent="0.2">
      <c r="A5" s="357"/>
      <c r="B5" s="780"/>
      <c r="C5" s="647"/>
      <c r="D5" s="647"/>
      <c r="E5" s="649"/>
      <c r="F5" s="647"/>
      <c r="G5" s="780"/>
      <c r="H5" s="655"/>
      <c r="I5" s="647"/>
      <c r="J5" s="647"/>
      <c r="K5" s="780"/>
      <c r="L5" s="780"/>
      <c r="M5" s="780"/>
      <c r="N5" s="780"/>
      <c r="O5" s="780"/>
      <c r="P5" s="780"/>
      <c r="Q5" s="780"/>
      <c r="R5" s="780"/>
      <c r="S5" s="780"/>
      <c r="T5" s="357"/>
      <c r="U5" s="357"/>
      <c r="V5" s="357"/>
      <c r="W5" s="357"/>
      <c r="X5" s="357"/>
      <c r="Y5" s="361"/>
      <c r="Z5" s="361"/>
      <c r="AA5" s="361"/>
      <c r="AB5" s="361"/>
      <c r="AC5" s="361"/>
      <c r="AD5" s="361"/>
      <c r="AE5" s="361"/>
      <c r="AF5" s="361"/>
      <c r="AG5" s="361"/>
      <c r="AH5" s="361"/>
      <c r="AI5" s="361"/>
      <c r="AJ5" s="361"/>
      <c r="AK5" s="361"/>
      <c r="AL5" s="361"/>
      <c r="AM5" s="361"/>
      <c r="AN5" s="361"/>
      <c r="AO5" s="361"/>
      <c r="AP5" s="361"/>
      <c r="AQ5" s="361"/>
      <c r="AR5" s="361"/>
      <c r="AS5" s="361"/>
      <c r="AT5" s="361"/>
      <c r="AU5" s="361"/>
      <c r="AV5" s="361"/>
      <c r="AW5" s="361"/>
      <c r="AX5" s="361"/>
      <c r="AY5" s="361"/>
      <c r="AZ5" s="361"/>
      <c r="BA5" s="361"/>
      <c r="BB5" s="361"/>
      <c r="BC5" s="361"/>
      <c r="BD5" s="361"/>
      <c r="BE5" s="361"/>
      <c r="BF5" s="361"/>
      <c r="BG5" s="361"/>
      <c r="BH5" s="361"/>
      <c r="BI5" s="361"/>
      <c r="BJ5" s="361"/>
      <c r="BK5" s="361"/>
      <c r="BL5" s="361"/>
      <c r="BM5" s="361"/>
      <c r="BN5" s="361"/>
      <c r="BO5" s="361"/>
      <c r="BP5" s="361"/>
      <c r="BQ5" s="361"/>
      <c r="BR5" s="361"/>
      <c r="BS5" s="361"/>
      <c r="BT5" s="361"/>
      <c r="BU5" s="361"/>
      <c r="BV5" s="361"/>
      <c r="BW5" s="361"/>
      <c r="BX5" s="361"/>
      <c r="BY5" s="361"/>
      <c r="BZ5" s="361"/>
      <c r="CA5" s="361"/>
      <c r="CB5" s="361"/>
      <c r="CC5" s="361"/>
    </row>
    <row r="7" spans="1:81" ht="20.100000000000001" customHeight="1" x14ac:dyDescent="0.2">
      <c r="A7" s="399"/>
      <c r="B7" s="700" t="s">
        <v>110</v>
      </c>
      <c r="C7" s="701"/>
      <c r="D7" s="701" t="s">
        <v>572</v>
      </c>
      <c r="E7" s="701"/>
      <c r="F7" s="701"/>
      <c r="G7" s="700"/>
      <c r="H7" s="702"/>
      <c r="I7" s="700"/>
      <c r="J7" s="700"/>
      <c r="K7" s="700"/>
      <c r="L7" s="700"/>
      <c r="M7" s="700"/>
      <c r="N7" s="700"/>
    </row>
    <row r="8" spans="1:81" x14ac:dyDescent="0.2">
      <c r="B8" s="541"/>
    </row>
    <row r="9" spans="1:81" ht="18.75" customHeight="1" x14ac:dyDescent="0.2">
      <c r="B9" s="682" t="s">
        <v>570</v>
      </c>
      <c r="C9" s="683" t="str">
        <f>PedBerLab!C3</f>
        <v/>
      </c>
      <c r="D9" s="682" t="s">
        <v>358</v>
      </c>
      <c r="E9" s="683" t="str">
        <f>PedBerLab!E3</f>
        <v/>
      </c>
      <c r="F9" s="682" t="s">
        <v>359</v>
      </c>
      <c r="G9" s="683" t="str">
        <f>PedBerLab!G3</f>
        <v/>
      </c>
      <c r="H9" s="682" t="s">
        <v>111</v>
      </c>
      <c r="I9" s="683" t="str">
        <f>PedBerLab!I3</f>
        <v/>
      </c>
      <c r="J9" s="682"/>
      <c r="K9" s="682" t="s">
        <v>18</v>
      </c>
      <c r="L9" s="683" t="str">
        <f>PedBerLab!L3</f>
        <v/>
      </c>
    </row>
    <row r="10" spans="1:81" ht="26.25" customHeight="1" x14ac:dyDescent="0.2">
      <c r="B10" s="412"/>
      <c r="C10" s="412"/>
      <c r="D10" s="412"/>
      <c r="E10" s="412"/>
      <c r="F10" s="412"/>
      <c r="G10" s="412"/>
      <c r="H10" s="412"/>
      <c r="I10" s="412"/>
      <c r="J10" s="400"/>
      <c r="K10" s="412"/>
      <c r="L10" s="412"/>
    </row>
    <row r="11" spans="1:81" ht="26.25" customHeight="1" x14ac:dyDescent="0.2">
      <c r="B11" s="412"/>
      <c r="C11" s="412"/>
      <c r="D11" s="412"/>
      <c r="E11" s="412"/>
      <c r="F11" s="412"/>
      <c r="G11" s="412"/>
      <c r="H11" s="412"/>
      <c r="I11" s="412"/>
      <c r="J11" s="400"/>
      <c r="K11" s="412"/>
      <c r="L11" s="412"/>
    </row>
    <row r="12" spans="1:81" ht="26.25" customHeight="1" x14ac:dyDescent="0.2">
      <c r="A12" s="399"/>
      <c r="B12" s="412"/>
      <c r="C12" s="412"/>
      <c r="D12" s="412"/>
      <c r="E12" s="412"/>
      <c r="F12" s="412"/>
      <c r="G12" s="412"/>
      <c r="H12" s="412"/>
      <c r="I12" s="412"/>
      <c r="J12" s="400"/>
      <c r="K12" s="412"/>
      <c r="L12" s="412"/>
    </row>
    <row r="13" spans="1:81" ht="26.25" customHeight="1" x14ac:dyDescent="0.2">
      <c r="B13" s="412"/>
      <c r="C13" s="412"/>
      <c r="D13" s="412"/>
      <c r="E13" s="412"/>
      <c r="F13" s="412"/>
      <c r="G13" s="412"/>
      <c r="H13" s="412"/>
      <c r="I13" s="412"/>
      <c r="J13" s="400"/>
      <c r="K13" s="412"/>
      <c r="L13" s="412"/>
    </row>
    <row r="14" spans="1:81" ht="26.25" customHeight="1" x14ac:dyDescent="0.2">
      <c r="B14" s="412"/>
      <c r="C14" s="412"/>
      <c r="D14" s="412"/>
      <c r="E14" s="412"/>
      <c r="F14" s="412"/>
      <c r="G14" s="412"/>
      <c r="H14" s="412"/>
      <c r="I14" s="412"/>
      <c r="J14" s="400"/>
      <c r="K14" s="412"/>
      <c r="L14" s="412"/>
    </row>
    <row r="15" spans="1:81" ht="26.25" customHeight="1" x14ac:dyDescent="0.2">
      <c r="B15" s="412"/>
      <c r="C15" s="412"/>
      <c r="D15" s="412"/>
      <c r="E15" s="412"/>
      <c r="F15" s="412"/>
      <c r="G15" s="412"/>
      <c r="H15" s="412"/>
      <c r="I15" s="412"/>
      <c r="J15" s="400"/>
      <c r="K15" s="412"/>
      <c r="L15" s="412"/>
    </row>
    <row r="16" spans="1:81" ht="26.25" customHeight="1" x14ac:dyDescent="0.2">
      <c r="B16" s="412"/>
      <c r="C16" s="412"/>
      <c r="D16" s="412"/>
      <c r="E16" s="412"/>
      <c r="F16" s="412"/>
      <c r="G16" s="412"/>
      <c r="H16" s="412"/>
      <c r="I16" s="412"/>
      <c r="J16" s="400"/>
      <c r="K16" s="412"/>
      <c r="L16" s="412"/>
    </row>
    <row r="17" spans="2:12" ht="26.25" customHeight="1" x14ac:dyDescent="0.2">
      <c r="B17" s="412"/>
      <c r="C17" s="412"/>
      <c r="D17" s="412"/>
      <c r="E17" s="412"/>
      <c r="F17" s="412"/>
      <c r="G17" s="412"/>
      <c r="H17" s="412"/>
      <c r="I17" s="412"/>
      <c r="J17" s="400"/>
      <c r="K17" s="412"/>
      <c r="L17" s="412"/>
    </row>
    <row r="18" spans="2:12" ht="26.25" customHeight="1" x14ac:dyDescent="0.2">
      <c r="B18" s="412"/>
      <c r="C18" s="412"/>
      <c r="D18" s="412"/>
      <c r="E18" s="412"/>
      <c r="F18" s="412"/>
      <c r="G18" s="412"/>
      <c r="H18" s="412"/>
      <c r="I18" s="412"/>
      <c r="J18" s="400"/>
      <c r="K18" s="412"/>
      <c r="L18" s="412"/>
    </row>
    <row r="19" spans="2:12" ht="26.25" customHeight="1" x14ac:dyDescent="0.2">
      <c r="B19" s="412"/>
      <c r="C19" s="412"/>
      <c r="D19" s="412"/>
      <c r="E19" s="412"/>
      <c r="F19" s="412"/>
      <c r="G19" s="412"/>
      <c r="H19" s="412"/>
      <c r="I19" s="412"/>
      <c r="J19" s="400"/>
      <c r="K19" s="412"/>
      <c r="L19" s="412"/>
    </row>
    <row r="20" spans="2:12" ht="26.25" customHeight="1" x14ac:dyDescent="0.2">
      <c r="B20" s="412"/>
      <c r="C20" s="412"/>
      <c r="D20" s="412"/>
      <c r="E20" s="412"/>
      <c r="F20" s="412"/>
      <c r="G20" s="412"/>
      <c r="H20" s="412"/>
      <c r="I20" s="412"/>
      <c r="J20" s="400"/>
      <c r="K20" s="412"/>
      <c r="L20" s="412"/>
    </row>
    <row r="21" spans="2:12" ht="26.25" customHeight="1" x14ac:dyDescent="0.2">
      <c r="B21" s="412"/>
      <c r="C21" s="412"/>
      <c r="D21" s="412"/>
      <c r="E21" s="412"/>
      <c r="F21" s="412"/>
      <c r="G21" s="412"/>
      <c r="H21" s="412"/>
      <c r="I21" s="412"/>
      <c r="J21" s="400"/>
      <c r="K21" s="412"/>
      <c r="L21" s="412"/>
    </row>
    <row r="22" spans="2:12" ht="26.25" customHeight="1" x14ac:dyDescent="0.2">
      <c r="B22" s="412"/>
      <c r="C22" s="412"/>
      <c r="D22" s="412"/>
      <c r="E22" s="412"/>
      <c r="F22" s="412"/>
      <c r="G22" s="412"/>
      <c r="H22" s="412"/>
      <c r="I22" s="412"/>
      <c r="J22" s="400"/>
      <c r="K22" s="412"/>
      <c r="L22" s="412"/>
    </row>
    <row r="23" spans="2:12" ht="26.25" customHeight="1" x14ac:dyDescent="0.2">
      <c r="B23" s="412"/>
      <c r="C23" s="412"/>
      <c r="D23" s="412"/>
      <c r="E23" s="412"/>
      <c r="F23" s="412"/>
      <c r="G23" s="412"/>
      <c r="H23" s="412"/>
      <c r="I23" s="412"/>
      <c r="J23" s="400"/>
      <c r="K23" s="412"/>
      <c r="L23" s="412"/>
    </row>
    <row r="24" spans="2:12" ht="26.25" customHeight="1" x14ac:dyDescent="0.2">
      <c r="B24" s="412"/>
      <c r="C24" s="412"/>
      <c r="D24" s="412"/>
      <c r="E24" s="412"/>
      <c r="F24" s="412"/>
      <c r="G24" s="412"/>
      <c r="H24" s="412"/>
      <c r="I24" s="412"/>
      <c r="J24" s="400"/>
      <c r="K24" s="412"/>
      <c r="L24" s="412"/>
    </row>
    <row r="25" spans="2:12" ht="26.25" customHeight="1" x14ac:dyDescent="0.2">
      <c r="B25" s="412"/>
      <c r="C25" s="412"/>
      <c r="D25" s="412"/>
      <c r="E25" s="412"/>
      <c r="F25" s="412"/>
      <c r="G25" s="412"/>
      <c r="H25" s="412"/>
      <c r="I25" s="412"/>
      <c r="J25" s="400"/>
      <c r="K25" s="412"/>
      <c r="L25" s="412"/>
    </row>
    <row r="26" spans="2:12" ht="26.25" customHeight="1" x14ac:dyDescent="0.2">
      <c r="B26" s="412"/>
      <c r="C26" s="412"/>
      <c r="D26" s="412"/>
      <c r="E26" s="412"/>
      <c r="F26" s="412"/>
      <c r="G26" s="412"/>
      <c r="H26" s="412"/>
      <c r="I26" s="412"/>
      <c r="J26" s="400"/>
      <c r="K26" s="412"/>
      <c r="L26" s="412"/>
    </row>
    <row r="27" spans="2:12" ht="26.25" customHeight="1" x14ac:dyDescent="0.2">
      <c r="B27" s="412"/>
      <c r="C27" s="412"/>
      <c r="D27" s="412"/>
      <c r="E27" s="412"/>
      <c r="F27" s="412"/>
      <c r="G27" s="412"/>
      <c r="H27" s="412"/>
      <c r="I27" s="412"/>
      <c r="J27" s="400"/>
      <c r="K27" s="412"/>
      <c r="L27" s="412"/>
    </row>
    <row r="28" spans="2:12" ht="26.25" customHeight="1" x14ac:dyDescent="0.2">
      <c r="B28" s="412"/>
      <c r="C28" s="412"/>
      <c r="D28" s="412"/>
      <c r="E28" s="412"/>
      <c r="F28" s="412"/>
      <c r="G28" s="412"/>
      <c r="H28" s="412"/>
      <c r="I28" s="412"/>
      <c r="J28" s="400"/>
      <c r="K28" s="412"/>
      <c r="L28" s="412"/>
    </row>
    <row r="29" spans="2:12" ht="26.25" customHeight="1" x14ac:dyDescent="0.2">
      <c r="B29" s="412"/>
      <c r="C29" s="412"/>
      <c r="D29" s="412"/>
      <c r="E29" s="412"/>
      <c r="F29" s="412"/>
      <c r="G29" s="412"/>
      <c r="H29" s="412"/>
      <c r="I29" s="412"/>
      <c r="J29" s="400"/>
      <c r="K29" s="412"/>
      <c r="L29" s="412"/>
    </row>
    <row r="30" spans="2:12" ht="26.25" customHeight="1" x14ac:dyDescent="0.2">
      <c r="B30" s="412"/>
      <c r="C30" s="412"/>
      <c r="D30" s="412"/>
      <c r="E30" s="412"/>
      <c r="F30" s="412"/>
      <c r="G30" s="412"/>
      <c r="H30" s="412"/>
      <c r="I30" s="412"/>
      <c r="J30" s="400"/>
      <c r="K30" s="412"/>
      <c r="L30" s="412"/>
    </row>
    <row r="31" spans="2:12" ht="26.25" customHeight="1" x14ac:dyDescent="0.2">
      <c r="B31" s="412"/>
      <c r="C31" s="412"/>
      <c r="D31" s="412"/>
      <c r="E31" s="412"/>
      <c r="F31" s="412"/>
      <c r="G31" s="412"/>
      <c r="H31" s="412"/>
      <c r="I31" s="412"/>
      <c r="J31" s="400"/>
      <c r="K31" s="412"/>
      <c r="L31" s="412"/>
    </row>
    <row r="32" spans="2:12" ht="26.25" customHeight="1" x14ac:dyDescent="0.2">
      <c r="B32" s="412"/>
      <c r="C32" s="412"/>
      <c r="D32" s="412"/>
      <c r="E32" s="412"/>
      <c r="F32" s="412"/>
      <c r="G32" s="412"/>
      <c r="H32" s="412"/>
      <c r="I32" s="412"/>
      <c r="J32" s="400"/>
      <c r="K32" s="412"/>
      <c r="L32" s="412"/>
    </row>
    <row r="33" spans="2:12" ht="26.25" customHeight="1" x14ac:dyDescent="0.2">
      <c r="B33" s="412"/>
      <c r="C33" s="412"/>
      <c r="D33" s="412"/>
      <c r="E33" s="412"/>
      <c r="F33" s="412"/>
      <c r="G33" s="412"/>
      <c r="H33" s="412"/>
      <c r="I33" s="412"/>
      <c r="J33" s="400"/>
      <c r="K33" s="412"/>
      <c r="L33" s="412"/>
    </row>
    <row r="34" spans="2:12" ht="26.25" customHeight="1" x14ac:dyDescent="0.2">
      <c r="B34" s="412"/>
      <c r="C34" s="412"/>
      <c r="D34" s="412"/>
      <c r="E34" s="412"/>
      <c r="F34" s="412"/>
      <c r="G34" s="412"/>
      <c r="H34" s="412"/>
      <c r="I34" s="412"/>
      <c r="J34" s="400"/>
      <c r="K34" s="412"/>
      <c r="L34" s="412"/>
    </row>
    <row r="35" spans="2:12" ht="26.25" customHeight="1" x14ac:dyDescent="0.2">
      <c r="B35" s="412"/>
      <c r="C35" s="412"/>
      <c r="D35" s="412"/>
      <c r="E35" s="412"/>
      <c r="F35" s="412"/>
      <c r="G35" s="412"/>
      <c r="H35" s="412"/>
      <c r="I35" s="412"/>
      <c r="J35" s="400"/>
      <c r="K35" s="412"/>
      <c r="L35" s="412"/>
    </row>
    <row r="36" spans="2:12" ht="26.25" customHeight="1" x14ac:dyDescent="0.2">
      <c r="B36" s="412"/>
      <c r="C36" s="412"/>
      <c r="D36" s="412"/>
      <c r="E36" s="412"/>
      <c r="F36" s="412"/>
      <c r="G36" s="412"/>
      <c r="H36" s="412"/>
      <c r="I36" s="412"/>
      <c r="J36" s="400"/>
      <c r="K36" s="412"/>
      <c r="L36" s="412"/>
    </row>
    <row r="37" spans="2:12" ht="26.25" customHeight="1" x14ac:dyDescent="0.2">
      <c r="B37" s="412"/>
      <c r="C37" s="412"/>
      <c r="D37" s="412"/>
      <c r="E37" s="412"/>
      <c r="F37" s="412"/>
      <c r="G37" s="412"/>
      <c r="H37" s="412"/>
      <c r="I37" s="412"/>
      <c r="J37" s="400"/>
      <c r="K37" s="412"/>
      <c r="L37" s="412"/>
    </row>
    <row r="38" spans="2:12" ht="26.25" customHeight="1" x14ac:dyDescent="0.2">
      <c r="B38" s="412"/>
      <c r="C38" s="412"/>
      <c r="D38" s="412"/>
      <c r="E38" s="412"/>
      <c r="F38" s="412"/>
      <c r="G38" s="412"/>
      <c r="H38" s="412"/>
      <c r="I38" s="412"/>
      <c r="J38" s="400"/>
      <c r="K38" s="412"/>
      <c r="L38" s="412"/>
    </row>
    <row r="39" spans="2:12" ht="26.25" customHeight="1" x14ac:dyDescent="0.2">
      <c r="B39" s="412"/>
      <c r="C39" s="412"/>
      <c r="D39" s="412"/>
      <c r="E39" s="412"/>
      <c r="F39" s="412"/>
      <c r="G39" s="412"/>
      <c r="H39" s="412"/>
      <c r="I39" s="412"/>
      <c r="J39" s="400"/>
      <c r="K39" s="412"/>
      <c r="L39" s="412"/>
    </row>
    <row r="40" spans="2:12" ht="26.25" customHeight="1" x14ac:dyDescent="0.2">
      <c r="B40" s="412"/>
      <c r="C40" s="412"/>
      <c r="D40" s="412"/>
      <c r="E40" s="412"/>
      <c r="F40" s="412"/>
      <c r="G40" s="412"/>
      <c r="H40" s="412"/>
      <c r="I40" s="412"/>
      <c r="J40" s="400"/>
      <c r="K40" s="412"/>
      <c r="L40" s="412"/>
    </row>
    <row r="41" spans="2:12" ht="26.25" customHeight="1" x14ac:dyDescent="0.2">
      <c r="B41" s="412"/>
      <c r="C41" s="412"/>
      <c r="D41" s="412"/>
      <c r="E41" s="412"/>
      <c r="F41" s="412"/>
      <c r="G41" s="412"/>
      <c r="H41" s="412"/>
      <c r="I41" s="412"/>
      <c r="J41" s="400"/>
      <c r="K41" s="412"/>
      <c r="L41" s="412"/>
    </row>
    <row r="42" spans="2:12" ht="15.95" customHeight="1" x14ac:dyDescent="0.2">
      <c r="B42" s="400"/>
      <c r="C42" s="543"/>
      <c r="D42" s="400"/>
      <c r="E42" s="400"/>
      <c r="F42" s="400"/>
      <c r="G42" s="400"/>
      <c r="H42" s="400"/>
      <c r="I42" s="400"/>
      <c r="J42" s="400"/>
      <c r="K42" s="400"/>
      <c r="L42" s="400"/>
    </row>
    <row r="43" spans="2:12" ht="20.100000000000001" customHeight="1" x14ac:dyDescent="0.2">
      <c r="B43" s="682" t="s">
        <v>225</v>
      </c>
      <c r="C43" s="682"/>
      <c r="D43" s="836" t="str">
        <f>IF(_Ped_Lab_Opm=0,"",_Ped_Lab_Opm)</f>
        <v/>
      </c>
      <c r="E43" s="837"/>
      <c r="F43" s="837"/>
      <c r="G43" s="837"/>
      <c r="H43" s="837"/>
      <c r="I43" s="837"/>
      <c r="J43" s="837"/>
      <c r="K43" s="837"/>
      <c r="L43" s="837"/>
    </row>
    <row r="44" spans="2:12" ht="20.100000000000001" customHeight="1" x14ac:dyDescent="0.2">
      <c r="B44" s="682"/>
      <c r="C44" s="682"/>
      <c r="D44" s="837"/>
      <c r="E44" s="837"/>
      <c r="F44" s="837"/>
      <c r="G44" s="837"/>
      <c r="H44" s="837"/>
      <c r="I44" s="837"/>
      <c r="J44" s="837"/>
      <c r="K44" s="837"/>
      <c r="L44" s="837"/>
    </row>
  </sheetData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1" t="b">
        <v>0</v>
      </c>
      <c r="D4" s="109" t="str">
        <f>IF(E4,"A","")</f>
        <v/>
      </c>
      <c r="E4" s="341" t="b">
        <v>0</v>
      </c>
      <c r="F4" s="109" t="str">
        <f>IF(G4,"A","")</f>
        <v/>
      </c>
      <c r="G4" s="341" t="b">
        <v>0</v>
      </c>
      <c r="H4" s="109" t="str">
        <f>IF(I4,"A","")</f>
        <v/>
      </c>
      <c r="I4" s="341" t="b">
        <v>0</v>
      </c>
      <c r="K4" s="109" t="str">
        <f>IF(L4,"A","")</f>
        <v/>
      </c>
      <c r="L4" s="341" t="b">
        <v>0</v>
      </c>
      <c r="N4" s="235"/>
      <c r="P4" s="235"/>
    </row>
    <row r="5" spans="1:16" x14ac:dyDescent="0.2">
      <c r="B5" s="109" t="str">
        <f>IF(C5,"Na K","")</f>
        <v/>
      </c>
      <c r="C5" s="341" t="b">
        <v>0</v>
      </c>
      <c r="D5" s="109" t="str">
        <f>IF(E5,"Na K","")</f>
        <v/>
      </c>
      <c r="E5" s="341" t="b">
        <v>0</v>
      </c>
      <c r="F5" s="109" t="str">
        <f>IF(G5,"Na K","")</f>
        <v/>
      </c>
      <c r="G5" s="341" t="b">
        <v>0</v>
      </c>
      <c r="H5" s="109" t="str">
        <f>IF(I5,"Na K","")</f>
        <v/>
      </c>
      <c r="I5" s="341" t="b">
        <v>0</v>
      </c>
      <c r="K5" s="109" t="str">
        <f>IF(L5,"Na K","")</f>
        <v/>
      </c>
      <c r="L5" s="341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1" t="b">
        <v>0</v>
      </c>
      <c r="D6" s="109" t="str">
        <f>IF(E6,"Cl","")</f>
        <v/>
      </c>
      <c r="E6" s="341" t="b">
        <v>0</v>
      </c>
      <c r="F6" s="109" t="str">
        <f>IF(G6,"Cl","")</f>
        <v/>
      </c>
      <c r="G6" s="341" t="b">
        <v>0</v>
      </c>
      <c r="H6" s="109" t="str">
        <f>IF(I6,"Cl","")</f>
        <v/>
      </c>
      <c r="I6" s="341" t="b">
        <v>0</v>
      </c>
      <c r="K6" s="109" t="str">
        <f>IF(L6,"Cl","")</f>
        <v/>
      </c>
      <c r="L6" s="341" t="b">
        <v>0</v>
      </c>
      <c r="N6" s="235"/>
      <c r="P6" s="235"/>
    </row>
    <row r="7" spans="1:16" x14ac:dyDescent="0.2">
      <c r="B7" s="109" t="str">
        <f>IF(C7,"Gluc","")</f>
        <v/>
      </c>
      <c r="C7" s="341" t="b">
        <v>0</v>
      </c>
      <c r="D7" s="109" t="str">
        <f>IF(E7,"Gluc","")</f>
        <v/>
      </c>
      <c r="E7" s="341" t="b">
        <v>0</v>
      </c>
      <c r="F7" s="109" t="str">
        <f>IF(G7,"Gluc","")</f>
        <v/>
      </c>
      <c r="G7" s="341" t="b">
        <v>0</v>
      </c>
      <c r="H7" s="109" t="str">
        <f>IF(I7,"Gluc","")</f>
        <v/>
      </c>
      <c r="I7" s="341" t="b">
        <v>0</v>
      </c>
      <c r="K7" s="109" t="str">
        <f>IF(L7,"Gluc","")</f>
        <v/>
      </c>
      <c r="L7" s="341" t="b">
        <v>0</v>
      </c>
      <c r="N7" s="235"/>
      <c r="P7" s="235"/>
    </row>
    <row r="8" spans="1:16" x14ac:dyDescent="0.2">
      <c r="B8" s="109" t="str">
        <f>IF(C8,"Hb Ht","")</f>
        <v/>
      </c>
      <c r="C8" s="341" t="b">
        <v>0</v>
      </c>
      <c r="D8" s="109" t="str">
        <f>IF(E8,"Hb Ht","")</f>
        <v/>
      </c>
      <c r="E8" s="341" t="b">
        <v>0</v>
      </c>
      <c r="F8" s="109" t="str">
        <f>IF(G8,"Hb Ht","")</f>
        <v/>
      </c>
      <c r="G8" s="341" t="b">
        <v>0</v>
      </c>
      <c r="H8" s="109" t="str">
        <f>IF(I8,"Hb Ht","")</f>
        <v/>
      </c>
      <c r="I8" s="341" t="b">
        <v>0</v>
      </c>
      <c r="K8" s="109" t="str">
        <f>IF(L8,"Hb Ht","")</f>
        <v/>
      </c>
      <c r="L8" s="341" t="b">
        <v>0</v>
      </c>
      <c r="N8" s="235"/>
      <c r="P8" s="235"/>
    </row>
    <row r="9" spans="1:16" x14ac:dyDescent="0.2">
      <c r="B9" s="109" t="str">
        <f>IF(C9,"L","")</f>
        <v/>
      </c>
      <c r="C9" s="341" t="b">
        <v>0</v>
      </c>
      <c r="D9" s="109" t="str">
        <f>IF(E9,"L","")</f>
        <v/>
      </c>
      <c r="E9" s="341" t="b">
        <v>0</v>
      </c>
      <c r="F9" s="109" t="str">
        <f>IF(G9,"L","")</f>
        <v/>
      </c>
      <c r="G9" s="341" t="b">
        <v>0</v>
      </c>
      <c r="H9" s="109" t="str">
        <f>IF(I9,"L","")</f>
        <v/>
      </c>
      <c r="I9" s="341" t="b">
        <v>0</v>
      </c>
      <c r="K9" s="109" t="str">
        <f>IF(L9,"L","")</f>
        <v/>
      </c>
      <c r="L9" s="341" t="b">
        <v>0</v>
      </c>
      <c r="N9" s="235"/>
      <c r="P9" s="235"/>
    </row>
    <row r="10" spans="1:16" x14ac:dyDescent="0.2">
      <c r="B10" s="109" t="str">
        <f>IF(C10,"T","")</f>
        <v/>
      </c>
      <c r="C10" s="341" t="b">
        <v>0</v>
      </c>
      <c r="D10" s="109" t="str">
        <f>IF(E10,"T","")</f>
        <v/>
      </c>
      <c r="E10" s="341" t="b">
        <v>0</v>
      </c>
      <c r="F10" s="109" t="str">
        <f>IF(G10,"T","")</f>
        <v/>
      </c>
      <c r="G10" s="341" t="b">
        <v>0</v>
      </c>
      <c r="H10" s="109" t="str">
        <f>IF(I10,"T","")</f>
        <v/>
      </c>
      <c r="I10" s="341" t="b">
        <v>0</v>
      </c>
      <c r="K10" s="109" t="str">
        <f>IF(L10,"T","")</f>
        <v/>
      </c>
      <c r="L10" s="341" t="b">
        <v>0</v>
      </c>
      <c r="N10" s="235"/>
      <c r="P10" s="235"/>
    </row>
    <row r="11" spans="1:16" x14ac:dyDescent="0.2">
      <c r="B11" s="109" t="str">
        <f>IF(C11,"CRP","")</f>
        <v/>
      </c>
      <c r="C11" s="341" t="b">
        <v>0</v>
      </c>
      <c r="D11" s="109" t="str">
        <f>IF(E11,"CRP","")</f>
        <v/>
      </c>
      <c r="E11" s="341" t="b">
        <v>0</v>
      </c>
      <c r="F11" s="109" t="str">
        <f>IF(G11,"CRP","")</f>
        <v/>
      </c>
      <c r="G11" s="341" t="b">
        <v>0</v>
      </c>
      <c r="H11" s="109" t="str">
        <f>IF(I11,"CRP","")</f>
        <v/>
      </c>
      <c r="I11" s="341" t="b">
        <v>0</v>
      </c>
      <c r="K11" s="109" t="str">
        <f>IF(L11,"CRP","")</f>
        <v/>
      </c>
      <c r="L11" s="341" t="b">
        <v>0</v>
      </c>
      <c r="N11" s="235"/>
      <c r="P11" s="235"/>
    </row>
    <row r="12" spans="1:16" x14ac:dyDescent="0.2">
      <c r="B12" s="109" t="str">
        <f>IF(C12,"Lac","")</f>
        <v/>
      </c>
      <c r="C12" s="341" t="b">
        <v>0</v>
      </c>
      <c r="D12" s="109" t="str">
        <f>IF(E12,"Lac","")</f>
        <v/>
      </c>
      <c r="E12" s="341" t="b">
        <v>0</v>
      </c>
      <c r="F12" s="109" t="str">
        <f>IF(G12,"Lac","")</f>
        <v/>
      </c>
      <c r="G12" s="341" t="b">
        <v>0</v>
      </c>
      <c r="H12" s="109" t="str">
        <f>IF(I12,"Lac","")</f>
        <v/>
      </c>
      <c r="I12" s="341" t="b">
        <v>0</v>
      </c>
      <c r="K12" s="109" t="str">
        <f>IF(L12,"Lac","")</f>
        <v/>
      </c>
      <c r="L12" s="341" t="b">
        <v>0</v>
      </c>
      <c r="N12" s="235"/>
      <c r="P12" s="235"/>
    </row>
    <row r="13" spans="1:16" x14ac:dyDescent="0.2">
      <c r="B13" s="109" t="str">
        <f>IF(C13,"Ur","")</f>
        <v/>
      </c>
      <c r="C13" s="341" t="b">
        <v>0</v>
      </c>
      <c r="D13" s="109" t="str">
        <f>IF(E13,"Ur","")</f>
        <v/>
      </c>
      <c r="E13" s="341" t="b">
        <v>0</v>
      </c>
      <c r="F13" s="109" t="str">
        <f>IF(G13,"Ur","")</f>
        <v/>
      </c>
      <c r="G13" s="341" t="b">
        <v>0</v>
      </c>
      <c r="H13" s="109" t="str">
        <f>IF(I13,"Ur","")</f>
        <v/>
      </c>
      <c r="I13" s="341" t="b">
        <v>0</v>
      </c>
      <c r="K13" s="109" t="str">
        <f>IF(L13,"Ur","")</f>
        <v/>
      </c>
      <c r="L13" s="341" t="b">
        <v>0</v>
      </c>
      <c r="N13" s="235"/>
      <c r="P13" s="235"/>
    </row>
    <row r="14" spans="1:16" x14ac:dyDescent="0.2">
      <c r="B14" s="109" t="str">
        <f>IF(C14,"Kr","")</f>
        <v/>
      </c>
      <c r="C14" s="341" t="b">
        <v>0</v>
      </c>
      <c r="D14" s="109" t="str">
        <f>IF(E14,"Kr","")</f>
        <v/>
      </c>
      <c r="E14" s="341" t="b">
        <v>0</v>
      </c>
      <c r="F14" s="109" t="str">
        <f>IF(G14,"Kr","")</f>
        <v/>
      </c>
      <c r="G14" s="341" t="b">
        <v>0</v>
      </c>
      <c r="H14" s="109" t="str">
        <f>IF(I14,"Kr","")</f>
        <v/>
      </c>
      <c r="I14" s="341" t="b">
        <v>0</v>
      </c>
      <c r="K14" s="109" t="str">
        <f>IF(L14,"Kr","")</f>
        <v/>
      </c>
      <c r="L14" s="341" t="b">
        <v>0</v>
      </c>
      <c r="N14" s="235"/>
      <c r="P14" s="235"/>
    </row>
    <row r="15" spans="1:16" x14ac:dyDescent="0.2">
      <c r="B15" s="109" t="str">
        <f>IF(C15,"Ca++","")</f>
        <v/>
      </c>
      <c r="C15" s="341" t="b">
        <v>0</v>
      </c>
      <c r="D15" s="109" t="str">
        <f>IF(E15,"Ca++","")</f>
        <v/>
      </c>
      <c r="E15" s="341" t="b">
        <v>0</v>
      </c>
      <c r="F15" s="109" t="str">
        <f>IF(G15,"Ca++","")</f>
        <v/>
      </c>
      <c r="G15" s="341" t="b">
        <v>0</v>
      </c>
      <c r="H15" s="109" t="str">
        <f>IF(I15,"Ca++","")</f>
        <v/>
      </c>
      <c r="I15" s="341" t="b">
        <v>0</v>
      </c>
      <c r="K15" s="109" t="str">
        <f>IF(L15,"Ca++","")</f>
        <v/>
      </c>
      <c r="L15" s="341" t="b">
        <v>0</v>
      </c>
      <c r="N15" s="235"/>
      <c r="P15" s="235"/>
    </row>
    <row r="16" spans="1:16" x14ac:dyDescent="0.2">
      <c r="B16" s="109" t="str">
        <f>IF(C16,"Mg++","")</f>
        <v/>
      </c>
      <c r="C16" s="341" t="b">
        <v>0</v>
      </c>
      <c r="D16" s="109" t="str">
        <f>IF(E16,"Mg++","")</f>
        <v/>
      </c>
      <c r="E16" s="341" t="b">
        <v>0</v>
      </c>
      <c r="F16" s="109" t="str">
        <f>IF(G16,"Mg++","")</f>
        <v/>
      </c>
      <c r="G16" s="341" t="b">
        <v>0</v>
      </c>
      <c r="H16" s="109" t="str">
        <f>IF(I16,"Mg++","")</f>
        <v/>
      </c>
      <c r="I16" s="341" t="b">
        <v>0</v>
      </c>
      <c r="K16" s="109" t="str">
        <f>IF(L16,"Mg++","")</f>
        <v/>
      </c>
      <c r="L16" s="341" t="b">
        <v>0</v>
      </c>
      <c r="N16" s="235"/>
      <c r="P16" s="235"/>
    </row>
    <row r="17" spans="2:16" x14ac:dyDescent="0.2">
      <c r="B17" s="109" t="str">
        <f>IF(C17,"Fosfaat","")</f>
        <v/>
      </c>
      <c r="C17" s="341" t="b">
        <v>0</v>
      </c>
      <c r="D17" s="109" t="str">
        <f>IF(E17,"Fosfaat","")</f>
        <v/>
      </c>
      <c r="E17" s="341" t="b">
        <v>0</v>
      </c>
      <c r="F17" s="109" t="str">
        <f>IF(G17,"Fosfaat","")</f>
        <v/>
      </c>
      <c r="G17" s="341" t="b">
        <v>0</v>
      </c>
      <c r="H17" s="109" t="str">
        <f>IF(I17,"Fosfaat","")</f>
        <v/>
      </c>
      <c r="I17" s="341" t="b">
        <v>0</v>
      </c>
      <c r="K17" s="109" t="str">
        <f>IF(L17,"Fosfaat","")</f>
        <v/>
      </c>
      <c r="L17" s="341" t="b">
        <v>0</v>
      </c>
      <c r="N17" s="235"/>
      <c r="P17" s="235"/>
    </row>
    <row r="18" spans="2:16" x14ac:dyDescent="0.2">
      <c r="B18" s="109" t="str">
        <f>IF(C18,"Alb","")</f>
        <v/>
      </c>
      <c r="C18" s="341" t="b">
        <v>0</v>
      </c>
      <c r="D18" s="109" t="str">
        <f>IF(E18,"Alb","")</f>
        <v/>
      </c>
      <c r="E18" s="341" t="b">
        <v>0</v>
      </c>
      <c r="F18" s="109" t="str">
        <f>IF(G18,"Alb","")</f>
        <v/>
      </c>
      <c r="G18" s="341" t="b">
        <v>0</v>
      </c>
      <c r="H18" s="109" t="str">
        <f>IF(I18,"Alb","")</f>
        <v/>
      </c>
      <c r="I18" s="341" t="b">
        <v>0</v>
      </c>
      <c r="K18" s="109" t="str">
        <f>IF(L18,"Alb","")</f>
        <v/>
      </c>
      <c r="L18" s="341" t="b">
        <v>0</v>
      </c>
      <c r="N18" s="235"/>
      <c r="P18" s="235"/>
    </row>
    <row r="19" spans="2:16" x14ac:dyDescent="0.2">
      <c r="B19" s="109" t="str">
        <f>IF(C19,"Ca","")</f>
        <v/>
      </c>
      <c r="C19" s="341" t="b">
        <v>0</v>
      </c>
      <c r="D19" s="109" t="str">
        <f>IF(E19,"Ca","")</f>
        <v/>
      </c>
      <c r="E19" s="341" t="b">
        <v>0</v>
      </c>
      <c r="F19" s="109" t="str">
        <f>IF(G19,"Ca","")</f>
        <v/>
      </c>
      <c r="G19" s="341" t="b">
        <v>0</v>
      </c>
      <c r="H19" s="109" t="str">
        <f>IF(I19,"Ca","")</f>
        <v/>
      </c>
      <c r="I19" s="341" t="b">
        <v>0</v>
      </c>
      <c r="K19" s="109" t="str">
        <f>IF(L19,"Ca","")</f>
        <v/>
      </c>
      <c r="L19" s="341" t="b">
        <v>0</v>
      </c>
      <c r="N19" s="235"/>
      <c r="P19" s="235"/>
    </row>
    <row r="20" spans="2:16" x14ac:dyDescent="0.2">
      <c r="B20" s="109" t="str">
        <f>IF(C20,"ASAT","")</f>
        <v/>
      </c>
      <c r="C20" s="341" t="b">
        <v>0</v>
      </c>
      <c r="D20" s="109" t="str">
        <f>IF(E20,"ASAT","")</f>
        <v/>
      </c>
      <c r="E20" s="341" t="b">
        <v>0</v>
      </c>
      <c r="F20" s="109" t="str">
        <f>IF(G20,"ASAT","")</f>
        <v/>
      </c>
      <c r="G20" s="341" t="b">
        <v>0</v>
      </c>
      <c r="H20" s="109" t="str">
        <f>IF(I20,"ASAT","")</f>
        <v/>
      </c>
      <c r="I20" s="341" t="b">
        <v>0</v>
      </c>
      <c r="K20" s="109" t="str">
        <f>IF(L20,"ASAT","")</f>
        <v/>
      </c>
      <c r="L20" s="341" t="b">
        <v>0</v>
      </c>
      <c r="N20" s="235"/>
      <c r="P20" s="235"/>
    </row>
    <row r="21" spans="2:16" x14ac:dyDescent="0.2">
      <c r="B21" s="109" t="str">
        <f>IF(C21,"ALAT","")</f>
        <v/>
      </c>
      <c r="C21" s="341" t="b">
        <v>0</v>
      </c>
      <c r="D21" s="109" t="str">
        <f>IF(E21,"ALAT","")</f>
        <v/>
      </c>
      <c r="E21" s="341" t="b">
        <v>0</v>
      </c>
      <c r="F21" s="109" t="str">
        <f>IF(G21,"ALAT","")</f>
        <v/>
      </c>
      <c r="G21" s="341" t="b">
        <v>0</v>
      </c>
      <c r="H21" s="109" t="str">
        <f>IF(I21,"ALAT","")</f>
        <v/>
      </c>
      <c r="I21" s="341" t="b">
        <v>0</v>
      </c>
      <c r="K21" s="109" t="str">
        <f>IF(L21,"Alat","")</f>
        <v/>
      </c>
      <c r="L21" s="341" t="b">
        <v>0</v>
      </c>
      <c r="N21" s="235"/>
      <c r="P21" s="235"/>
    </row>
    <row r="22" spans="2:16" x14ac:dyDescent="0.2">
      <c r="B22" s="109" t="str">
        <f>IF(C22,"GGT","")</f>
        <v/>
      </c>
      <c r="C22" s="341" t="b">
        <v>0</v>
      </c>
      <c r="D22" s="109" t="str">
        <f>IF(E22,"GGT","")</f>
        <v/>
      </c>
      <c r="E22" s="341" t="b">
        <v>0</v>
      </c>
      <c r="F22" s="109" t="str">
        <f>IF(G22,"GGT","")</f>
        <v/>
      </c>
      <c r="G22" s="341" t="b">
        <v>0</v>
      </c>
      <c r="H22" s="109" t="str">
        <f>IF(I22,"GGT","")</f>
        <v/>
      </c>
      <c r="I22" s="341" t="b">
        <v>0</v>
      </c>
      <c r="K22" s="109" t="str">
        <f>IF(L22,"GGT","")</f>
        <v/>
      </c>
      <c r="L22" s="341" t="b">
        <v>0</v>
      </c>
      <c r="N22" s="235"/>
      <c r="P22" s="235"/>
    </row>
    <row r="23" spans="2:16" x14ac:dyDescent="0.2">
      <c r="B23" s="109" t="str">
        <f>IF(C23,"AF","")</f>
        <v/>
      </c>
      <c r="C23" s="341" t="b">
        <v>0</v>
      </c>
      <c r="D23" s="109" t="str">
        <f>IF(E23,"AF","")</f>
        <v/>
      </c>
      <c r="E23" s="341" t="b">
        <v>0</v>
      </c>
      <c r="F23" s="109" t="str">
        <f>IF(G23,"AF","")</f>
        <v/>
      </c>
      <c r="G23" s="341" t="b">
        <v>0</v>
      </c>
      <c r="H23" s="109" t="str">
        <f>IF(I23,"AF","")</f>
        <v/>
      </c>
      <c r="I23" s="341" t="b">
        <v>0</v>
      </c>
      <c r="K23" s="109" t="str">
        <f>IF(L23,"AF","")</f>
        <v/>
      </c>
      <c r="L23" s="341" t="b">
        <v>0</v>
      </c>
      <c r="N23" s="235"/>
      <c r="P23" s="235"/>
    </row>
    <row r="24" spans="2:16" x14ac:dyDescent="0.2">
      <c r="B24" s="109" t="str">
        <f>IF(C24,"LDH","")</f>
        <v/>
      </c>
      <c r="C24" s="341" t="b">
        <v>0</v>
      </c>
      <c r="D24" s="109" t="str">
        <f>IF(E24,"LDH","")</f>
        <v/>
      </c>
      <c r="E24" s="341" t="b">
        <v>0</v>
      </c>
      <c r="F24" s="109" t="str">
        <f>IF(G24,"LDH","")</f>
        <v/>
      </c>
      <c r="G24" s="341" t="b">
        <v>0</v>
      </c>
      <c r="H24" s="109" t="str">
        <f>IF(I24,"LDH","")</f>
        <v/>
      </c>
      <c r="I24" s="341" t="b">
        <v>0</v>
      </c>
      <c r="K24" s="109" t="str">
        <f>IF(L24,"LDH","")</f>
        <v/>
      </c>
      <c r="L24" s="341" t="b">
        <v>0</v>
      </c>
      <c r="N24" s="235"/>
      <c r="P24" s="235"/>
    </row>
    <row r="25" spans="2:16" x14ac:dyDescent="0.2">
      <c r="B25" s="109" t="str">
        <f>IF(C25,"Bili","")</f>
        <v/>
      </c>
      <c r="C25" s="341" t="b">
        <v>0</v>
      </c>
      <c r="D25" s="109" t="str">
        <f>IF(E25,"Bili","")</f>
        <v/>
      </c>
      <c r="E25" s="341" t="b">
        <v>0</v>
      </c>
      <c r="F25" s="109" t="str">
        <f>IF(G25,"Bili","")</f>
        <v/>
      </c>
      <c r="G25" s="341" t="b">
        <v>0</v>
      </c>
      <c r="H25" s="109" t="str">
        <f>IF(I25,"Bili","")</f>
        <v/>
      </c>
      <c r="I25" s="341" t="b">
        <v>0</v>
      </c>
      <c r="K25" s="109" t="str">
        <f>IF(L25,"Blil","")</f>
        <v/>
      </c>
      <c r="L25" s="341" t="b">
        <v>0</v>
      </c>
      <c r="N25" s="235"/>
      <c r="P25" s="235"/>
    </row>
    <row r="26" spans="2:16" x14ac:dyDescent="0.2">
      <c r="B26" s="109" t="str">
        <f>IF(C26,"CK","")</f>
        <v/>
      </c>
      <c r="C26" s="341" t="b">
        <v>0</v>
      </c>
      <c r="D26" s="109" t="str">
        <f>IF(E26,"CK","")</f>
        <v/>
      </c>
      <c r="E26" s="341" t="b">
        <v>0</v>
      </c>
      <c r="F26" s="109" t="str">
        <f>IF(G26,"CK","")</f>
        <v/>
      </c>
      <c r="G26" s="341" t="b">
        <v>0</v>
      </c>
      <c r="H26" s="109" t="str">
        <f>IF(I26,"CK","")</f>
        <v/>
      </c>
      <c r="I26" s="341" t="b">
        <v>0</v>
      </c>
      <c r="K26" s="109" t="str">
        <f>IF(L26,"CK","")</f>
        <v/>
      </c>
      <c r="L26" s="341" t="b">
        <v>0</v>
      </c>
      <c r="N26" s="235"/>
      <c r="P26" s="235"/>
    </row>
    <row r="27" spans="2:16" x14ac:dyDescent="0.2">
      <c r="B27" s="109" t="str">
        <f>IF(C27,"TG","")</f>
        <v/>
      </c>
      <c r="C27" s="341" t="b">
        <v>0</v>
      </c>
      <c r="D27" s="109" t="str">
        <f>IF(E27,"TG","")</f>
        <v/>
      </c>
      <c r="E27" s="341" t="b">
        <v>0</v>
      </c>
      <c r="F27" s="109" t="str">
        <f>IF(G27,"TG","")</f>
        <v/>
      </c>
      <c r="G27" s="341" t="b">
        <v>0</v>
      </c>
      <c r="H27" s="109" t="str">
        <f>IF(I27,"TG","")</f>
        <v/>
      </c>
      <c r="I27" s="341" t="b">
        <v>0</v>
      </c>
      <c r="K27" s="109" t="str">
        <f>IF(L27,"TG","")</f>
        <v/>
      </c>
      <c r="L27" s="341" t="b">
        <v>0</v>
      </c>
      <c r="N27" s="235"/>
      <c r="P27" s="235"/>
    </row>
    <row r="28" spans="2:16" x14ac:dyDescent="0.2">
      <c r="B28" s="109" t="str">
        <f>IF(C28,"BG","")</f>
        <v/>
      </c>
      <c r="C28" s="341" t="b">
        <v>0</v>
      </c>
      <c r="D28" s="109" t="str">
        <f>IF(E28,"BG","")</f>
        <v/>
      </c>
      <c r="E28" s="341" t="b">
        <v>0</v>
      </c>
      <c r="F28" s="109" t="str">
        <f>IF(G28,"BG","")</f>
        <v/>
      </c>
      <c r="G28" s="341" t="b">
        <v>0</v>
      </c>
      <c r="H28" s="109" t="str">
        <f>IF(I28,"BG","")</f>
        <v/>
      </c>
      <c r="I28" s="341" t="b">
        <v>0</v>
      </c>
      <c r="K28" s="109" t="str">
        <f>IF(L28,"BG","")</f>
        <v/>
      </c>
      <c r="L28" s="341" t="b">
        <v>0</v>
      </c>
      <c r="N28" s="235"/>
      <c r="P28" s="235"/>
    </row>
    <row r="29" spans="2:16" x14ac:dyDescent="0.2">
      <c r="B29" s="109" t="str">
        <f>IF(C29,"PT","")</f>
        <v/>
      </c>
      <c r="C29" s="341" t="b">
        <v>0</v>
      </c>
      <c r="D29" s="109" t="str">
        <f>IF(E29,"PT","")</f>
        <v/>
      </c>
      <c r="E29" s="341" t="b">
        <v>0</v>
      </c>
      <c r="F29" s="109" t="str">
        <f>IF(G29,"PT","")</f>
        <v/>
      </c>
      <c r="G29" s="341" t="b">
        <v>0</v>
      </c>
      <c r="H29" s="109" t="str">
        <f>IF(I29,"PT","")</f>
        <v/>
      </c>
      <c r="I29" s="341" t="b">
        <v>0</v>
      </c>
      <c r="K29" s="109" t="str">
        <f>IF(L29,"PT","")</f>
        <v/>
      </c>
      <c r="L29" s="341" t="b">
        <v>0</v>
      </c>
      <c r="N29" s="235"/>
      <c r="P29" s="235"/>
    </row>
    <row r="30" spans="2:16" x14ac:dyDescent="0.2">
      <c r="B30" s="109" t="str">
        <f>IF(C30,"APTT","")</f>
        <v/>
      </c>
      <c r="C30" s="341" t="b">
        <v>0</v>
      </c>
      <c r="D30" s="109" t="str">
        <f>IF(E30,"APTT","")</f>
        <v/>
      </c>
      <c r="E30" s="341" t="b">
        <v>0</v>
      </c>
      <c r="F30" s="109" t="str">
        <f>IF(G30,"APTT","")</f>
        <v/>
      </c>
      <c r="G30" s="341" t="b">
        <v>0</v>
      </c>
      <c r="H30" s="109" t="str">
        <f>IF(I30,"APTT","")</f>
        <v/>
      </c>
      <c r="I30" s="341" t="b">
        <v>0</v>
      </c>
      <c r="K30" s="109" t="str">
        <f>IF(L30,"APTT","")</f>
        <v/>
      </c>
      <c r="L30" s="341" t="b">
        <v>0</v>
      </c>
      <c r="N30" s="235"/>
      <c r="P30" s="235"/>
    </row>
    <row r="31" spans="2:16" x14ac:dyDescent="0.2">
      <c r="B31" s="109" t="str">
        <f>IF(C31,"d-dimeren","")</f>
        <v/>
      </c>
      <c r="C31" s="341" t="b">
        <v>0</v>
      </c>
      <c r="D31" s="109" t="str">
        <f>IF(E31,"d-dimeren","")</f>
        <v/>
      </c>
      <c r="E31" s="341" t="b">
        <v>0</v>
      </c>
      <c r="F31" s="109" t="str">
        <f>IF(G31,"d-dimeren","")</f>
        <v/>
      </c>
      <c r="G31" s="341" t="b">
        <v>0</v>
      </c>
      <c r="H31" s="109" t="str">
        <f>IF(I31,"d-dimeren","")</f>
        <v/>
      </c>
      <c r="I31" s="341" t="b">
        <v>0</v>
      </c>
      <c r="K31" s="109" t="str">
        <f>IF(L31,"d-dimeren","")</f>
        <v/>
      </c>
      <c r="L31" s="341" t="b">
        <v>0</v>
      </c>
      <c r="N31" s="235"/>
      <c r="P31" s="235"/>
    </row>
    <row r="32" spans="2:16" x14ac:dyDescent="0.2">
      <c r="B32" s="109" t="str">
        <f>IF(C32,"INR","")</f>
        <v/>
      </c>
      <c r="C32" s="341" t="b">
        <v>0</v>
      </c>
      <c r="D32" s="109" t="str">
        <f>IF(E32,"INR","")</f>
        <v/>
      </c>
      <c r="E32" s="341" t="b">
        <v>0</v>
      </c>
      <c r="F32" s="109" t="str">
        <f t="shared" ref="F32" si="0">IF(G32,"INR","")</f>
        <v/>
      </c>
      <c r="G32" s="341" t="b">
        <v>0</v>
      </c>
      <c r="H32" s="109" t="str">
        <f t="shared" ref="H32" si="1">IF(I32,"INR","")</f>
        <v/>
      </c>
      <c r="I32" s="341" t="b">
        <v>0</v>
      </c>
      <c r="K32" s="109" t="str">
        <f t="shared" ref="K32:K35" si="2">IF(L32,"INR","")</f>
        <v/>
      </c>
      <c r="L32" s="341" t="b">
        <v>0</v>
      </c>
      <c r="N32" s="235"/>
      <c r="P32" s="235"/>
    </row>
    <row r="33" spans="1:16" x14ac:dyDescent="0.2">
      <c r="B33" s="109" t="str">
        <f>IF(C33,"Hep-ratio","")</f>
        <v/>
      </c>
      <c r="C33" s="341" t="b">
        <v>0</v>
      </c>
      <c r="D33" s="109" t="str">
        <f>IF(E33,"Hep-ratio","")</f>
        <v/>
      </c>
      <c r="E33" s="341" t="b">
        <v>0</v>
      </c>
      <c r="F33" s="109" t="str">
        <f>IF(G33,"Hep-ratio","")</f>
        <v/>
      </c>
      <c r="G33" s="341" t="b">
        <v>0</v>
      </c>
      <c r="H33" s="109" t="str">
        <f>IF(I33,"Hep-ratio","")</f>
        <v/>
      </c>
      <c r="I33" s="341" t="b">
        <v>0</v>
      </c>
      <c r="K33" s="109" t="str">
        <f>IF(L33,"Hep-ratio","")</f>
        <v/>
      </c>
      <c r="L33" s="341" t="b">
        <v>0</v>
      </c>
      <c r="N33" s="235"/>
      <c r="P33" s="235"/>
    </row>
    <row r="34" spans="1:16" x14ac:dyDescent="0.2">
      <c r="B34" s="109" t="str">
        <f>IF(C34,"BNP","")</f>
        <v/>
      </c>
      <c r="C34" s="341" t="b">
        <v>0</v>
      </c>
      <c r="D34" s="109" t="str">
        <f>IF(E34,"BNP","")</f>
        <v/>
      </c>
      <c r="E34" s="341" t="b">
        <v>0</v>
      </c>
      <c r="F34" s="109" t="str">
        <f>IF(G34,"BNP","")</f>
        <v/>
      </c>
      <c r="G34" s="341" t="b">
        <v>0</v>
      </c>
      <c r="H34" s="109" t="str">
        <f>IF(I34,"BNP","")</f>
        <v/>
      </c>
      <c r="I34" s="341" t="b">
        <v>0</v>
      </c>
      <c r="K34" s="109" t="str">
        <f>IF(L34,"BNP","")</f>
        <v/>
      </c>
      <c r="L34" s="341" t="b">
        <v>0</v>
      </c>
      <c r="N34" s="235"/>
      <c r="P34" s="235"/>
    </row>
    <row r="35" spans="1:16" x14ac:dyDescent="0.2">
      <c r="B35" s="109" t="str">
        <f>IF(C35,"ACT","")</f>
        <v/>
      </c>
      <c r="C35" s="341" t="b">
        <v>0</v>
      </c>
      <c r="G35" s="342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19" t="str">
        <f>ConcatenateRange(D$4:D$34,  ", ")</f>
        <v/>
      </c>
    </row>
    <row r="41" spans="1:16" x14ac:dyDescent="0.2">
      <c r="A41" s="109" t="s">
        <v>359</v>
      </c>
      <c r="B41" s="319" t="str">
        <f>ConcatenateRange(F$4:F$34,  ", ")</f>
        <v/>
      </c>
    </row>
    <row r="42" spans="1:16" x14ac:dyDescent="0.2">
      <c r="A42" s="109" t="s">
        <v>111</v>
      </c>
      <c r="B42" s="319" t="str">
        <f>ConcatenateRange(H$4:H$34,  ", ")</f>
        <v/>
      </c>
    </row>
    <row r="43" spans="1:16" x14ac:dyDescent="0.2">
      <c r="A43" s="109" t="s">
        <v>128</v>
      </c>
      <c r="B43" s="319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09" customWidth="1"/>
    <col min="3" max="3" width="25" style="409" customWidth="1"/>
    <col min="4" max="4" width="16.28515625" style="409" customWidth="1"/>
    <col min="5" max="5" width="16.7109375" style="409" customWidth="1"/>
    <col min="6" max="6" width="15" style="409" bestFit="1" customWidth="1"/>
    <col min="7" max="7" width="21.85546875" style="409" bestFit="1" customWidth="1"/>
    <col min="8" max="8" width="23.5703125" style="409" customWidth="1"/>
    <col min="9" max="9" width="15.7109375" style="409" customWidth="1"/>
    <col min="10" max="10" width="27" style="409" customWidth="1"/>
    <col min="11" max="11" width="15.5703125" style="409" customWidth="1"/>
    <col min="12" max="12" width="13" style="409" customWidth="1"/>
    <col min="13" max="46" width="9.140625" style="409" customWidth="1"/>
    <col min="47" max="16384" width="9.140625" style="409"/>
  </cols>
  <sheetData>
    <row r="1" spans="2:18" s="407" customFormat="1" ht="17.25" customHeight="1" x14ac:dyDescent="0.2">
      <c r="B1" s="666"/>
      <c r="C1" s="667"/>
      <c r="D1" s="667"/>
      <c r="E1" s="667"/>
      <c r="F1" s="667"/>
      <c r="G1" s="667"/>
      <c r="H1" s="667"/>
      <c r="I1" s="667"/>
      <c r="J1" s="667"/>
    </row>
    <row r="2" spans="2:18" s="407" customFormat="1" ht="17.25" customHeight="1" x14ac:dyDescent="0.2">
      <c r="B2" s="667"/>
      <c r="C2" s="668" t="s">
        <v>235</v>
      </c>
      <c r="D2" s="669" t="str">
        <f ca="1">Txt_Pat_AfspraakDat</f>
        <v>21-sep-2017</v>
      </c>
      <c r="E2" s="668"/>
      <c r="F2" s="670"/>
      <c r="G2" s="668" t="s">
        <v>236</v>
      </c>
      <c r="H2" s="668" t="str">
        <f>Txt_Pat_OpnameDat</f>
        <v/>
      </c>
      <c r="I2" s="668" t="str">
        <f>Txt_Pat_Gewicht</f>
        <v>Gewicht:</v>
      </c>
      <c r="J2" s="668" t="str">
        <f>Txt_Pat_Bed</f>
        <v/>
      </c>
    </row>
    <row r="3" spans="2:18" s="407" customFormat="1" ht="17.25" customHeight="1" x14ac:dyDescent="0.2">
      <c r="B3" s="667"/>
      <c r="C3" s="668" t="s">
        <v>27</v>
      </c>
      <c r="D3" s="671" t="str">
        <f>Txt_Pat_FullName</f>
        <v/>
      </c>
      <c r="E3" s="668"/>
      <c r="F3" s="670"/>
      <c r="G3" s="668" t="s">
        <v>242</v>
      </c>
      <c r="H3" s="668" t="str">
        <f ca="1">Txt_Pat_GeboorteDat</f>
        <v/>
      </c>
      <c r="I3" s="668" t="str">
        <f>Txt_Pat_Lengte</f>
        <v>Lengte:</v>
      </c>
      <c r="J3" s="667"/>
    </row>
    <row r="4" spans="2:18" s="407" customFormat="1" ht="17.25" customHeight="1" x14ac:dyDescent="0.2">
      <c r="B4" s="667"/>
      <c r="C4" s="668" t="s">
        <v>3493</v>
      </c>
      <c r="D4" s="668" t="str">
        <f>Txt_Pat_PatNo</f>
        <v/>
      </c>
      <c r="E4" s="668"/>
      <c r="F4" s="672"/>
      <c r="G4" s="668" t="s">
        <v>213</v>
      </c>
      <c r="H4" s="668" t="str">
        <f ca="1">Txt_Pat_Leeftijd</f>
        <v/>
      </c>
      <c r="I4" s="668" t="str">
        <f>Txt_Pat_Oppervlak</f>
        <v>Lichamelijk oppervlak:</v>
      </c>
      <c r="J4" s="667"/>
    </row>
    <row r="6" spans="2:18" x14ac:dyDescent="0.2">
      <c r="B6" s="516"/>
      <c r="C6" s="703" t="s">
        <v>582</v>
      </c>
      <c r="D6" s="703"/>
      <c r="E6" s="703"/>
      <c r="F6" s="703"/>
      <c r="G6" s="703" t="s">
        <v>589</v>
      </c>
      <c r="H6" s="703"/>
      <c r="I6" s="703"/>
      <c r="J6" s="703"/>
      <c r="R6" s="407"/>
    </row>
    <row r="7" spans="2:18" ht="18" customHeight="1" x14ac:dyDescent="0.2">
      <c r="R7" s="407"/>
    </row>
    <row r="8" spans="2:18" ht="18" customHeight="1" thickBot="1" x14ac:dyDescent="0.25">
      <c r="D8" s="510" t="str">
        <f>IF(PedBerAfspr!C7=0,"",PedBerAfspr!C7)</f>
        <v/>
      </c>
      <c r="R8" s="407"/>
    </row>
    <row r="9" spans="2:18" ht="18" customHeight="1" thickTop="1" thickBot="1" x14ac:dyDescent="0.25">
      <c r="D9" s="508" t="str">
        <f>IF(PedBerAfspr!C8=0,"",PedBerAfspr!C8)</f>
        <v/>
      </c>
      <c r="H9" s="507" t="str">
        <f>CONCATENATE("à ",PedBerAfspr!G16," uur")</f>
        <v>à 0 uur</v>
      </c>
      <c r="I9" s="517"/>
    </row>
    <row r="10" spans="2:18" ht="18" customHeight="1" thickTop="1" thickBot="1" x14ac:dyDescent="0.25">
      <c r="D10" s="508" t="str">
        <f>IF(PedBerAfspr!C9=0,"",PedBerAfspr!C9)</f>
        <v/>
      </c>
      <c r="H10" s="479" t="str">
        <f>CONCATENATE("à ",PedBerAfspr!G18," uur")</f>
        <v>à 0 uur</v>
      </c>
      <c r="I10" s="685" t="s">
        <v>806</v>
      </c>
      <c r="J10" s="544" t="str">
        <f>IF(_Ped_AfsprD_Verliezen=0,"",_Ped_AfsprD_Verliezen)</f>
        <v/>
      </c>
      <c r="K10" s="408"/>
      <c r="L10" s="408"/>
    </row>
    <row r="11" spans="2:18" ht="18" customHeight="1" thickTop="1" thickBot="1" x14ac:dyDescent="0.25">
      <c r="D11" s="529" t="str">
        <f>CONCATENATE(PedBerAfspr!$B$12," dd")</f>
        <v>0 dd</v>
      </c>
      <c r="J11" s="408"/>
      <c r="K11" s="408"/>
      <c r="L11" s="408"/>
    </row>
    <row r="12" spans="2:18" ht="18" customHeight="1" thickTop="1" x14ac:dyDescent="0.2">
      <c r="J12" s="408"/>
      <c r="K12" s="408"/>
      <c r="L12" s="408"/>
    </row>
    <row r="13" spans="2:18" ht="18" customHeight="1" x14ac:dyDescent="0.2">
      <c r="J13" s="519"/>
      <c r="N13" s="407"/>
    </row>
    <row r="14" spans="2:18" ht="18" customHeight="1" x14ac:dyDescent="0.2">
      <c r="N14" s="407"/>
    </row>
    <row r="15" spans="2:18" ht="18" customHeight="1" x14ac:dyDescent="0.2"/>
    <row r="16" spans="2:18" ht="18" customHeight="1" x14ac:dyDescent="0.2">
      <c r="N16" s="407"/>
    </row>
    <row r="17" spans="2:15" ht="18" customHeight="1" x14ac:dyDescent="0.2">
      <c r="G17" s="686" t="s">
        <v>726</v>
      </c>
      <c r="H17" s="686"/>
      <c r="I17" s="686"/>
      <c r="J17" s="686"/>
      <c r="N17" s="407"/>
    </row>
    <row r="18" spans="2:15" ht="18" customHeight="1" thickBot="1" x14ac:dyDescent="0.25">
      <c r="D18" s="518" t="str">
        <f>CONCATENATE(PedBerAfspr!$C$42," dd")</f>
        <v>0 dd</v>
      </c>
      <c r="G18" s="838" t="str">
        <f>IF(_Ped_AfsprOverig=0,"",_Ped_AfsprOverig)</f>
        <v/>
      </c>
      <c r="H18" s="839"/>
      <c r="I18" s="839"/>
      <c r="J18" s="839"/>
      <c r="L18" s="407"/>
      <c r="N18" s="407"/>
      <c r="O18" s="407"/>
    </row>
    <row r="19" spans="2:15" ht="18" customHeight="1" thickTop="1" thickBot="1" x14ac:dyDescent="0.25">
      <c r="D19" s="529" t="str">
        <f>CONCATENATE(PedBerAfspr!$C$43," dd")</f>
        <v>0 dd</v>
      </c>
      <c r="G19" s="839"/>
      <c r="H19" s="839"/>
      <c r="I19" s="839"/>
      <c r="J19" s="839"/>
      <c r="O19" s="407"/>
    </row>
    <row r="20" spans="2:15" ht="18" customHeight="1" thickTop="1" x14ac:dyDescent="0.2">
      <c r="G20" s="839"/>
      <c r="H20" s="839"/>
      <c r="I20" s="839"/>
      <c r="J20" s="839"/>
      <c r="L20" s="407"/>
      <c r="N20" s="407"/>
      <c r="O20" s="407"/>
    </row>
    <row r="21" spans="2:15" ht="18" customHeight="1" x14ac:dyDescent="0.2">
      <c r="H21" s="520"/>
      <c r="I21" s="521"/>
      <c r="N21" s="407"/>
      <c r="O21" s="407"/>
    </row>
    <row r="22" spans="2:15" ht="18" customHeight="1" x14ac:dyDescent="0.2">
      <c r="C22" s="703" t="s">
        <v>588</v>
      </c>
      <c r="D22" s="703"/>
      <c r="E22" s="703"/>
      <c r="F22" s="703"/>
      <c r="G22" s="703"/>
      <c r="H22" s="704"/>
      <c r="I22" s="705"/>
      <c r="J22" s="703"/>
      <c r="N22" s="407"/>
    </row>
    <row r="23" spans="2:15" ht="18" customHeight="1" x14ac:dyDescent="0.2">
      <c r="H23" s="520"/>
      <c r="I23" s="521"/>
      <c r="N23" s="407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03" t="s">
        <v>782</v>
      </c>
      <c r="D28" s="703"/>
      <c r="E28" s="703"/>
      <c r="F28" s="703"/>
      <c r="G28" s="703"/>
      <c r="H28" s="703"/>
      <c r="I28" s="703"/>
      <c r="J28" s="703"/>
    </row>
    <row r="29" spans="2:15" ht="18" customHeight="1" x14ac:dyDescent="0.2">
      <c r="B29" s="517"/>
    </row>
    <row r="30" spans="2:15" ht="18" customHeight="1" x14ac:dyDescent="0.2">
      <c r="B30" s="517"/>
    </row>
    <row r="31" spans="2:15" ht="18" customHeight="1" x14ac:dyDescent="0.2">
      <c r="B31" s="517"/>
      <c r="N31" s="407"/>
    </row>
    <row r="32" spans="2:15" ht="18" customHeight="1" x14ac:dyDescent="0.2">
      <c r="B32" s="517"/>
      <c r="C32" s="522"/>
      <c r="D32" s="522"/>
      <c r="E32" s="517"/>
      <c r="F32" s="517"/>
      <c r="N32" s="407"/>
    </row>
    <row r="33" spans="3:14" ht="18" customHeight="1" x14ac:dyDescent="0.2">
      <c r="C33" s="522"/>
      <c r="D33" s="522"/>
      <c r="E33" s="517"/>
      <c r="F33" s="517"/>
      <c r="N33" s="407"/>
    </row>
    <row r="34" spans="3:14" ht="18" customHeight="1" x14ac:dyDescent="0.2">
      <c r="C34" s="522"/>
      <c r="D34" s="522"/>
      <c r="E34" s="517"/>
      <c r="F34" s="517"/>
      <c r="N34" s="407"/>
    </row>
    <row r="35" spans="3:14" ht="18" customHeight="1" x14ac:dyDescent="0.2">
      <c r="C35" s="522"/>
      <c r="D35" s="522"/>
      <c r="E35" s="781">
        <f>PedBerAfspr!D40</f>
        <v>0</v>
      </c>
      <c r="F35" s="522" t="s">
        <v>784</v>
      </c>
      <c r="G35" s="407"/>
      <c r="N35" s="407"/>
    </row>
    <row r="36" spans="3:14" ht="18" customHeight="1" x14ac:dyDescent="0.2">
      <c r="N36" s="407"/>
    </row>
    <row r="37" spans="3:14" ht="18" customHeight="1" x14ac:dyDescent="0.2">
      <c r="C37" s="715" t="s">
        <v>555</v>
      </c>
      <c r="D37" s="715"/>
      <c r="E37" s="715"/>
      <c r="F37" s="715"/>
      <c r="G37" s="715"/>
      <c r="H37" s="715"/>
      <c r="I37" s="715"/>
      <c r="J37" s="715"/>
      <c r="N37" s="407"/>
    </row>
    <row r="38" spans="3:14" ht="18" customHeight="1" x14ac:dyDescent="0.2">
      <c r="C38" s="715" t="s">
        <v>582</v>
      </c>
      <c r="D38" s="715" t="str">
        <f>IFERROR(LEFT(Txt_Ped_Afspr_Controles,LEN(Txt_Ped_Afspr_Controles)-3),"")</f>
        <v/>
      </c>
      <c r="E38" s="715"/>
      <c r="F38" s="715"/>
      <c r="G38" s="715"/>
      <c r="H38" s="715"/>
      <c r="I38" s="715"/>
      <c r="J38" s="715"/>
      <c r="N38" s="407"/>
    </row>
    <row r="39" spans="3:14" ht="18" customHeight="1" x14ac:dyDescent="0.2">
      <c r="C39" s="715" t="s">
        <v>588</v>
      </c>
      <c r="D39" s="715" t="str">
        <f>IFERROR(LEFT(Txt_Ped_Afspr_Onderzoeken,LEN(Txt_Ped_Afspr_Onderzoeken)-3),"")</f>
        <v/>
      </c>
      <c r="E39" s="715"/>
      <c r="F39" s="715"/>
      <c r="G39" s="715"/>
      <c r="H39" s="715"/>
      <c r="I39" s="715"/>
      <c r="J39" s="715"/>
    </row>
    <row r="40" spans="3:14" ht="18" customHeight="1" x14ac:dyDescent="0.2">
      <c r="C40" s="715" t="s">
        <v>782</v>
      </c>
      <c r="D40" s="715" t="str">
        <f>IFERROR(LEFT(Txt_Ped_Afspr_Instellingen,LEN(Txt_Ped_Afspr_Instellingen)-3),"")</f>
        <v/>
      </c>
      <c r="E40" s="715"/>
      <c r="F40" s="715"/>
      <c r="G40" s="715"/>
      <c r="H40" s="715"/>
      <c r="I40" s="715"/>
      <c r="J40" s="715"/>
      <c r="N40" s="407"/>
    </row>
    <row r="41" spans="3:14" ht="18" customHeight="1" x14ac:dyDescent="0.2">
      <c r="C41" s="715" t="s">
        <v>568</v>
      </c>
      <c r="D41" s="715" t="str">
        <f>IFERROR(LEFT(Txt_Ped_Afspr_Overig,LEN(Txt_Ped_Afspr_Overig)-3),"")</f>
        <v/>
      </c>
      <c r="E41" s="715"/>
      <c r="F41" s="715"/>
      <c r="G41" s="715"/>
      <c r="H41" s="715"/>
      <c r="I41" s="715"/>
      <c r="J41" s="715"/>
      <c r="N41" s="407"/>
    </row>
    <row r="42" spans="3:14" ht="18" customHeight="1" x14ac:dyDescent="0.2">
      <c r="N42" s="407"/>
    </row>
    <row r="43" spans="3:14" ht="18" customHeight="1" x14ac:dyDescent="0.2">
      <c r="N43" s="407"/>
    </row>
    <row r="44" spans="3:14" ht="18" customHeight="1" x14ac:dyDescent="0.2">
      <c r="N44" s="407"/>
    </row>
    <row r="45" spans="3:14" ht="18" customHeight="1" x14ac:dyDescent="0.2"/>
    <row r="46" spans="3:14" ht="18" customHeight="1" x14ac:dyDescent="0.2"/>
    <row r="47" spans="3:14" ht="18" customHeight="1" x14ac:dyDescent="0.2">
      <c r="N47" s="523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7"/>
    <col min="2" max="2" width="10.28515625" style="380" customWidth="1"/>
    <col min="3" max="3" width="19.7109375" style="357" customWidth="1"/>
    <col min="4" max="4" width="24.5703125" style="357" customWidth="1"/>
    <col min="5" max="5" width="17.7109375" style="357" customWidth="1"/>
    <col min="6" max="7" width="18.7109375" style="357" customWidth="1"/>
    <col min="8" max="11" width="9.140625" style="357"/>
    <col min="12" max="21" width="0" style="357" hidden="1" customWidth="1"/>
    <col min="22" max="16384" width="9.140625" style="357"/>
  </cols>
  <sheetData>
    <row r="1" spans="1:25 4305:4305" x14ac:dyDescent="0.2">
      <c r="A1" s="356"/>
      <c r="J1" s="511"/>
      <c r="K1" s="511"/>
      <c r="L1" s="512" t="s">
        <v>602</v>
      </c>
      <c r="M1" s="512" t="s">
        <v>610</v>
      </c>
      <c r="N1" s="512" t="s">
        <v>603</v>
      </c>
      <c r="O1" s="512"/>
      <c r="P1" s="512"/>
      <c r="Q1" s="512"/>
      <c r="R1" s="512"/>
      <c r="S1" s="512" t="s">
        <v>611</v>
      </c>
      <c r="T1" s="512" t="s">
        <v>612</v>
      </c>
      <c r="U1" s="512"/>
      <c r="V1" s="512"/>
      <c r="W1" s="512"/>
      <c r="X1" s="512"/>
      <c r="Y1" s="511"/>
    </row>
    <row r="2" spans="1:25 4305:4305" ht="15" customHeight="1" x14ac:dyDescent="0.2">
      <c r="B2" s="780" t="str">
        <f>"Patient: "&amp;__2_AchterNaam&amp;", "&amp;__3_VoorNaam</f>
        <v xml:space="preserve">Patient: , </v>
      </c>
      <c r="C2" s="780"/>
      <c r="D2" s="780"/>
      <c r="E2" s="780" t="str">
        <f ca="1">"Geschatte lengte: "&amp;VLOOKUP(C5+D5/12,PedTblLengte!A2:D45,4)&amp;" cm"</f>
        <v>Geschatte lengte: 175,15 cm</v>
      </c>
      <c r="F2" s="780"/>
      <c r="G2" s="780"/>
      <c r="J2" s="511"/>
      <c r="K2" s="511"/>
      <c r="L2" s="512">
        <v>0</v>
      </c>
      <c r="M2" s="512">
        <v>40</v>
      </c>
      <c r="N2" s="512">
        <v>3.5</v>
      </c>
      <c r="O2" s="512">
        <v>0</v>
      </c>
      <c r="P2" s="512">
        <v>3.5</v>
      </c>
      <c r="Q2" s="512">
        <v>51</v>
      </c>
      <c r="R2" s="512"/>
      <c r="S2" s="512">
        <v>1</v>
      </c>
      <c r="T2" s="512">
        <v>1</v>
      </c>
      <c r="U2" s="512">
        <v>1</v>
      </c>
      <c r="V2" s="512"/>
      <c r="W2" s="512"/>
      <c r="X2" s="512"/>
      <c r="Y2" s="511"/>
      <c r="FIO2" s="357">
        <v>30</v>
      </c>
    </row>
    <row r="3" spans="1:25 4305:4305" ht="15" customHeight="1" x14ac:dyDescent="0.2">
      <c r="B3" s="780" t="str">
        <f>"Geb datum.: "</f>
        <v xml:space="preserve">Geb datum.: </v>
      </c>
      <c r="C3" s="663">
        <f>__4_GebDatum</f>
        <v>1462</v>
      </c>
      <c r="D3" s="780"/>
      <c r="E3" s="780" t="str">
        <f ca="1">"Geschat gewicht: "&amp;VLOOKUP(C5+D5/12,PedTblGew!A2:T49,20)&amp;" kg"</f>
        <v>Geschat gewicht: 66,1 kg</v>
      </c>
      <c r="F3" s="664"/>
      <c r="G3" s="780"/>
      <c r="J3" s="511"/>
      <c r="K3" s="511"/>
      <c r="L3" s="512">
        <v>1</v>
      </c>
      <c r="M3" s="512">
        <v>30</v>
      </c>
      <c r="N3" s="512">
        <v>4.5</v>
      </c>
      <c r="O3" s="512">
        <v>1</v>
      </c>
      <c r="P3" s="512">
        <v>4.2</v>
      </c>
      <c r="Q3" s="512">
        <v>54</v>
      </c>
      <c r="R3" s="512"/>
      <c r="S3" s="512">
        <v>2</v>
      </c>
      <c r="T3" s="512">
        <v>2</v>
      </c>
      <c r="U3" s="512">
        <v>2</v>
      </c>
      <c r="V3" s="512"/>
      <c r="W3" s="512"/>
      <c r="X3" s="512"/>
      <c r="Y3" s="511"/>
    </row>
    <row r="4" spans="1:25 4305:4305" ht="15.75" customHeight="1" x14ac:dyDescent="0.2">
      <c r="B4" s="644"/>
      <c r="C4" s="665" t="s">
        <v>334</v>
      </c>
      <c r="D4" s="665" t="s">
        <v>335</v>
      </c>
      <c r="E4" s="665" t="s">
        <v>212</v>
      </c>
      <c r="F4" s="665" t="s">
        <v>96</v>
      </c>
      <c r="G4" s="665" t="s">
        <v>44</v>
      </c>
      <c r="J4" s="513"/>
      <c r="K4" s="513"/>
      <c r="L4" s="512">
        <v>2</v>
      </c>
      <c r="M4" s="512">
        <v>25</v>
      </c>
      <c r="N4" s="512">
        <v>4.5</v>
      </c>
      <c r="O4" s="512">
        <v>2</v>
      </c>
      <c r="P4" s="512">
        <v>5</v>
      </c>
      <c r="Q4" s="512">
        <v>57</v>
      </c>
      <c r="R4" s="512"/>
      <c r="S4" s="512">
        <v>3</v>
      </c>
      <c r="T4" s="512">
        <v>3</v>
      </c>
      <c r="U4" s="512">
        <v>3</v>
      </c>
      <c r="V4" s="512"/>
      <c r="W4" s="512"/>
      <c r="X4" s="512"/>
      <c r="Y4" s="511"/>
    </row>
    <row r="5" spans="1:25 4305:4305" ht="15" customHeight="1" x14ac:dyDescent="0.2">
      <c r="B5" s="644"/>
      <c r="C5" s="665">
        <f ca="1">TRUNC((Var_AfspraakDatum-__4_GebDatum)/365,0)</f>
        <v>113</v>
      </c>
      <c r="D5" s="665">
        <f ca="1">TRUNC(((Var_AfspraakDatum-__4_GebDatum)-365*TRUNC((Var_AfspraakDatum-__4_GebDatum)/365,0))/30,0)</f>
        <v>9</v>
      </c>
      <c r="E5" s="665">
        <f>_Pat_Gewicht/10</f>
        <v>0</v>
      </c>
      <c r="F5" s="665">
        <f>_Pat_Lengte</f>
        <v>0</v>
      </c>
      <c r="G5" s="665">
        <f>ROUND(POWER(E5,0.425)*POWER(((F5/100)*100),0.725)*0.007184,2)</f>
        <v>0</v>
      </c>
      <c r="J5" s="513"/>
      <c r="K5" s="513"/>
      <c r="L5" s="512">
        <v>3</v>
      </c>
      <c r="M5" s="512">
        <v>25</v>
      </c>
      <c r="N5" s="512">
        <v>5</v>
      </c>
      <c r="O5" s="512">
        <v>3</v>
      </c>
      <c r="P5" s="512">
        <v>5.7</v>
      </c>
      <c r="Q5" s="512">
        <v>60</v>
      </c>
      <c r="R5" s="512"/>
      <c r="S5" s="512">
        <v>4</v>
      </c>
      <c r="T5" s="512">
        <v>3</v>
      </c>
      <c r="U5" s="512"/>
      <c r="V5" s="512"/>
      <c r="W5" s="512"/>
      <c r="X5" s="512"/>
      <c r="Y5" s="511"/>
    </row>
    <row r="6" spans="1:25 4305:4305" ht="15" customHeight="1" x14ac:dyDescent="0.2">
      <c r="A6" s="356"/>
      <c r="C6" s="401"/>
      <c r="D6" s="401"/>
      <c r="E6" s="401"/>
      <c r="F6" s="401"/>
      <c r="G6" s="401"/>
      <c r="J6" s="513"/>
      <c r="K6" s="513"/>
      <c r="L6" s="512">
        <v>4</v>
      </c>
      <c r="M6" s="512">
        <v>25</v>
      </c>
      <c r="N6" s="512">
        <v>5</v>
      </c>
      <c r="O6" s="512">
        <v>4</v>
      </c>
      <c r="P6" s="512">
        <v>6.5</v>
      </c>
      <c r="Q6" s="512">
        <v>63</v>
      </c>
      <c r="R6" s="512"/>
      <c r="S6" s="512">
        <v>5</v>
      </c>
      <c r="T6" s="512">
        <v>5</v>
      </c>
      <c r="U6" s="512">
        <v>5</v>
      </c>
      <c r="V6" s="512"/>
      <c r="W6" s="512"/>
      <c r="X6" s="512"/>
      <c r="Y6" s="511"/>
    </row>
    <row r="7" spans="1:25 4305:4305" ht="20.100000000000001" customHeight="1" thickBot="1" x14ac:dyDescent="0.25">
      <c r="B7" s="687" t="s">
        <v>244</v>
      </c>
      <c r="C7" s="676" t="s">
        <v>45</v>
      </c>
      <c r="D7" s="506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06"/>
      <c r="F7" s="506"/>
      <c r="G7" s="514"/>
      <c r="J7" s="511"/>
      <c r="K7" s="511"/>
      <c r="L7" s="512">
        <v>5</v>
      </c>
      <c r="M7" s="512">
        <v>25</v>
      </c>
      <c r="N7" s="512">
        <v>5.5</v>
      </c>
      <c r="O7" s="512">
        <v>5</v>
      </c>
      <c r="P7" s="512">
        <v>7</v>
      </c>
      <c r="Q7" s="512">
        <v>65</v>
      </c>
      <c r="R7" s="512"/>
      <c r="S7" s="512">
        <v>6</v>
      </c>
      <c r="T7" s="512">
        <v>5</v>
      </c>
      <c r="U7" s="512"/>
      <c r="V7" s="512"/>
      <c r="W7" s="512"/>
      <c r="X7" s="512"/>
      <c r="Y7" s="511"/>
    </row>
    <row r="8" spans="1:25 4305:4305" ht="20.100000000000001" customHeight="1" thickTop="1" thickBot="1" x14ac:dyDescent="0.25">
      <c r="B8" s="687"/>
      <c r="C8" s="676" t="s">
        <v>46</v>
      </c>
      <c r="D8" s="495" t="str">
        <f>IF(_Pat_Gewicht&gt;0,IF(ROUND((E5)*4,0)&gt;150,150,VLOOKUP(ROUND(E5*4,0),S2:T362,2))&amp;" Joules Asynchroon","")</f>
        <v/>
      </c>
      <c r="E8" s="495"/>
      <c r="F8" s="495"/>
      <c r="G8" s="526" t="s">
        <v>0</v>
      </c>
      <c r="J8" s="511"/>
      <c r="K8" s="511"/>
      <c r="L8" s="512">
        <v>6</v>
      </c>
      <c r="M8" s="512">
        <v>20</v>
      </c>
      <c r="N8" s="512">
        <v>5.5</v>
      </c>
      <c r="O8" s="512">
        <v>6</v>
      </c>
      <c r="P8" s="512">
        <v>7.7</v>
      </c>
      <c r="Q8" s="512">
        <v>67</v>
      </c>
      <c r="R8" s="512"/>
      <c r="S8" s="512">
        <v>7</v>
      </c>
      <c r="T8" s="512">
        <v>7</v>
      </c>
      <c r="U8" s="512">
        <v>7</v>
      </c>
      <c r="V8" s="512"/>
      <c r="W8" s="512"/>
      <c r="X8" s="512"/>
      <c r="Y8" s="511"/>
    </row>
    <row r="9" spans="1:25 4305:4305" ht="20.100000000000001" customHeight="1" thickTop="1" thickBot="1" x14ac:dyDescent="0.25">
      <c r="B9" s="687"/>
      <c r="C9" s="676" t="s">
        <v>92</v>
      </c>
      <c r="D9" s="495" t="str">
        <f ca="1">IF(OR(ROUND(0.01*(E5),2)&gt;1,C5&gt;=18),"1 mg iv",ROUND(0.01*(E5),2)&amp;" mg iv")</f>
        <v>1 mg iv</v>
      </c>
      <c r="E9" s="495" t="str">
        <f>"= "&amp;IF(ROUND(0.01*(E5),2)&gt;1,"1 ml van 1mg = 10 ml (1:10.000)",ROUND(0.1*(E5),1)&amp;" ml van 1mg = 10 ml (1:10.000)")</f>
        <v>= 0 ml van 1mg = 10 ml (1:10.000)</v>
      </c>
      <c r="F9" s="495"/>
      <c r="G9" s="526" t="s">
        <v>1</v>
      </c>
      <c r="J9" s="511"/>
      <c r="K9" s="511"/>
      <c r="L9" s="512">
        <v>7</v>
      </c>
      <c r="M9" s="512">
        <v>20</v>
      </c>
      <c r="N9" s="512">
        <v>6</v>
      </c>
      <c r="O9" s="512">
        <v>7</v>
      </c>
      <c r="P9" s="512">
        <v>8.1999999999999993</v>
      </c>
      <c r="Q9" s="512">
        <v>69</v>
      </c>
      <c r="R9" s="512"/>
      <c r="S9" s="512">
        <v>8</v>
      </c>
      <c r="T9" s="512">
        <v>7</v>
      </c>
      <c r="U9" s="512"/>
      <c r="V9" s="512"/>
      <c r="W9" s="512"/>
      <c r="X9" s="512"/>
      <c r="Y9" s="511"/>
    </row>
    <row r="10" spans="1:25 4305:4305" ht="20.100000000000001" customHeight="1" thickTop="1" thickBot="1" x14ac:dyDescent="0.25">
      <c r="B10" s="687"/>
      <c r="C10" s="676" t="s">
        <v>47</v>
      </c>
      <c r="D10" s="495" t="str">
        <f>ROUND(IF(E5&gt;50,50,0.5*E5),0)&amp;" ml iv"</f>
        <v>0 ml iv</v>
      </c>
      <c r="E10" s="495"/>
      <c r="F10" s="495"/>
      <c r="G10" s="526" t="s">
        <v>2</v>
      </c>
      <c r="J10" s="511"/>
      <c r="K10" s="511"/>
      <c r="L10" s="512">
        <v>8</v>
      </c>
      <c r="M10" s="512">
        <v>20</v>
      </c>
      <c r="N10" s="512">
        <v>6</v>
      </c>
      <c r="O10" s="512">
        <v>8</v>
      </c>
      <c r="P10" s="512">
        <v>8.5</v>
      </c>
      <c r="Q10" s="512">
        <v>70</v>
      </c>
      <c r="R10" s="512"/>
      <c r="S10" s="512">
        <v>9</v>
      </c>
      <c r="T10" s="512">
        <v>7</v>
      </c>
      <c r="U10" s="512"/>
      <c r="V10" s="512"/>
      <c r="W10" s="512"/>
      <c r="X10" s="512"/>
      <c r="Y10" s="511"/>
    </row>
    <row r="11" spans="1:25 4305:4305" ht="20.100000000000001" customHeight="1" thickTop="1" thickBot="1" x14ac:dyDescent="0.25">
      <c r="B11" s="687"/>
      <c r="C11" s="676" t="s">
        <v>143</v>
      </c>
      <c r="D11" s="495" t="str">
        <f>IF(0.2*E5&lt;=25,0.2*E5&amp;" gram iv","25 gram iv")</f>
        <v>0 gram iv</v>
      </c>
      <c r="E11" s="495" t="str">
        <f>"="&amp;" "&amp;IF(2*E5&lt;=250,ROUND(2*E5,0)&amp;" ml glucose 10%","250 ml glucose 10%")</f>
        <v>= 0 ml glucose 10%</v>
      </c>
      <c r="F11" s="495"/>
      <c r="G11" s="526" t="s">
        <v>3</v>
      </c>
      <c r="J11" s="511"/>
      <c r="K11" s="511"/>
      <c r="L11" s="512">
        <v>9</v>
      </c>
      <c r="M11" s="512">
        <v>20</v>
      </c>
      <c r="N11" s="512">
        <v>6.5</v>
      </c>
      <c r="O11" s="512">
        <v>9</v>
      </c>
      <c r="P11" s="512">
        <v>9</v>
      </c>
      <c r="Q11" s="512">
        <v>72</v>
      </c>
      <c r="R11" s="512"/>
      <c r="S11" s="512">
        <v>10</v>
      </c>
      <c r="T11" s="512">
        <v>10</v>
      </c>
      <c r="U11" s="512">
        <v>10</v>
      </c>
      <c r="V11" s="512"/>
      <c r="W11" s="512"/>
      <c r="X11" s="512"/>
      <c r="Y11" s="511"/>
    </row>
    <row r="12" spans="1:25 4305:4305" ht="20.100000000000001" customHeight="1" thickTop="1" thickBot="1" x14ac:dyDescent="0.25">
      <c r="B12" s="687"/>
      <c r="C12" s="676" t="s">
        <v>48</v>
      </c>
      <c r="D12" s="480" t="str">
        <f>IF(ROUND(20*E5/10,0)*10&gt;500,500,ROUND(20*E5/10,0)*10)&amp;" ml fysiologisch zout iv per bolus"</f>
        <v>0 ml fysiologisch zout iv per bolus</v>
      </c>
      <c r="E12" s="480"/>
      <c r="F12" s="480"/>
      <c r="G12" s="525" t="s">
        <v>4</v>
      </c>
      <c r="J12" s="511"/>
      <c r="K12" s="511"/>
      <c r="L12" s="512">
        <v>10</v>
      </c>
      <c r="M12" s="512">
        <v>20</v>
      </c>
      <c r="N12" s="512">
        <v>6.5</v>
      </c>
      <c r="O12" s="512">
        <v>10</v>
      </c>
      <c r="P12" s="512">
        <v>9.3000000000000007</v>
      </c>
      <c r="Q12" s="512">
        <v>73</v>
      </c>
      <c r="R12" s="512"/>
      <c r="S12" s="512">
        <v>11</v>
      </c>
      <c r="T12" s="512">
        <v>10</v>
      </c>
      <c r="U12" s="512"/>
      <c r="V12" s="512"/>
      <c r="W12" s="512"/>
      <c r="X12" s="512"/>
      <c r="Y12" s="511"/>
    </row>
    <row r="13" spans="1:25 4305:4305" ht="20.100000000000001" customHeight="1" thickTop="1" x14ac:dyDescent="0.2">
      <c r="D13" s="354"/>
      <c r="G13" s="403"/>
      <c r="J13" s="511"/>
      <c r="K13" s="511"/>
      <c r="L13" s="512">
        <v>11</v>
      </c>
      <c r="M13" s="512">
        <v>20</v>
      </c>
      <c r="N13" s="512">
        <v>7</v>
      </c>
      <c r="O13" s="512">
        <v>11</v>
      </c>
      <c r="P13" s="512">
        <v>9.5</v>
      </c>
      <c r="Q13" s="512">
        <v>74</v>
      </c>
      <c r="R13" s="512"/>
      <c r="S13" s="512">
        <v>12</v>
      </c>
      <c r="T13" s="512">
        <v>10</v>
      </c>
      <c r="U13" s="512"/>
      <c r="V13" s="512"/>
      <c r="W13" s="512"/>
      <c r="X13" s="512"/>
      <c r="Y13" s="511"/>
    </row>
    <row r="14" spans="1:25 4305:4305" ht="20.100000000000001" customHeight="1" thickBot="1" x14ac:dyDescent="0.25">
      <c r="B14" s="687" t="s">
        <v>303</v>
      </c>
      <c r="C14" s="676" t="s">
        <v>253</v>
      </c>
      <c r="D14" s="506" t="str">
        <f>IF(0.5*E5&gt;20,"20 mg iv",0.5*E5&amp;" mg iv")</f>
        <v>0 mg iv</v>
      </c>
      <c r="E14" s="506" t="str">
        <f>"= "&amp;IF(0.5*E5&gt;20,"10 ml van een 2 mg/ml oplossing",ROUND(0.5*E5*0.5,1)&amp;" ml van een 2 mg/ml oplossing")</f>
        <v>= 0 ml van een 2 mg/ml oplossing</v>
      </c>
      <c r="F14" s="506"/>
      <c r="G14" s="514" t="s">
        <v>5</v>
      </c>
      <c r="J14" s="511"/>
      <c r="K14" s="511"/>
      <c r="L14" s="512">
        <v>12</v>
      </c>
      <c r="M14" s="512">
        <v>15</v>
      </c>
      <c r="N14" s="512">
        <v>7</v>
      </c>
      <c r="O14" s="512">
        <v>12</v>
      </c>
      <c r="P14" s="512">
        <v>10</v>
      </c>
      <c r="Q14" s="512">
        <v>76</v>
      </c>
      <c r="R14" s="512"/>
      <c r="S14" s="512">
        <v>13</v>
      </c>
      <c r="T14" s="512">
        <v>10</v>
      </c>
      <c r="U14" s="512"/>
      <c r="V14" s="512"/>
      <c r="W14" s="512"/>
      <c r="X14" s="512"/>
      <c r="Y14" s="511"/>
    </row>
    <row r="15" spans="1:25 4305:4305" ht="20.100000000000001" customHeight="1" thickTop="1" thickBot="1" x14ac:dyDescent="0.25">
      <c r="B15" s="687"/>
      <c r="C15" s="676" t="s">
        <v>211</v>
      </c>
      <c r="D15" s="495" t="str">
        <f>IF(ROUND(1*(E5),1)&gt;100,"100 mg iv",ROUND(1*(E5),1)&amp;" mg iv")</f>
        <v>0 mg iv</v>
      </c>
      <c r="E15" s="495" t="str">
        <f>"= "&amp;IF(ROUND(1*(E5),1)&gt;100,"10 ml"&amp;" van een 1mg/ml oplossing",ROUND(0.1*(E5),1)&amp;" ml"&amp;" van een 10 mg/ml oplossing")</f>
        <v>= 0 ml van een 10 mg/ml oplossing</v>
      </c>
      <c r="F15" s="495"/>
      <c r="G15" s="526" t="s">
        <v>6</v>
      </c>
      <c r="J15" s="511"/>
      <c r="K15" s="511"/>
      <c r="L15" s="512">
        <v>13</v>
      </c>
      <c r="M15" s="512">
        <v>15</v>
      </c>
      <c r="N15" s="512">
        <v>7</v>
      </c>
      <c r="O15" s="512"/>
      <c r="P15" s="512"/>
      <c r="Q15" s="512"/>
      <c r="R15" s="512"/>
      <c r="S15" s="512">
        <v>14</v>
      </c>
      <c r="T15" s="512">
        <v>10</v>
      </c>
      <c r="U15" s="512"/>
      <c r="V15" s="512"/>
      <c r="W15" s="512"/>
      <c r="X15" s="512"/>
      <c r="Y15" s="511"/>
    </row>
    <row r="16" spans="1:25 4305:4305" ht="20.100000000000001" customHeight="1" thickTop="1" thickBot="1" x14ac:dyDescent="0.25">
      <c r="B16" s="687"/>
      <c r="C16" s="676" t="s">
        <v>254</v>
      </c>
      <c r="D16" s="495" t="str">
        <f>IF(ROUND(0.02*(E5),1)&lt;0.1,"0,1 mg iv",IF(ROUND(0.02*(E5),1)&gt;0.5,"0,5 mg iv",ROUND(0.02*(E5),1)&amp;" mg iv"))</f>
        <v>0,1 mg iv</v>
      </c>
      <c r="E16" s="843" t="str">
        <f>"= "&amp;IF(ROUND(0.02*(E5),1)&lt;0.1,0.1,IF(ROUND(0.02*(E5),1)&gt;0.5,0.5,ROUND(0.02*(E5),1)))*2&amp;" ml van 0,5 mg/ml (min 0,1 mg)"</f>
        <v>= 0,2 ml van 0,5 mg/ml (min 0,1 mg)</v>
      </c>
      <c r="F16" s="843"/>
      <c r="G16" s="526" t="s">
        <v>7</v>
      </c>
      <c r="J16" s="511"/>
      <c r="K16" s="511"/>
      <c r="L16" s="512">
        <v>14</v>
      </c>
      <c r="M16" s="512">
        <v>15</v>
      </c>
      <c r="N16" s="512">
        <v>7</v>
      </c>
      <c r="O16" s="512"/>
      <c r="P16" s="512"/>
      <c r="Q16" s="512"/>
      <c r="R16" s="512"/>
      <c r="S16" s="512">
        <v>15</v>
      </c>
      <c r="T16" s="512">
        <v>10</v>
      </c>
      <c r="U16" s="512"/>
      <c r="V16" s="512"/>
      <c r="W16" s="512"/>
      <c r="X16" s="512"/>
      <c r="Y16" s="511"/>
    </row>
    <row r="17" spans="2:25" ht="20.100000000000001" customHeight="1" thickTop="1" thickBot="1" x14ac:dyDescent="0.25">
      <c r="B17" s="687"/>
      <c r="C17" s="676"/>
      <c r="D17" s="480"/>
      <c r="E17" s="844"/>
      <c r="F17" s="844"/>
      <c r="G17" s="525"/>
      <c r="J17" s="511"/>
      <c r="K17" s="511"/>
      <c r="L17" s="512">
        <v>15</v>
      </c>
      <c r="M17" s="512">
        <v>15</v>
      </c>
      <c r="N17" s="512">
        <v>7</v>
      </c>
      <c r="O17" s="512"/>
      <c r="P17" s="512"/>
      <c r="Q17" s="512"/>
      <c r="R17" s="512"/>
      <c r="S17" s="512">
        <v>16</v>
      </c>
      <c r="T17" s="512">
        <v>20</v>
      </c>
      <c r="U17" s="512"/>
      <c r="V17" s="512"/>
      <c r="W17" s="512"/>
      <c r="X17" s="512"/>
      <c r="Y17" s="511"/>
    </row>
    <row r="18" spans="2:25" ht="15.75" customHeight="1" thickTop="1" x14ac:dyDescent="0.2">
      <c r="C18" s="402"/>
      <c r="D18" s="354"/>
      <c r="E18" s="404"/>
      <c r="F18" s="404"/>
      <c r="G18" s="403"/>
      <c r="H18" s="405"/>
      <c r="I18" s="405"/>
      <c r="J18" s="515"/>
      <c r="K18" s="511"/>
      <c r="L18" s="512">
        <v>16</v>
      </c>
      <c r="M18" s="512">
        <v>15</v>
      </c>
      <c r="N18" s="512">
        <v>7</v>
      </c>
      <c r="O18" s="512"/>
      <c r="P18" s="512"/>
      <c r="Q18" s="512"/>
      <c r="R18" s="512"/>
      <c r="S18" s="512">
        <v>17</v>
      </c>
      <c r="T18" s="512">
        <v>20</v>
      </c>
      <c r="U18" s="512"/>
      <c r="V18" s="512"/>
      <c r="W18" s="512"/>
      <c r="X18" s="512"/>
      <c r="Y18" s="511"/>
    </row>
    <row r="19" spans="2:25" ht="20.100000000000001" customHeight="1" thickBot="1" x14ac:dyDescent="0.25">
      <c r="B19" s="687" t="s">
        <v>206</v>
      </c>
      <c r="C19" s="676" t="s">
        <v>75</v>
      </c>
      <c r="D19" s="506" t="str">
        <f>IF(0.02*E5&gt;0.3,"0,3 mg iv",0.02*E5&amp;" mg iv")</f>
        <v>0 mg iv</v>
      </c>
      <c r="E19" s="506" t="str">
        <f>"= "&amp;IF(0.02*E5&gt;1,"10 ml van anexate 0,1 mg/ml",ROUND((0.02*E5)/0.1,1)&amp;" ml van anexate 0,1 mg/ml")</f>
        <v>= 0 ml van anexate 0,1 mg/ml</v>
      </c>
      <c r="F19" s="506"/>
      <c r="G19" s="514" t="s">
        <v>8</v>
      </c>
      <c r="H19" s="405"/>
      <c r="I19" s="405"/>
      <c r="J19" s="515"/>
      <c r="K19" s="511"/>
      <c r="L19" s="512">
        <v>17</v>
      </c>
      <c r="M19" s="512">
        <v>15</v>
      </c>
      <c r="N19" s="512">
        <v>7</v>
      </c>
      <c r="O19" s="512"/>
      <c r="P19" s="512"/>
      <c r="Q19" s="512"/>
      <c r="R19" s="512"/>
      <c r="S19" s="512">
        <v>18</v>
      </c>
      <c r="T19" s="512">
        <v>20</v>
      </c>
      <c r="U19" s="512"/>
      <c r="V19" s="512"/>
      <c r="W19" s="512"/>
      <c r="X19" s="512"/>
      <c r="Y19" s="511"/>
    </row>
    <row r="20" spans="2:25" ht="20.100000000000001" customHeight="1" thickTop="1" thickBot="1" x14ac:dyDescent="0.25">
      <c r="B20" s="687"/>
      <c r="C20" s="676" t="s">
        <v>255</v>
      </c>
      <c r="D20" s="495" t="str">
        <f>IF(0.01*E5&gt;0.4,"0,4 mg iv",0.01*E5&amp;" mg iv")</f>
        <v>0 mg iv</v>
      </c>
      <c r="E20" s="843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43"/>
      <c r="G20" s="526" t="s">
        <v>9</v>
      </c>
      <c r="J20" s="511"/>
      <c r="K20" s="511"/>
      <c r="L20" s="512">
        <v>18</v>
      </c>
      <c r="M20" s="512">
        <v>15</v>
      </c>
      <c r="N20" s="512">
        <v>7</v>
      </c>
      <c r="O20" s="512"/>
      <c r="P20" s="512"/>
      <c r="Q20" s="512"/>
      <c r="R20" s="512"/>
      <c r="S20" s="512">
        <v>19</v>
      </c>
      <c r="T20" s="512">
        <v>20</v>
      </c>
      <c r="U20" s="512"/>
      <c r="V20" s="512"/>
      <c r="W20" s="512"/>
      <c r="X20" s="512"/>
      <c r="Y20" s="511"/>
    </row>
    <row r="21" spans="2:25" ht="20.100000000000001" customHeight="1" thickTop="1" thickBot="1" x14ac:dyDescent="0.25">
      <c r="B21" s="687"/>
      <c r="C21" s="676"/>
      <c r="D21" s="480"/>
      <c r="E21" s="844"/>
      <c r="F21" s="844"/>
      <c r="G21" s="525"/>
      <c r="J21" s="511"/>
      <c r="K21" s="511"/>
      <c r="L21" s="512"/>
      <c r="M21" s="512"/>
      <c r="N21" s="512"/>
      <c r="O21" s="512"/>
      <c r="P21" s="512"/>
      <c r="Q21" s="512"/>
      <c r="R21" s="512"/>
      <c r="S21" s="512">
        <v>20</v>
      </c>
      <c r="T21" s="512">
        <v>20</v>
      </c>
      <c r="U21" s="512">
        <v>20</v>
      </c>
      <c r="V21" s="512"/>
      <c r="W21" s="512"/>
      <c r="X21" s="512"/>
      <c r="Y21" s="511"/>
    </row>
    <row r="22" spans="2:25" ht="20.100000000000001" customHeight="1" thickTop="1" x14ac:dyDescent="0.2">
      <c r="C22" s="402"/>
      <c r="D22" s="354"/>
      <c r="E22" s="404"/>
      <c r="F22" s="404"/>
      <c r="G22" s="403"/>
      <c r="J22" s="511"/>
      <c r="K22" s="511"/>
      <c r="L22" s="512"/>
      <c r="M22" s="512"/>
      <c r="N22" s="512"/>
      <c r="O22" s="512"/>
      <c r="P22" s="512"/>
      <c r="Q22" s="512"/>
      <c r="R22" s="512"/>
      <c r="S22" s="512">
        <v>21</v>
      </c>
      <c r="T22" s="512">
        <v>30</v>
      </c>
      <c r="U22" s="512"/>
      <c r="V22" s="512"/>
      <c r="W22" s="512"/>
      <c r="X22" s="512"/>
      <c r="Y22" s="511"/>
    </row>
    <row r="23" spans="2:25" ht="20.100000000000001" customHeight="1" thickBot="1" x14ac:dyDescent="0.25">
      <c r="B23" s="687" t="s">
        <v>207</v>
      </c>
      <c r="C23" s="676" t="str">
        <f ca="1">IF(C5=0,"alprostadil (Prostin)","")</f>
        <v/>
      </c>
      <c r="D23" s="506" t="str">
        <f ca="1">IF(C5=0,"0,5 mg in 50 ml NaCl 0.9%","")</f>
        <v/>
      </c>
      <c r="E23" s="506" t="str">
        <f ca="1">IF(C5=0,"1 ml/uur = "&amp;ROUND(1000*(0.5/50)*24/(E5)/1.44,0)&amp;" nanog/kg/min iv","")</f>
        <v/>
      </c>
      <c r="F23" s="506"/>
      <c r="G23" s="514" t="s">
        <v>248</v>
      </c>
      <c r="J23" s="511"/>
      <c r="K23" s="511"/>
      <c r="L23" s="512"/>
      <c r="M23" s="512"/>
      <c r="N23" s="512"/>
      <c r="O23" s="512"/>
      <c r="P23" s="512"/>
      <c r="Q23" s="512"/>
      <c r="R23" s="512"/>
      <c r="S23" s="512">
        <v>22</v>
      </c>
      <c r="T23" s="512">
        <v>30</v>
      </c>
      <c r="U23" s="512"/>
      <c r="V23" s="512"/>
      <c r="W23" s="512"/>
      <c r="X23" s="512"/>
      <c r="Y23" s="511"/>
    </row>
    <row r="24" spans="2:25" ht="20.100000000000001" customHeight="1" thickTop="1" thickBot="1" x14ac:dyDescent="0.25">
      <c r="B24" s="687"/>
      <c r="C24" s="676" t="s">
        <v>78</v>
      </c>
      <c r="D24" s="495" t="str">
        <f>IF(E5&gt;5,"200 mg in 50 ml NaCl 0.9%",ROUND(((E5)*24*60*(10/1000)/(24/50))/50,0)*50&amp;" mg in 50 ml NaCl 0.9%")</f>
        <v>0 mg in 50 ml NaCl 0.9%</v>
      </c>
      <c r="E24" s="495" t="str">
        <f>IF(_Pat_Gewicht&gt;0,"1 ml/uur = "&amp;IF(E5&gt;5,ROUND((200/50/E5/60)*1000,1),ROUND(24*ROUND(((E5)*24*60*(10/1000)/(24/50))/50,0)*50/50/1.44/E5,1))&amp;" mcg/kg/min","")</f>
        <v/>
      </c>
      <c r="F24" s="495"/>
      <c r="G24" s="526" t="s">
        <v>259</v>
      </c>
      <c r="J24" s="511"/>
      <c r="K24" s="511"/>
      <c r="L24" s="512"/>
      <c r="M24" s="512"/>
      <c r="N24" s="512"/>
      <c r="O24" s="512"/>
      <c r="P24" s="512"/>
      <c r="Q24" s="512"/>
      <c r="R24" s="512"/>
      <c r="S24" s="512">
        <v>23</v>
      </c>
      <c r="T24" s="512">
        <v>30</v>
      </c>
      <c r="U24" s="512"/>
      <c r="V24" s="512"/>
      <c r="W24" s="512"/>
      <c r="X24" s="512"/>
      <c r="Y24" s="511"/>
    </row>
    <row r="25" spans="2:25" ht="20.100000000000001" customHeight="1" thickTop="1" thickBot="1" x14ac:dyDescent="0.25">
      <c r="B25" s="687"/>
      <c r="C25" s="676" t="s">
        <v>79</v>
      </c>
      <c r="D25" s="480" t="str">
        <f>IF(_Pat_Gewicht/15&gt;5,"10 mg in 50 ml NaCl 0.9%",ROUND((E5)*24*60*(0.1/1000)/(24/50)/5,1)*5&amp;" mg in 50 ml NaCl 0.9%")</f>
        <v>0 mg in 50 ml NaCl 0.9%</v>
      </c>
      <c r="E25" s="480" t="str">
        <f>IF(_Pat_Gewicht&gt;0,"1 ml/uur = "&amp;IF(E5&gt;5,ROUND((10/50/E5/60)*1000,2),ROUND(24*ROUND((E5)*24*60*(0.1/1000)/(24/50)/5,1)*5/50/1.44/E5,2))&amp;" mcg/kg/min","")</f>
        <v/>
      </c>
      <c r="F25" s="480"/>
      <c r="G25" s="525" t="s">
        <v>310</v>
      </c>
      <c r="J25" s="511"/>
      <c r="K25" s="511"/>
      <c r="L25" s="512"/>
      <c r="M25" s="512"/>
      <c r="N25" s="512"/>
      <c r="O25" s="512"/>
      <c r="P25" s="512"/>
      <c r="Q25" s="512"/>
      <c r="R25" s="512"/>
      <c r="S25" s="512">
        <v>24</v>
      </c>
      <c r="T25" s="512">
        <v>30</v>
      </c>
      <c r="U25" s="512"/>
      <c r="V25" s="512"/>
      <c r="W25" s="512"/>
      <c r="X25" s="512"/>
      <c r="Y25" s="511"/>
    </row>
    <row r="26" spans="2:25" ht="20.100000000000001" customHeight="1" thickTop="1" x14ac:dyDescent="0.2">
      <c r="D26" s="354"/>
      <c r="G26" s="403"/>
      <c r="J26" s="511"/>
      <c r="K26" s="511"/>
      <c r="L26" s="512"/>
      <c r="M26" s="512"/>
      <c r="N26" s="512"/>
      <c r="O26" s="512"/>
      <c r="P26" s="512"/>
      <c r="Q26" s="512"/>
      <c r="R26" s="512"/>
      <c r="S26" s="512">
        <v>25</v>
      </c>
      <c r="T26" s="512">
        <v>30</v>
      </c>
      <c r="U26" s="512"/>
      <c r="V26" s="512"/>
      <c r="W26" s="512"/>
      <c r="X26" s="512"/>
      <c r="Y26" s="511"/>
    </row>
    <row r="27" spans="2:25" ht="20.100000000000001" customHeight="1" thickBot="1" x14ac:dyDescent="0.25">
      <c r="B27" s="841" t="s">
        <v>208</v>
      </c>
      <c r="C27" s="676" t="s">
        <v>341</v>
      </c>
      <c r="D27" s="506" t="str">
        <f>IF(ROUND(E5/2,0)*2&gt;50,"300 mg iv",ROUND(E5*5,0)&amp;" mg iv")</f>
        <v>0 mg iv</v>
      </c>
      <c r="E27" s="506" t="str">
        <f>IF(ROUND(E5/2,0)*2&gt;50,"6 ml van amiodarone 50 mg/ml iv",ROUND(E5*0.1,1)&amp;" ml van amiodarone 50 mg/ml iv")</f>
        <v>0 ml van amiodarone 50 mg/ml iv</v>
      </c>
      <c r="F27" s="506"/>
      <c r="G27" s="514" t="s">
        <v>10</v>
      </c>
      <c r="J27" s="511"/>
      <c r="K27" s="511"/>
      <c r="L27" s="512"/>
      <c r="M27" s="512"/>
      <c r="N27" s="512"/>
      <c r="O27" s="512"/>
      <c r="P27" s="512"/>
      <c r="Q27" s="512"/>
      <c r="R27" s="512"/>
      <c r="S27" s="512">
        <v>26</v>
      </c>
      <c r="T27" s="512">
        <v>30</v>
      </c>
      <c r="U27" s="512"/>
      <c r="V27" s="512"/>
      <c r="W27" s="512"/>
      <c r="X27" s="512"/>
      <c r="Y27" s="511"/>
    </row>
    <row r="28" spans="2:25" ht="20.100000000000001" customHeight="1" thickTop="1" thickBot="1" x14ac:dyDescent="0.25">
      <c r="B28" s="842"/>
      <c r="C28" s="676" t="s">
        <v>243</v>
      </c>
      <c r="D28" s="480" t="str">
        <f>IF(E5/10&gt;10,"10 ml iv",E5/10 &amp;" ml iv")</f>
        <v>0 ml iv</v>
      </c>
      <c r="E28" s="480" t="s">
        <v>181</v>
      </c>
      <c r="F28" s="480"/>
      <c r="G28" s="525" t="s">
        <v>11</v>
      </c>
      <c r="J28" s="511"/>
      <c r="K28" s="511"/>
      <c r="L28" s="512"/>
      <c r="M28" s="512"/>
      <c r="N28" s="512"/>
      <c r="O28" s="512"/>
      <c r="P28" s="512"/>
      <c r="Q28" s="512"/>
      <c r="R28" s="512"/>
      <c r="S28" s="512">
        <v>27</v>
      </c>
      <c r="T28" s="512">
        <v>30</v>
      </c>
      <c r="U28" s="512"/>
      <c r="V28" s="512"/>
      <c r="W28" s="512"/>
      <c r="X28" s="512"/>
      <c r="Y28" s="511"/>
    </row>
    <row r="29" spans="2:25" ht="20.100000000000001" customHeight="1" thickTop="1" x14ac:dyDescent="0.2">
      <c r="D29" s="354"/>
      <c r="G29" s="403"/>
      <c r="J29" s="511"/>
      <c r="K29" s="511"/>
      <c r="L29" s="512"/>
      <c r="M29" s="512"/>
      <c r="N29" s="512"/>
      <c r="O29" s="512"/>
      <c r="P29" s="512"/>
      <c r="Q29" s="512"/>
      <c r="R29" s="512"/>
      <c r="S29" s="512">
        <v>28</v>
      </c>
      <c r="T29" s="512">
        <v>30</v>
      </c>
      <c r="U29" s="512"/>
      <c r="V29" s="512"/>
      <c r="W29" s="512"/>
      <c r="X29" s="512"/>
      <c r="Y29" s="511"/>
    </row>
    <row r="30" spans="2:25" ht="20.100000000000001" customHeight="1" thickBot="1" x14ac:dyDescent="0.25">
      <c r="B30" s="840" t="s">
        <v>71</v>
      </c>
      <c r="C30" s="676" t="s">
        <v>80</v>
      </c>
      <c r="D30" s="506" t="str">
        <f>IF((0.5*E5)&gt;10,"10 mg rect",(0.5*E5)&amp;" mg rect")</f>
        <v>0 mg rect</v>
      </c>
      <c r="E30" s="506" t="str">
        <f>"= "&amp;IF((0.5*E5)&gt;10,"5 ml van diazepam 2 mg/ml",ROUND((0.5*E5)/2,1)&amp;" ml van diazepam 2 mg/ml")</f>
        <v>= 0 ml van diazepam 2 mg/ml</v>
      </c>
      <c r="F30" s="506"/>
      <c r="G30" s="514" t="s">
        <v>12</v>
      </c>
      <c r="J30" s="511"/>
      <c r="K30" s="511"/>
      <c r="L30" s="512"/>
      <c r="M30" s="512"/>
      <c r="N30" s="512"/>
      <c r="O30" s="512"/>
      <c r="P30" s="512"/>
      <c r="Q30" s="512"/>
      <c r="R30" s="512"/>
      <c r="S30" s="512">
        <v>29</v>
      </c>
      <c r="T30" s="512">
        <v>30</v>
      </c>
      <c r="U30" s="512"/>
      <c r="V30" s="512"/>
      <c r="W30" s="512"/>
      <c r="X30" s="512"/>
      <c r="Y30" s="511"/>
    </row>
    <row r="31" spans="2:25" ht="20.100000000000001" customHeight="1" thickTop="1" thickBot="1" x14ac:dyDescent="0.25">
      <c r="B31" s="840"/>
      <c r="C31" s="676" t="s">
        <v>210</v>
      </c>
      <c r="D31" s="495" t="str">
        <f>IF((20*E5)&gt;1500,"1500 mg iv",20*E5&amp;" mg iv")</f>
        <v>0 mg iv</v>
      </c>
      <c r="E31" s="843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43"/>
      <c r="G31" s="528" t="s">
        <v>28</v>
      </c>
      <c r="J31" s="511"/>
      <c r="L31" s="512"/>
      <c r="M31" s="512"/>
      <c r="N31" s="512"/>
      <c r="O31" s="512"/>
      <c r="P31" s="512"/>
      <c r="Q31" s="512"/>
      <c r="R31" s="512"/>
      <c r="S31" s="512">
        <v>30</v>
      </c>
      <c r="T31" s="512">
        <v>30</v>
      </c>
      <c r="U31" s="512">
        <v>30</v>
      </c>
      <c r="V31" s="512"/>
      <c r="W31" s="512"/>
      <c r="X31" s="512"/>
      <c r="Y31" s="511"/>
    </row>
    <row r="32" spans="2:25" ht="20.100000000000001" customHeight="1" thickTop="1" thickBot="1" x14ac:dyDescent="0.25">
      <c r="B32" s="687"/>
      <c r="C32" s="676"/>
      <c r="D32" s="495"/>
      <c r="E32" s="843"/>
      <c r="F32" s="843"/>
      <c r="G32" s="526"/>
      <c r="L32" s="512"/>
      <c r="M32" s="512"/>
      <c r="N32" s="512"/>
      <c r="O32" s="512"/>
      <c r="P32" s="512"/>
      <c r="Q32" s="512"/>
      <c r="R32" s="512"/>
      <c r="S32" s="512">
        <v>31</v>
      </c>
      <c r="T32" s="512">
        <v>50</v>
      </c>
      <c r="U32" s="512"/>
      <c r="V32" s="512"/>
      <c r="W32" s="512"/>
      <c r="X32" s="512"/>
      <c r="Y32" s="511"/>
    </row>
    <row r="33" spans="2:25" ht="12.75" customHeight="1" thickTop="1" thickBot="1" x14ac:dyDescent="0.25">
      <c r="B33" s="687"/>
      <c r="C33" s="676" t="s">
        <v>283</v>
      </c>
      <c r="D33" s="480" t="str">
        <f>IF((0.1*E5)&gt;10,"10 mg iv",0.1*E5&amp;" mg iv")</f>
        <v>0 mg iv</v>
      </c>
      <c r="E33" s="480" t="str">
        <f>"= "&amp;IF((0.1*E5)&gt;15,10,ROUND((0.1*E5),1))&amp;" ml van dormicum 1 mg/ml iv"</f>
        <v>= 0 ml van dormicum 1 mg/ml iv</v>
      </c>
      <c r="F33" s="480"/>
      <c r="G33" s="527" t="s">
        <v>13</v>
      </c>
      <c r="L33" s="512"/>
      <c r="M33" s="512"/>
      <c r="N33" s="512"/>
      <c r="O33" s="512"/>
      <c r="P33" s="512"/>
      <c r="Q33" s="512"/>
      <c r="R33" s="512"/>
      <c r="S33" s="512">
        <v>32</v>
      </c>
      <c r="T33" s="512">
        <v>50</v>
      </c>
      <c r="U33" s="512"/>
      <c r="V33" s="512"/>
      <c r="W33" s="512"/>
      <c r="X33" s="512"/>
      <c r="Y33" s="511"/>
    </row>
    <row r="34" spans="2:25" ht="13.5" customHeight="1" thickTop="1" x14ac:dyDescent="0.2">
      <c r="D34" s="354"/>
      <c r="G34" s="403"/>
      <c r="L34" s="512"/>
      <c r="M34" s="512"/>
      <c r="N34" s="512"/>
      <c r="O34" s="512"/>
      <c r="P34" s="512"/>
      <c r="Q34" s="512"/>
      <c r="R34" s="512"/>
      <c r="S34" s="512">
        <v>33</v>
      </c>
      <c r="T34" s="512">
        <v>50</v>
      </c>
      <c r="U34" s="512"/>
      <c r="V34" s="512"/>
      <c r="W34" s="512"/>
      <c r="X34" s="512"/>
      <c r="Y34" s="511"/>
    </row>
    <row r="35" spans="2:25" ht="19.5" customHeight="1" thickBot="1" x14ac:dyDescent="0.25">
      <c r="B35" s="687" t="s">
        <v>72</v>
      </c>
      <c r="C35" s="676" t="s">
        <v>317</v>
      </c>
      <c r="D35" s="506" t="str">
        <f>IF(1*(E5&gt;25),"25 mg iv",1*(E5)&amp;" mg iv")</f>
        <v>0 mg iv</v>
      </c>
      <c r="E35" s="506"/>
      <c r="F35" s="506"/>
      <c r="G35" s="514" t="s">
        <v>14</v>
      </c>
      <c r="L35" s="512"/>
      <c r="M35" s="512"/>
      <c r="N35" s="512"/>
      <c r="O35" s="512"/>
      <c r="P35" s="512"/>
      <c r="Q35" s="512"/>
      <c r="R35" s="512"/>
      <c r="S35" s="512">
        <v>34</v>
      </c>
      <c r="T35" s="512">
        <v>50</v>
      </c>
      <c r="U35" s="512"/>
      <c r="V35" s="512"/>
      <c r="W35" s="512"/>
      <c r="X35" s="512"/>
      <c r="Y35" s="511"/>
    </row>
    <row r="36" spans="2:25" ht="19.5" customHeight="1" thickTop="1" thickBot="1" x14ac:dyDescent="0.25">
      <c r="B36" s="687"/>
      <c r="C36" s="676" t="s">
        <v>81</v>
      </c>
      <c r="D36" s="480" t="str">
        <f>IF(ROUND((0.5*E5),1)&gt;50,"50 gram iv",ROUND((0.5*E5),1)&amp;" gram iv")</f>
        <v>0 gram iv</v>
      </c>
      <c r="E36" s="480" t="str">
        <f>"= "&amp;IF(ROUND((0.5*E5),1)&gt;50,ROUND(50/0.15,0),ROUND((0.5*E5)/0.15,0))&amp;" ml van mannitol 15% in 30 min iv"</f>
        <v>= 0 ml van mannitol 15% in 30 min iv</v>
      </c>
      <c r="F36" s="480"/>
      <c r="G36" s="525" t="s">
        <v>15</v>
      </c>
      <c r="L36" s="512"/>
      <c r="M36" s="512"/>
      <c r="N36" s="512"/>
      <c r="O36" s="512"/>
      <c r="P36" s="512"/>
      <c r="Q36" s="512"/>
      <c r="R36" s="512"/>
      <c r="S36" s="512">
        <v>35</v>
      </c>
      <c r="T36" s="512">
        <v>50</v>
      </c>
      <c r="U36" s="512"/>
      <c r="V36" s="512"/>
      <c r="W36" s="512"/>
      <c r="X36" s="512"/>
      <c r="Y36" s="511"/>
    </row>
    <row r="37" spans="2:25" ht="25.5" customHeight="1" thickTop="1" x14ac:dyDescent="0.2">
      <c r="D37" s="354"/>
      <c r="G37" s="406"/>
      <c r="L37" s="512"/>
      <c r="M37" s="512"/>
      <c r="N37" s="512"/>
      <c r="O37" s="512"/>
      <c r="P37" s="512"/>
      <c r="Q37" s="512"/>
      <c r="R37" s="512"/>
      <c r="S37" s="512">
        <v>36</v>
      </c>
      <c r="T37" s="512">
        <v>50</v>
      </c>
      <c r="U37" s="512"/>
      <c r="V37" s="512"/>
      <c r="W37" s="512"/>
      <c r="X37" s="512"/>
      <c r="Y37" s="511"/>
    </row>
    <row r="38" spans="2:25" ht="19.5" customHeight="1" thickBot="1" x14ac:dyDescent="0.25">
      <c r="B38" s="687" t="s">
        <v>82</v>
      </c>
      <c r="C38" s="684" t="s">
        <v>230</v>
      </c>
      <c r="D38" s="506" t="str">
        <f ca="1">"AMV "&amp;ROUND(E5*8*VLOOKUP(C5,L2:M20,2)/1000,1)&amp;" L/min"</f>
        <v>AMV 0 L/min</v>
      </c>
      <c r="E38" s="506"/>
      <c r="F38" s="506" t="s">
        <v>83</v>
      </c>
      <c r="G38" s="506"/>
      <c r="L38" s="512"/>
      <c r="M38" s="512"/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1"/>
    </row>
    <row r="39" spans="2:25" ht="19.5" customHeight="1" thickTop="1" thickBot="1" x14ac:dyDescent="0.25">
      <c r="B39" s="687"/>
      <c r="C39" s="676"/>
      <c r="D39" s="495" t="str">
        <f ca="1">"frequentie "&amp;VLOOKUP(C5,L2:M20,2)&amp;"/min"</f>
        <v>frequentie 15/min</v>
      </c>
      <c r="E39" s="495"/>
      <c r="F39" s="495" t="s">
        <v>84</v>
      </c>
      <c r="G39" s="495"/>
      <c r="L39" s="512"/>
      <c r="M39" s="512"/>
      <c r="N39" s="512"/>
      <c r="O39" s="512"/>
      <c r="P39" s="512"/>
      <c r="Q39" s="512"/>
      <c r="R39" s="512"/>
      <c r="S39" s="512">
        <v>37</v>
      </c>
      <c r="T39" s="512">
        <v>50</v>
      </c>
      <c r="U39" s="512"/>
      <c r="V39" s="512"/>
      <c r="W39" s="512"/>
      <c r="X39" s="512"/>
      <c r="Y39" s="511"/>
    </row>
    <row r="40" spans="2:25" ht="19.5" customHeight="1" thickTop="1" thickBot="1" x14ac:dyDescent="0.25">
      <c r="B40" s="687"/>
      <c r="C40" s="676"/>
      <c r="D40" s="495" t="s">
        <v>342</v>
      </c>
      <c r="E40" s="495"/>
      <c r="F40" s="495" t="s">
        <v>331</v>
      </c>
      <c r="G40" s="495"/>
      <c r="L40" s="512"/>
      <c r="M40" s="512"/>
      <c r="N40" s="512"/>
      <c r="O40" s="512"/>
      <c r="P40" s="512"/>
      <c r="Q40" s="512"/>
      <c r="R40" s="512"/>
      <c r="S40" s="512">
        <v>38</v>
      </c>
      <c r="T40" s="512">
        <v>50</v>
      </c>
      <c r="U40" s="512"/>
      <c r="V40" s="512"/>
      <c r="W40" s="512"/>
      <c r="X40" s="512"/>
      <c r="Y40" s="511"/>
    </row>
    <row r="41" spans="2:25" ht="19.5" customHeight="1" thickTop="1" thickBot="1" x14ac:dyDescent="0.25">
      <c r="B41" s="687"/>
      <c r="C41" s="676"/>
      <c r="D41" s="495" t="s">
        <v>332</v>
      </c>
      <c r="E41" s="495"/>
      <c r="F41" s="495"/>
      <c r="G41" s="495"/>
      <c r="L41" s="512"/>
      <c r="M41" s="512"/>
      <c r="N41" s="512"/>
      <c r="O41" s="512"/>
      <c r="P41" s="512"/>
      <c r="Q41" s="512"/>
      <c r="R41" s="512"/>
      <c r="S41" s="512">
        <v>39</v>
      </c>
      <c r="T41" s="512">
        <v>50</v>
      </c>
      <c r="U41" s="512"/>
      <c r="V41" s="512"/>
      <c r="W41" s="512"/>
      <c r="X41" s="512"/>
      <c r="Y41" s="511"/>
    </row>
    <row r="42" spans="2:25" ht="19.5" customHeight="1" thickTop="1" thickBot="1" x14ac:dyDescent="0.25">
      <c r="B42" s="687"/>
      <c r="C42" s="676"/>
      <c r="D42" s="480"/>
      <c r="E42" s="480"/>
      <c r="F42" s="480"/>
      <c r="G42" s="480"/>
      <c r="L42" s="512"/>
      <c r="M42" s="512"/>
      <c r="N42" s="512"/>
      <c r="O42" s="512"/>
      <c r="P42" s="512"/>
      <c r="Q42" s="512"/>
      <c r="R42" s="512"/>
      <c r="S42" s="512">
        <v>40</v>
      </c>
      <c r="T42" s="512">
        <v>50</v>
      </c>
      <c r="U42" s="512"/>
      <c r="V42" s="512"/>
      <c r="W42" s="512"/>
      <c r="X42" s="512"/>
      <c r="Y42" s="511"/>
    </row>
    <row r="43" spans="2:25" ht="19.5" customHeight="1" thickTop="1" x14ac:dyDescent="0.2">
      <c r="L43" s="512"/>
      <c r="M43" s="512"/>
      <c r="N43" s="512"/>
      <c r="O43" s="512"/>
      <c r="P43" s="512"/>
      <c r="Q43" s="512"/>
      <c r="R43" s="512"/>
      <c r="S43" s="512">
        <v>41</v>
      </c>
      <c r="T43" s="512">
        <v>50</v>
      </c>
      <c r="U43" s="512"/>
      <c r="V43" s="512"/>
      <c r="W43" s="512"/>
      <c r="X43" s="512"/>
      <c r="Y43" s="511"/>
    </row>
    <row r="44" spans="2:25" ht="19.5" customHeight="1" x14ac:dyDescent="0.2">
      <c r="B44" s="690" t="s">
        <v>68</v>
      </c>
      <c r="C44" s="506"/>
      <c r="L44" s="512"/>
      <c r="M44" s="512"/>
      <c r="N44" s="512"/>
      <c r="O44" s="512"/>
      <c r="P44" s="512"/>
      <c r="Q44" s="512"/>
      <c r="R44" s="512"/>
      <c r="S44" s="512">
        <v>42</v>
      </c>
      <c r="T44" s="512">
        <v>50</v>
      </c>
      <c r="U44" s="512"/>
      <c r="V44" s="512"/>
      <c r="W44" s="512"/>
      <c r="X44" s="512"/>
      <c r="Y44" s="511"/>
    </row>
    <row r="45" spans="2:25" ht="19.5" customHeight="1" x14ac:dyDescent="0.2">
      <c r="L45" s="512"/>
      <c r="M45" s="512"/>
      <c r="N45" s="512"/>
      <c r="O45" s="512"/>
      <c r="P45" s="512"/>
      <c r="Q45" s="512"/>
      <c r="R45" s="512"/>
      <c r="S45" s="512">
        <v>43</v>
      </c>
      <c r="T45" s="512">
        <v>50</v>
      </c>
      <c r="U45" s="512"/>
      <c r="V45" s="512"/>
      <c r="W45" s="512"/>
      <c r="X45" s="512"/>
      <c r="Y45" s="511"/>
    </row>
    <row r="46" spans="2:25" ht="19.5" customHeight="1" x14ac:dyDescent="0.2">
      <c r="L46" s="512"/>
      <c r="M46" s="512"/>
      <c r="N46" s="512"/>
      <c r="O46" s="512"/>
      <c r="P46" s="512"/>
      <c r="Q46" s="512"/>
      <c r="R46" s="512"/>
      <c r="S46" s="512">
        <v>44</v>
      </c>
      <c r="T46" s="512">
        <v>50</v>
      </c>
      <c r="U46" s="512"/>
      <c r="V46" s="512"/>
      <c r="W46" s="512"/>
      <c r="X46" s="512"/>
      <c r="Y46" s="511"/>
    </row>
    <row r="47" spans="2:25" x14ac:dyDescent="0.2">
      <c r="L47" s="512"/>
      <c r="M47" s="512"/>
      <c r="N47" s="512"/>
      <c r="O47" s="512"/>
      <c r="P47" s="512"/>
      <c r="Q47" s="512"/>
      <c r="R47" s="512"/>
      <c r="S47" s="512">
        <v>45</v>
      </c>
      <c r="T47" s="512">
        <v>50</v>
      </c>
      <c r="U47" s="512"/>
      <c r="V47" s="512"/>
      <c r="W47" s="512"/>
      <c r="X47" s="512"/>
      <c r="Y47" s="511"/>
    </row>
    <row r="48" spans="2:25" x14ac:dyDescent="0.2">
      <c r="L48" s="512"/>
      <c r="M48" s="512"/>
      <c r="N48" s="512"/>
      <c r="O48" s="512"/>
      <c r="P48" s="512"/>
      <c r="Q48" s="512"/>
      <c r="R48" s="512"/>
      <c r="S48" s="512">
        <v>46</v>
      </c>
      <c r="T48" s="512">
        <v>50</v>
      </c>
      <c r="U48" s="512"/>
      <c r="V48" s="512"/>
      <c r="W48" s="512"/>
      <c r="X48" s="512"/>
      <c r="Y48" s="511"/>
    </row>
    <row r="49" spans="12:25" x14ac:dyDescent="0.2">
      <c r="L49" s="512"/>
      <c r="M49" s="512"/>
      <c r="N49" s="512"/>
      <c r="O49" s="512"/>
      <c r="P49" s="512"/>
      <c r="Q49" s="512"/>
      <c r="R49" s="512"/>
      <c r="S49" s="512">
        <v>47</v>
      </c>
      <c r="T49" s="512">
        <v>50</v>
      </c>
      <c r="U49" s="512"/>
      <c r="V49" s="512"/>
      <c r="W49" s="512"/>
      <c r="X49" s="512"/>
      <c r="Y49" s="511"/>
    </row>
    <row r="50" spans="12:25" x14ac:dyDescent="0.2">
      <c r="L50" s="512"/>
      <c r="M50" s="512"/>
      <c r="N50" s="512"/>
      <c r="O50" s="512"/>
      <c r="P50" s="512"/>
      <c r="Q50" s="512"/>
      <c r="R50" s="512"/>
      <c r="S50" s="512">
        <v>48</v>
      </c>
      <c r="T50" s="512">
        <v>50</v>
      </c>
      <c r="U50" s="512"/>
      <c r="V50" s="512"/>
      <c r="W50" s="512"/>
      <c r="X50" s="512"/>
      <c r="Y50" s="511"/>
    </row>
    <row r="51" spans="12:25" x14ac:dyDescent="0.2">
      <c r="L51" s="512"/>
      <c r="M51" s="512"/>
      <c r="N51" s="512"/>
      <c r="O51" s="512"/>
      <c r="P51" s="512"/>
      <c r="Q51" s="512"/>
      <c r="R51" s="512"/>
      <c r="S51" s="512">
        <v>49</v>
      </c>
      <c r="T51" s="512">
        <v>50</v>
      </c>
      <c r="U51" s="512"/>
      <c r="V51" s="512"/>
      <c r="W51" s="512"/>
      <c r="X51" s="512"/>
      <c r="Y51" s="511"/>
    </row>
    <row r="52" spans="12:25" x14ac:dyDescent="0.2">
      <c r="L52" s="512"/>
      <c r="M52" s="512"/>
      <c r="N52" s="512"/>
      <c r="O52" s="512"/>
      <c r="P52" s="512"/>
      <c r="Q52" s="512"/>
      <c r="R52" s="512"/>
      <c r="S52" s="512">
        <v>50</v>
      </c>
      <c r="T52" s="512">
        <v>50</v>
      </c>
      <c r="U52" s="512">
        <v>50</v>
      </c>
      <c r="V52" s="512"/>
      <c r="W52" s="512"/>
      <c r="X52" s="512"/>
      <c r="Y52" s="511"/>
    </row>
    <row r="53" spans="12:25" x14ac:dyDescent="0.2">
      <c r="L53" s="512"/>
      <c r="M53" s="512"/>
      <c r="N53" s="512"/>
      <c r="O53" s="512"/>
      <c r="P53" s="512"/>
      <c r="Q53" s="512"/>
      <c r="R53" s="512"/>
      <c r="S53" s="512">
        <v>51</v>
      </c>
      <c r="T53" s="512">
        <v>70</v>
      </c>
      <c r="U53" s="512"/>
      <c r="V53" s="512"/>
      <c r="W53" s="512"/>
      <c r="X53" s="512"/>
      <c r="Y53" s="511"/>
    </row>
    <row r="54" spans="12:25" x14ac:dyDescent="0.2">
      <c r="L54" s="512"/>
      <c r="M54" s="512"/>
      <c r="N54" s="512"/>
      <c r="O54" s="512"/>
      <c r="P54" s="512"/>
      <c r="Q54" s="512"/>
      <c r="R54" s="512"/>
      <c r="S54" s="512">
        <v>52</v>
      </c>
      <c r="T54" s="512">
        <v>70</v>
      </c>
      <c r="U54" s="512"/>
      <c r="V54" s="512"/>
      <c r="W54" s="512"/>
      <c r="X54" s="512"/>
      <c r="Y54" s="511"/>
    </row>
    <row r="55" spans="12:25" x14ac:dyDescent="0.2">
      <c r="L55" s="512"/>
      <c r="M55" s="512"/>
      <c r="N55" s="512"/>
      <c r="O55" s="512"/>
      <c r="P55" s="512"/>
      <c r="Q55" s="512"/>
      <c r="R55" s="512"/>
      <c r="S55" s="512">
        <v>53</v>
      </c>
      <c r="T55" s="512">
        <v>70</v>
      </c>
      <c r="U55" s="512"/>
      <c r="V55" s="512"/>
      <c r="W55" s="512"/>
      <c r="X55" s="512"/>
      <c r="Y55" s="511"/>
    </row>
    <row r="56" spans="12:25" x14ac:dyDescent="0.2">
      <c r="L56" s="512"/>
      <c r="M56" s="512"/>
      <c r="N56" s="512"/>
      <c r="O56" s="512"/>
      <c r="P56" s="512"/>
      <c r="Q56" s="512"/>
      <c r="R56" s="512"/>
      <c r="S56" s="512">
        <v>54</v>
      </c>
      <c r="T56" s="512">
        <v>70</v>
      </c>
      <c r="U56" s="512"/>
      <c r="V56" s="512"/>
      <c r="W56" s="512"/>
      <c r="X56" s="512"/>
      <c r="Y56" s="511"/>
    </row>
    <row r="57" spans="12:25" x14ac:dyDescent="0.2">
      <c r="L57" s="512"/>
      <c r="M57" s="512"/>
      <c r="N57" s="512"/>
      <c r="O57" s="512"/>
      <c r="P57" s="512"/>
      <c r="Q57" s="512"/>
      <c r="R57" s="512"/>
      <c r="S57" s="512">
        <v>55</v>
      </c>
      <c r="T57" s="512">
        <v>70</v>
      </c>
      <c r="U57" s="512"/>
      <c r="V57" s="512"/>
      <c r="W57" s="512"/>
      <c r="X57" s="512"/>
      <c r="Y57" s="511"/>
    </row>
    <row r="58" spans="12:25" x14ac:dyDescent="0.2">
      <c r="L58" s="512"/>
      <c r="M58" s="512"/>
      <c r="N58" s="512"/>
      <c r="O58" s="512"/>
      <c r="P58" s="512"/>
      <c r="Q58" s="512"/>
      <c r="R58" s="512"/>
      <c r="S58" s="512">
        <v>56</v>
      </c>
      <c r="T58" s="512">
        <v>70</v>
      </c>
      <c r="U58" s="512"/>
      <c r="V58" s="512"/>
      <c r="W58" s="512"/>
      <c r="X58" s="512"/>
      <c r="Y58" s="511"/>
    </row>
    <row r="59" spans="12:25" x14ac:dyDescent="0.2">
      <c r="L59" s="512"/>
      <c r="M59" s="512"/>
      <c r="N59" s="512"/>
      <c r="O59" s="512"/>
      <c r="P59" s="512"/>
      <c r="Q59" s="512"/>
      <c r="R59" s="512"/>
      <c r="S59" s="512">
        <v>57</v>
      </c>
      <c r="T59" s="512">
        <v>70</v>
      </c>
      <c r="U59" s="512"/>
      <c r="V59" s="512"/>
      <c r="W59" s="512"/>
      <c r="X59" s="512"/>
      <c r="Y59" s="511"/>
    </row>
    <row r="60" spans="12:25" x14ac:dyDescent="0.2">
      <c r="L60" s="512"/>
      <c r="M60" s="512"/>
      <c r="N60" s="512"/>
      <c r="O60" s="512"/>
      <c r="P60" s="512"/>
      <c r="Q60" s="512"/>
      <c r="R60" s="512"/>
      <c r="S60" s="512">
        <v>58</v>
      </c>
      <c r="T60" s="512">
        <v>70</v>
      </c>
      <c r="U60" s="512"/>
      <c r="V60" s="512"/>
      <c r="W60" s="512"/>
      <c r="X60" s="512"/>
      <c r="Y60" s="511"/>
    </row>
    <row r="61" spans="12:25" x14ac:dyDescent="0.2">
      <c r="L61" s="512"/>
      <c r="M61" s="512"/>
      <c r="N61" s="512"/>
      <c r="O61" s="512"/>
      <c r="P61" s="512"/>
      <c r="Q61" s="512"/>
      <c r="R61" s="512"/>
      <c r="S61" s="512">
        <v>59</v>
      </c>
      <c r="T61" s="512">
        <v>70</v>
      </c>
      <c r="U61" s="512"/>
      <c r="V61" s="512"/>
      <c r="W61" s="512"/>
      <c r="X61" s="512"/>
      <c r="Y61" s="511"/>
    </row>
    <row r="62" spans="12:25" x14ac:dyDescent="0.2">
      <c r="L62" s="512"/>
      <c r="M62" s="512"/>
      <c r="N62" s="512"/>
      <c r="O62" s="512"/>
      <c r="P62" s="512"/>
      <c r="Q62" s="512"/>
      <c r="R62" s="512"/>
      <c r="S62" s="512">
        <v>60</v>
      </c>
      <c r="T62" s="512">
        <v>70</v>
      </c>
      <c r="U62" s="512"/>
      <c r="V62" s="512"/>
      <c r="W62" s="512"/>
      <c r="X62" s="512"/>
      <c r="Y62" s="511"/>
    </row>
    <row r="63" spans="12:25" x14ac:dyDescent="0.2">
      <c r="L63" s="512"/>
      <c r="M63" s="512"/>
      <c r="N63" s="512"/>
      <c r="O63" s="512"/>
      <c r="P63" s="512"/>
      <c r="Q63" s="512"/>
      <c r="R63" s="512"/>
      <c r="S63" s="512">
        <v>61</v>
      </c>
      <c r="T63" s="512">
        <v>70</v>
      </c>
      <c r="U63" s="512"/>
      <c r="V63" s="512"/>
      <c r="W63" s="512"/>
      <c r="X63" s="512"/>
      <c r="Y63" s="511"/>
    </row>
    <row r="64" spans="12:25" x14ac:dyDescent="0.2">
      <c r="L64" s="512"/>
      <c r="M64" s="512"/>
      <c r="N64" s="512"/>
      <c r="O64" s="512"/>
      <c r="P64" s="512"/>
      <c r="Q64" s="512"/>
      <c r="R64" s="512"/>
      <c r="S64" s="512">
        <v>62</v>
      </c>
      <c r="T64" s="512">
        <v>70</v>
      </c>
      <c r="U64" s="512"/>
      <c r="V64" s="512"/>
      <c r="W64" s="512"/>
      <c r="X64" s="512"/>
      <c r="Y64" s="511"/>
    </row>
    <row r="65" spans="12:25" x14ac:dyDescent="0.2">
      <c r="L65" s="512"/>
      <c r="M65" s="512"/>
      <c r="N65" s="512"/>
      <c r="O65" s="512"/>
      <c r="P65" s="512"/>
      <c r="Q65" s="512"/>
      <c r="R65" s="512"/>
      <c r="S65" s="512">
        <v>63</v>
      </c>
      <c r="T65" s="512">
        <v>70</v>
      </c>
      <c r="U65" s="512"/>
      <c r="V65" s="512"/>
      <c r="W65" s="512"/>
      <c r="X65" s="512"/>
      <c r="Y65" s="511"/>
    </row>
    <row r="66" spans="12:25" x14ac:dyDescent="0.2">
      <c r="L66" s="512"/>
      <c r="M66" s="512"/>
      <c r="N66" s="512"/>
      <c r="O66" s="512"/>
      <c r="P66" s="512"/>
      <c r="Q66" s="512"/>
      <c r="R66" s="512"/>
      <c r="S66" s="512">
        <v>64</v>
      </c>
      <c r="T66" s="512">
        <v>70</v>
      </c>
      <c r="U66" s="512"/>
      <c r="V66" s="512"/>
      <c r="W66" s="512"/>
      <c r="X66" s="512"/>
      <c r="Y66" s="511"/>
    </row>
    <row r="67" spans="12:25" x14ac:dyDescent="0.2">
      <c r="L67" s="512"/>
      <c r="M67" s="512"/>
      <c r="N67" s="512"/>
      <c r="O67" s="512"/>
      <c r="P67" s="512"/>
      <c r="Q67" s="512"/>
      <c r="R67" s="512"/>
      <c r="S67" s="512">
        <v>65</v>
      </c>
      <c r="T67" s="512">
        <v>70</v>
      </c>
      <c r="U67" s="512"/>
      <c r="V67" s="512"/>
      <c r="W67" s="512"/>
      <c r="X67" s="512"/>
      <c r="Y67" s="511"/>
    </row>
    <row r="68" spans="12:25" x14ac:dyDescent="0.2">
      <c r="L68" s="512"/>
      <c r="M68" s="512"/>
      <c r="N68" s="512"/>
      <c r="O68" s="512"/>
      <c r="P68" s="512"/>
      <c r="Q68" s="512"/>
      <c r="R68" s="512"/>
      <c r="S68" s="512">
        <v>66</v>
      </c>
      <c r="T68" s="512">
        <v>70</v>
      </c>
      <c r="U68" s="512"/>
      <c r="V68" s="512"/>
      <c r="W68" s="512"/>
      <c r="X68" s="512"/>
      <c r="Y68" s="511"/>
    </row>
    <row r="69" spans="12:25" x14ac:dyDescent="0.2">
      <c r="L69" s="512"/>
      <c r="M69" s="512"/>
      <c r="N69" s="512"/>
      <c r="O69" s="512"/>
      <c r="P69" s="512"/>
      <c r="Q69" s="512"/>
      <c r="R69" s="512"/>
      <c r="S69" s="512">
        <v>67</v>
      </c>
      <c r="T69" s="512">
        <v>70</v>
      </c>
      <c r="U69" s="512"/>
      <c r="V69" s="512"/>
      <c r="W69" s="512"/>
      <c r="X69" s="512"/>
      <c r="Y69" s="511"/>
    </row>
    <row r="70" spans="12:25" x14ac:dyDescent="0.2">
      <c r="L70" s="512"/>
      <c r="M70" s="512"/>
      <c r="N70" s="512"/>
      <c r="O70" s="512"/>
      <c r="P70" s="512"/>
      <c r="Q70" s="512"/>
      <c r="R70" s="512"/>
      <c r="S70" s="512">
        <v>68</v>
      </c>
      <c r="T70" s="512">
        <v>70</v>
      </c>
      <c r="U70" s="512"/>
      <c r="V70" s="512"/>
      <c r="W70" s="512"/>
      <c r="X70" s="512"/>
      <c r="Y70" s="511"/>
    </row>
    <row r="71" spans="12:25" x14ac:dyDescent="0.2">
      <c r="L71" s="512"/>
      <c r="M71" s="512"/>
      <c r="N71" s="512"/>
      <c r="O71" s="512"/>
      <c r="P71" s="512"/>
      <c r="Q71" s="512"/>
      <c r="R71" s="512"/>
      <c r="S71" s="512">
        <v>69</v>
      </c>
      <c r="T71" s="512">
        <v>70</v>
      </c>
      <c r="U71" s="512"/>
      <c r="V71" s="512"/>
      <c r="W71" s="512"/>
      <c r="X71" s="512"/>
      <c r="Y71" s="511"/>
    </row>
    <row r="72" spans="12:25" x14ac:dyDescent="0.2">
      <c r="L72" s="512"/>
      <c r="M72" s="512"/>
      <c r="N72" s="512"/>
      <c r="O72" s="512"/>
      <c r="P72" s="512"/>
      <c r="Q72" s="512"/>
      <c r="R72" s="512"/>
      <c r="S72" s="512">
        <v>70</v>
      </c>
      <c r="T72" s="512">
        <v>70</v>
      </c>
      <c r="U72" s="512">
        <v>70</v>
      </c>
      <c r="V72" s="512"/>
      <c r="W72" s="512"/>
      <c r="X72" s="512"/>
      <c r="Y72" s="511"/>
    </row>
    <row r="73" spans="12:25" x14ac:dyDescent="0.2">
      <c r="L73" s="512"/>
      <c r="M73" s="512"/>
      <c r="N73" s="512"/>
      <c r="O73" s="512"/>
      <c r="P73" s="512"/>
      <c r="Q73" s="512"/>
      <c r="R73" s="512"/>
      <c r="S73" s="512">
        <v>71</v>
      </c>
      <c r="T73" s="512">
        <v>100</v>
      </c>
      <c r="U73" s="512"/>
      <c r="V73" s="512"/>
      <c r="W73" s="512"/>
      <c r="X73" s="512"/>
      <c r="Y73" s="511"/>
    </row>
    <row r="74" spans="12:25" x14ac:dyDescent="0.2">
      <c r="L74" s="512"/>
      <c r="M74" s="512"/>
      <c r="N74" s="512"/>
      <c r="O74" s="512"/>
      <c r="P74" s="512"/>
      <c r="Q74" s="512"/>
      <c r="R74" s="512"/>
      <c r="S74" s="512">
        <v>72</v>
      </c>
      <c r="T74" s="512">
        <v>100</v>
      </c>
      <c r="U74" s="512"/>
      <c r="V74" s="512"/>
      <c r="W74" s="512"/>
      <c r="X74" s="512"/>
      <c r="Y74" s="511"/>
    </row>
    <row r="75" spans="12:25" x14ac:dyDescent="0.2">
      <c r="L75" s="512"/>
      <c r="M75" s="512"/>
      <c r="N75" s="512"/>
      <c r="O75" s="512"/>
      <c r="P75" s="512"/>
      <c r="Q75" s="512"/>
      <c r="R75" s="512"/>
      <c r="S75" s="512">
        <v>73</v>
      </c>
      <c r="T75" s="512">
        <v>100</v>
      </c>
      <c r="U75" s="512"/>
      <c r="V75" s="512"/>
      <c r="W75" s="512"/>
      <c r="X75" s="512"/>
      <c r="Y75" s="511"/>
    </row>
    <row r="76" spans="12:25" x14ac:dyDescent="0.2">
      <c r="L76" s="512"/>
      <c r="M76" s="512"/>
      <c r="N76" s="512"/>
      <c r="O76" s="512"/>
      <c r="P76" s="512"/>
      <c r="Q76" s="512"/>
      <c r="R76" s="512"/>
      <c r="S76" s="512">
        <v>74</v>
      </c>
      <c r="T76" s="512">
        <v>100</v>
      </c>
      <c r="U76" s="512"/>
      <c r="V76" s="512"/>
      <c r="W76" s="512"/>
      <c r="X76" s="512"/>
      <c r="Y76" s="511"/>
    </row>
    <row r="77" spans="12:25" x14ac:dyDescent="0.2">
      <c r="L77" s="512"/>
      <c r="M77" s="512"/>
      <c r="N77" s="512"/>
      <c r="O77" s="512"/>
      <c r="P77" s="512"/>
      <c r="Q77" s="512"/>
      <c r="R77" s="512"/>
      <c r="S77" s="512">
        <v>75</v>
      </c>
      <c r="T77" s="512">
        <v>100</v>
      </c>
      <c r="U77" s="512"/>
      <c r="V77" s="512"/>
      <c r="W77" s="512"/>
      <c r="X77" s="512"/>
      <c r="Y77" s="511"/>
    </row>
    <row r="78" spans="12:25" x14ac:dyDescent="0.2">
      <c r="L78" s="512"/>
      <c r="M78" s="512"/>
      <c r="N78" s="512"/>
      <c r="O78" s="512"/>
      <c r="P78" s="512"/>
      <c r="Q78" s="512"/>
      <c r="R78" s="512"/>
      <c r="S78" s="512">
        <v>76</v>
      </c>
      <c r="T78" s="512">
        <v>100</v>
      </c>
      <c r="U78" s="512"/>
      <c r="V78" s="512"/>
      <c r="W78" s="512"/>
      <c r="X78" s="512"/>
      <c r="Y78" s="511"/>
    </row>
    <row r="79" spans="12:25" x14ac:dyDescent="0.2">
      <c r="L79" s="512"/>
      <c r="M79" s="512"/>
      <c r="N79" s="512"/>
      <c r="O79" s="512"/>
      <c r="P79" s="512"/>
      <c r="Q79" s="512"/>
      <c r="R79" s="512"/>
      <c r="S79" s="512">
        <v>77</v>
      </c>
      <c r="T79" s="512">
        <v>100</v>
      </c>
      <c r="U79" s="512"/>
      <c r="V79" s="512"/>
      <c r="W79" s="512"/>
      <c r="X79" s="512"/>
      <c r="Y79" s="511"/>
    </row>
    <row r="80" spans="12:25" x14ac:dyDescent="0.2">
      <c r="L80" s="512"/>
      <c r="M80" s="512"/>
      <c r="N80" s="512"/>
      <c r="O80" s="512"/>
      <c r="P80" s="512"/>
      <c r="Q80" s="512"/>
      <c r="R80" s="512"/>
      <c r="S80" s="512">
        <v>78</v>
      </c>
      <c r="T80" s="512">
        <v>100</v>
      </c>
      <c r="U80" s="512"/>
      <c r="V80" s="512"/>
      <c r="W80" s="512"/>
      <c r="X80" s="512"/>
      <c r="Y80" s="511"/>
    </row>
    <row r="81" spans="12:25" x14ac:dyDescent="0.2">
      <c r="L81" s="512"/>
      <c r="M81" s="512"/>
      <c r="N81" s="512"/>
      <c r="O81" s="512"/>
      <c r="P81" s="512"/>
      <c r="Q81" s="512"/>
      <c r="R81" s="512"/>
      <c r="S81" s="512">
        <v>79</v>
      </c>
      <c r="T81" s="512">
        <v>100</v>
      </c>
      <c r="U81" s="512"/>
      <c r="V81" s="512"/>
      <c r="W81" s="512"/>
      <c r="X81" s="512"/>
      <c r="Y81" s="511"/>
    </row>
    <row r="82" spans="12:25" x14ac:dyDescent="0.2">
      <c r="L82" s="512"/>
      <c r="M82" s="512"/>
      <c r="N82" s="512"/>
      <c r="O82" s="512"/>
      <c r="P82" s="512"/>
      <c r="Q82" s="512"/>
      <c r="R82" s="512"/>
      <c r="S82" s="512">
        <v>80</v>
      </c>
      <c r="T82" s="512">
        <v>100</v>
      </c>
      <c r="U82" s="512"/>
      <c r="V82" s="512"/>
      <c r="W82" s="512"/>
      <c r="X82" s="512"/>
      <c r="Y82" s="511"/>
    </row>
    <row r="83" spans="12:25" x14ac:dyDescent="0.2">
      <c r="L83" s="512"/>
      <c r="M83" s="512"/>
      <c r="N83" s="512"/>
      <c r="O83" s="512"/>
      <c r="P83" s="512"/>
      <c r="Q83" s="512"/>
      <c r="R83" s="512"/>
      <c r="S83" s="512">
        <v>81</v>
      </c>
      <c r="T83" s="512">
        <v>100</v>
      </c>
      <c r="U83" s="512"/>
      <c r="V83" s="512"/>
      <c r="W83" s="512"/>
      <c r="X83" s="512"/>
      <c r="Y83" s="511"/>
    </row>
    <row r="84" spans="12:25" x14ac:dyDescent="0.2">
      <c r="L84" s="512"/>
      <c r="M84" s="512"/>
      <c r="N84" s="512"/>
      <c r="O84" s="512"/>
      <c r="P84" s="512"/>
      <c r="Q84" s="512"/>
      <c r="R84" s="512"/>
      <c r="S84" s="512">
        <v>82</v>
      </c>
      <c r="T84" s="512">
        <v>100</v>
      </c>
      <c r="U84" s="512"/>
      <c r="V84" s="512"/>
      <c r="W84" s="512"/>
      <c r="X84" s="512"/>
      <c r="Y84" s="511"/>
    </row>
    <row r="85" spans="12:25" x14ac:dyDescent="0.2">
      <c r="L85" s="512"/>
      <c r="M85" s="512"/>
      <c r="N85" s="512"/>
      <c r="O85" s="512"/>
      <c r="P85" s="512"/>
      <c r="Q85" s="512"/>
      <c r="R85" s="512"/>
      <c r="S85" s="512">
        <v>83</v>
      </c>
      <c r="T85" s="512">
        <v>100</v>
      </c>
      <c r="U85" s="512"/>
      <c r="V85" s="512"/>
      <c r="W85" s="512"/>
      <c r="X85" s="512"/>
      <c r="Y85" s="511"/>
    </row>
    <row r="86" spans="12:25" x14ac:dyDescent="0.2">
      <c r="L86" s="512"/>
      <c r="M86" s="512"/>
      <c r="N86" s="512"/>
      <c r="O86" s="512"/>
      <c r="P86" s="512"/>
      <c r="Q86" s="512"/>
      <c r="R86" s="512"/>
      <c r="S86" s="512">
        <v>84</v>
      </c>
      <c r="T86" s="512">
        <v>100</v>
      </c>
      <c r="U86" s="512"/>
      <c r="V86" s="512"/>
      <c r="W86" s="512"/>
      <c r="X86" s="512"/>
      <c r="Y86" s="511"/>
    </row>
    <row r="87" spans="12:25" x14ac:dyDescent="0.2">
      <c r="L87" s="512"/>
      <c r="M87" s="512"/>
      <c r="N87" s="512"/>
      <c r="O87" s="512"/>
      <c r="P87" s="512"/>
      <c r="Q87" s="512"/>
      <c r="R87" s="512"/>
      <c r="S87" s="512">
        <v>85</v>
      </c>
      <c r="T87" s="512">
        <v>100</v>
      </c>
      <c r="U87" s="512"/>
      <c r="V87" s="512"/>
      <c r="W87" s="512"/>
      <c r="X87" s="512"/>
      <c r="Y87" s="511"/>
    </row>
    <row r="88" spans="12:25" x14ac:dyDescent="0.2">
      <c r="L88" s="512"/>
      <c r="M88" s="512"/>
      <c r="N88" s="512"/>
      <c r="O88" s="512"/>
      <c r="P88" s="512"/>
      <c r="Q88" s="512"/>
      <c r="R88" s="512"/>
      <c r="S88" s="512">
        <v>86</v>
      </c>
      <c r="T88" s="512">
        <v>100</v>
      </c>
      <c r="U88" s="512"/>
      <c r="V88" s="512"/>
      <c r="W88" s="512"/>
      <c r="X88" s="512"/>
      <c r="Y88" s="511"/>
    </row>
    <row r="89" spans="12:25" x14ac:dyDescent="0.2">
      <c r="L89" s="512"/>
      <c r="M89" s="512"/>
      <c r="N89" s="512"/>
      <c r="O89" s="512"/>
      <c r="P89" s="512"/>
      <c r="Q89" s="512"/>
      <c r="R89" s="512"/>
      <c r="S89" s="512">
        <v>87</v>
      </c>
      <c r="T89" s="512">
        <v>100</v>
      </c>
      <c r="U89" s="512"/>
      <c r="V89" s="512"/>
      <c r="W89" s="512"/>
      <c r="X89" s="512"/>
      <c r="Y89" s="511"/>
    </row>
    <row r="90" spans="12:25" x14ac:dyDescent="0.2">
      <c r="L90" s="512"/>
      <c r="M90" s="512"/>
      <c r="N90" s="512"/>
      <c r="O90" s="512"/>
      <c r="P90" s="512"/>
      <c r="Q90" s="512"/>
      <c r="R90" s="512"/>
      <c r="S90" s="512">
        <v>88</v>
      </c>
      <c r="T90" s="512">
        <v>100</v>
      </c>
      <c r="U90" s="512"/>
      <c r="V90" s="512"/>
      <c r="W90" s="512"/>
      <c r="X90" s="512"/>
      <c r="Y90" s="511"/>
    </row>
    <row r="91" spans="12:25" x14ac:dyDescent="0.2">
      <c r="L91" s="512"/>
      <c r="M91" s="512"/>
      <c r="N91" s="512"/>
      <c r="O91" s="512"/>
      <c r="P91" s="512"/>
      <c r="Q91" s="512"/>
      <c r="R91" s="512"/>
      <c r="S91" s="512">
        <v>89</v>
      </c>
      <c r="T91" s="512">
        <v>100</v>
      </c>
      <c r="U91" s="512"/>
      <c r="V91" s="512"/>
      <c r="W91" s="512"/>
      <c r="X91" s="512"/>
      <c r="Y91" s="511"/>
    </row>
    <row r="92" spans="12:25" x14ac:dyDescent="0.2">
      <c r="L92" s="512"/>
      <c r="M92" s="512"/>
      <c r="N92" s="512"/>
      <c r="O92" s="512"/>
      <c r="P92" s="512"/>
      <c r="Q92" s="512"/>
      <c r="R92" s="512"/>
      <c r="S92" s="512">
        <v>90</v>
      </c>
      <c r="T92" s="512">
        <v>100</v>
      </c>
      <c r="U92" s="512"/>
      <c r="V92" s="512"/>
      <c r="W92" s="512"/>
      <c r="X92" s="512"/>
      <c r="Y92" s="511"/>
    </row>
    <row r="93" spans="12:25" x14ac:dyDescent="0.2">
      <c r="L93" s="512"/>
      <c r="M93" s="512"/>
      <c r="N93" s="512"/>
      <c r="O93" s="512"/>
      <c r="P93" s="512"/>
      <c r="Q93" s="512"/>
      <c r="R93" s="512"/>
      <c r="S93" s="512">
        <v>91</v>
      </c>
      <c r="T93" s="512">
        <v>100</v>
      </c>
      <c r="U93" s="512"/>
      <c r="V93" s="512"/>
      <c r="W93" s="512"/>
      <c r="X93" s="512"/>
      <c r="Y93" s="511"/>
    </row>
    <row r="94" spans="12:25" x14ac:dyDescent="0.2">
      <c r="L94" s="512"/>
      <c r="M94" s="512"/>
      <c r="N94" s="512"/>
      <c r="O94" s="512"/>
      <c r="P94" s="512"/>
      <c r="Q94" s="512"/>
      <c r="R94" s="512"/>
      <c r="S94" s="512">
        <v>92</v>
      </c>
      <c r="T94" s="512">
        <v>100</v>
      </c>
      <c r="U94" s="512"/>
      <c r="V94" s="512"/>
      <c r="W94" s="512"/>
      <c r="X94" s="512"/>
      <c r="Y94" s="511"/>
    </row>
    <row r="95" spans="12:25" x14ac:dyDescent="0.2">
      <c r="L95" s="512"/>
      <c r="M95" s="512"/>
      <c r="N95" s="512"/>
      <c r="O95" s="512"/>
      <c r="P95" s="512"/>
      <c r="Q95" s="512"/>
      <c r="R95" s="512"/>
      <c r="S95" s="512">
        <v>93</v>
      </c>
      <c r="T95" s="512">
        <v>100</v>
      </c>
      <c r="U95" s="512"/>
      <c r="V95" s="512"/>
      <c r="W95" s="512"/>
      <c r="X95" s="512"/>
      <c r="Y95" s="511"/>
    </row>
    <row r="96" spans="12:25" x14ac:dyDescent="0.2">
      <c r="L96" s="512"/>
      <c r="M96" s="512"/>
      <c r="N96" s="512"/>
      <c r="O96" s="512"/>
      <c r="P96" s="512"/>
      <c r="Q96" s="512"/>
      <c r="R96" s="512"/>
      <c r="S96" s="512">
        <v>94</v>
      </c>
      <c r="T96" s="512">
        <v>100</v>
      </c>
      <c r="U96" s="512"/>
      <c r="V96" s="512"/>
      <c r="W96" s="512"/>
      <c r="X96" s="512"/>
      <c r="Y96" s="511"/>
    </row>
    <row r="97" spans="12:25" x14ac:dyDescent="0.2">
      <c r="L97" s="512"/>
      <c r="M97" s="512"/>
      <c r="N97" s="512"/>
      <c r="O97" s="512"/>
      <c r="P97" s="512"/>
      <c r="Q97" s="512"/>
      <c r="R97" s="512"/>
      <c r="S97" s="512">
        <v>95</v>
      </c>
      <c r="T97" s="512">
        <v>100</v>
      </c>
      <c r="U97" s="512"/>
      <c r="V97" s="512"/>
      <c r="W97" s="512"/>
      <c r="X97" s="512"/>
      <c r="Y97" s="511"/>
    </row>
    <row r="98" spans="12:25" x14ac:dyDescent="0.2">
      <c r="L98" s="512"/>
      <c r="M98" s="512"/>
      <c r="N98" s="512"/>
      <c r="O98" s="512"/>
      <c r="P98" s="512"/>
      <c r="Q98" s="512"/>
      <c r="R98" s="512"/>
      <c r="S98" s="512">
        <v>96</v>
      </c>
      <c r="T98" s="512">
        <v>100</v>
      </c>
      <c r="U98" s="512"/>
      <c r="V98" s="512"/>
      <c r="W98" s="512"/>
      <c r="X98" s="512"/>
      <c r="Y98" s="511"/>
    </row>
    <row r="99" spans="12:25" x14ac:dyDescent="0.2">
      <c r="L99" s="512"/>
      <c r="M99" s="512"/>
      <c r="N99" s="512"/>
      <c r="O99" s="512"/>
      <c r="P99" s="512"/>
      <c r="Q99" s="512"/>
      <c r="R99" s="512"/>
      <c r="S99" s="512">
        <v>97</v>
      </c>
      <c r="T99" s="512">
        <v>100</v>
      </c>
      <c r="U99" s="512"/>
      <c r="V99" s="512"/>
      <c r="W99" s="512"/>
      <c r="X99" s="512"/>
      <c r="Y99" s="511"/>
    </row>
    <row r="100" spans="12:25" x14ac:dyDescent="0.2">
      <c r="L100" s="512"/>
      <c r="M100" s="512"/>
      <c r="N100" s="512"/>
      <c r="O100" s="512"/>
      <c r="P100" s="512"/>
      <c r="Q100" s="512"/>
      <c r="R100" s="512"/>
      <c r="S100" s="512">
        <v>98</v>
      </c>
      <c r="T100" s="512">
        <v>100</v>
      </c>
      <c r="U100" s="512"/>
      <c r="V100" s="512"/>
      <c r="W100" s="512"/>
      <c r="X100" s="512"/>
      <c r="Y100" s="511"/>
    </row>
    <row r="101" spans="12:25" x14ac:dyDescent="0.2">
      <c r="L101" s="512"/>
      <c r="M101" s="512"/>
      <c r="N101" s="512"/>
      <c r="O101" s="512"/>
      <c r="P101" s="512"/>
      <c r="Q101" s="512"/>
      <c r="R101" s="512"/>
      <c r="S101" s="512">
        <v>99</v>
      </c>
      <c r="T101" s="512">
        <v>100</v>
      </c>
      <c r="U101" s="512"/>
      <c r="V101" s="512"/>
      <c r="W101" s="512"/>
      <c r="X101" s="512"/>
      <c r="Y101" s="511"/>
    </row>
    <row r="102" spans="12:25" x14ac:dyDescent="0.2">
      <c r="L102" s="512"/>
      <c r="M102" s="512"/>
      <c r="N102" s="512"/>
      <c r="O102" s="512"/>
      <c r="P102" s="512"/>
      <c r="Q102" s="512"/>
      <c r="R102" s="512"/>
      <c r="S102" s="512">
        <v>100</v>
      </c>
      <c r="T102" s="512">
        <v>100</v>
      </c>
      <c r="U102" s="512">
        <v>100</v>
      </c>
      <c r="V102" s="512"/>
      <c r="W102" s="512"/>
      <c r="X102" s="512"/>
      <c r="Y102" s="511"/>
    </row>
    <row r="103" spans="12:25" x14ac:dyDescent="0.2">
      <c r="L103" s="512"/>
      <c r="M103" s="512"/>
      <c r="N103" s="512"/>
      <c r="O103" s="512"/>
      <c r="P103" s="512"/>
      <c r="Q103" s="512"/>
      <c r="R103" s="512"/>
      <c r="S103" s="512">
        <v>101</v>
      </c>
      <c r="T103" s="512">
        <v>150</v>
      </c>
      <c r="U103" s="512"/>
      <c r="V103" s="512"/>
      <c r="W103" s="512"/>
      <c r="X103" s="512"/>
      <c r="Y103" s="511"/>
    </row>
    <row r="104" spans="12:25" x14ac:dyDescent="0.2">
      <c r="L104" s="512"/>
      <c r="M104" s="512"/>
      <c r="N104" s="512"/>
      <c r="O104" s="512"/>
      <c r="P104" s="512"/>
      <c r="Q104" s="512"/>
      <c r="R104" s="512"/>
      <c r="S104" s="512">
        <v>102</v>
      </c>
      <c r="T104" s="512">
        <v>150</v>
      </c>
      <c r="U104" s="512"/>
      <c r="V104" s="512"/>
      <c r="W104" s="512"/>
      <c r="X104" s="512"/>
      <c r="Y104" s="511"/>
    </row>
    <row r="105" spans="12:25" x14ac:dyDescent="0.2">
      <c r="L105" s="512"/>
      <c r="M105" s="512"/>
      <c r="N105" s="512"/>
      <c r="O105" s="512"/>
      <c r="P105" s="512"/>
      <c r="Q105" s="512"/>
      <c r="R105" s="512"/>
      <c r="S105" s="512">
        <v>103</v>
      </c>
      <c r="T105" s="512">
        <v>150</v>
      </c>
      <c r="U105" s="512"/>
      <c r="V105" s="512"/>
      <c r="W105" s="512"/>
      <c r="X105" s="512"/>
      <c r="Y105" s="511"/>
    </row>
    <row r="106" spans="12:25" x14ac:dyDescent="0.2">
      <c r="L106" s="512"/>
      <c r="M106" s="512"/>
      <c r="N106" s="512"/>
      <c r="O106" s="512"/>
      <c r="P106" s="512"/>
      <c r="Q106" s="512"/>
      <c r="R106" s="512"/>
      <c r="S106" s="512">
        <v>104</v>
      </c>
      <c r="T106" s="512">
        <v>150</v>
      </c>
      <c r="U106" s="512"/>
      <c r="V106" s="512"/>
      <c r="W106" s="512"/>
      <c r="X106" s="512"/>
      <c r="Y106" s="511"/>
    </row>
    <row r="107" spans="12:25" x14ac:dyDescent="0.2">
      <c r="L107" s="512"/>
      <c r="M107" s="512"/>
      <c r="N107" s="512"/>
      <c r="O107" s="512"/>
      <c r="P107" s="512"/>
      <c r="Q107" s="512"/>
      <c r="R107" s="512"/>
      <c r="S107" s="512">
        <v>105</v>
      </c>
      <c r="T107" s="512">
        <v>150</v>
      </c>
      <c r="U107" s="512"/>
      <c r="V107" s="512"/>
      <c r="W107" s="512"/>
      <c r="X107" s="512"/>
      <c r="Y107" s="511"/>
    </row>
    <row r="108" spans="12:25" x14ac:dyDescent="0.2">
      <c r="L108" s="512"/>
      <c r="M108" s="512"/>
      <c r="N108" s="512"/>
      <c r="O108" s="512"/>
      <c r="P108" s="512"/>
      <c r="Q108" s="512"/>
      <c r="R108" s="512"/>
      <c r="S108" s="512">
        <v>106</v>
      </c>
      <c r="T108" s="512">
        <v>150</v>
      </c>
      <c r="U108" s="512"/>
      <c r="V108" s="512"/>
      <c r="W108" s="512"/>
      <c r="X108" s="512"/>
      <c r="Y108" s="511"/>
    </row>
    <row r="109" spans="12:25" x14ac:dyDescent="0.2">
      <c r="L109" s="512"/>
      <c r="M109" s="512"/>
      <c r="N109" s="512"/>
      <c r="O109" s="512"/>
      <c r="P109" s="512"/>
      <c r="Q109" s="512"/>
      <c r="R109" s="512"/>
      <c r="S109" s="512">
        <v>107</v>
      </c>
      <c r="T109" s="512">
        <v>150</v>
      </c>
      <c r="U109" s="512"/>
      <c r="V109" s="512"/>
      <c r="W109" s="512"/>
      <c r="X109" s="512"/>
      <c r="Y109" s="511"/>
    </row>
    <row r="110" spans="12:25" x14ac:dyDescent="0.2">
      <c r="L110" s="512"/>
      <c r="M110" s="512"/>
      <c r="N110" s="512"/>
      <c r="O110" s="512"/>
      <c r="P110" s="512"/>
      <c r="Q110" s="512"/>
      <c r="R110" s="512"/>
      <c r="S110" s="512">
        <v>108</v>
      </c>
      <c r="T110" s="512">
        <v>150</v>
      </c>
      <c r="U110" s="512"/>
      <c r="V110" s="512"/>
      <c r="W110" s="512"/>
      <c r="X110" s="512"/>
      <c r="Y110" s="511"/>
    </row>
    <row r="111" spans="12:25" x14ac:dyDescent="0.2">
      <c r="L111" s="512"/>
      <c r="M111" s="512"/>
      <c r="N111" s="512"/>
      <c r="O111" s="512"/>
      <c r="P111" s="512"/>
      <c r="Q111" s="512"/>
      <c r="R111" s="512"/>
      <c r="S111" s="512">
        <v>109</v>
      </c>
      <c r="T111" s="512">
        <v>150</v>
      </c>
      <c r="U111" s="512"/>
      <c r="V111" s="512"/>
      <c r="W111" s="512"/>
      <c r="X111" s="512"/>
      <c r="Y111" s="511"/>
    </row>
    <row r="112" spans="12:25" x14ac:dyDescent="0.2">
      <c r="L112" s="512"/>
      <c r="M112" s="512"/>
      <c r="N112" s="512"/>
      <c r="O112" s="512"/>
      <c r="P112" s="512"/>
      <c r="Q112" s="512"/>
      <c r="R112" s="512"/>
      <c r="S112" s="512">
        <v>110</v>
      </c>
      <c r="T112" s="512">
        <v>150</v>
      </c>
      <c r="U112" s="512"/>
      <c r="V112" s="512"/>
      <c r="W112" s="512"/>
      <c r="X112" s="512"/>
      <c r="Y112" s="511"/>
    </row>
    <row r="113" spans="12:25" x14ac:dyDescent="0.2">
      <c r="L113" s="512"/>
      <c r="M113" s="512"/>
      <c r="N113" s="512"/>
      <c r="O113" s="512"/>
      <c r="P113" s="512"/>
      <c r="Q113" s="512"/>
      <c r="R113" s="512"/>
      <c r="S113" s="512">
        <v>111</v>
      </c>
      <c r="T113" s="512">
        <v>150</v>
      </c>
      <c r="U113" s="512"/>
      <c r="V113" s="512"/>
      <c r="W113" s="512"/>
      <c r="X113" s="512"/>
      <c r="Y113" s="511"/>
    </row>
    <row r="114" spans="12:25" x14ac:dyDescent="0.2">
      <c r="L114" s="512"/>
      <c r="M114" s="512"/>
      <c r="N114" s="512"/>
      <c r="O114" s="512"/>
      <c r="P114" s="512"/>
      <c r="Q114" s="512"/>
      <c r="R114" s="512"/>
      <c r="S114" s="512">
        <v>112</v>
      </c>
      <c r="T114" s="512">
        <v>150</v>
      </c>
      <c r="U114" s="512"/>
      <c r="V114" s="512"/>
      <c r="W114" s="512"/>
      <c r="X114" s="512"/>
      <c r="Y114" s="511"/>
    </row>
    <row r="115" spans="12:25" x14ac:dyDescent="0.2">
      <c r="L115" s="512"/>
      <c r="M115" s="512"/>
      <c r="N115" s="512"/>
      <c r="O115" s="512"/>
      <c r="P115" s="512"/>
      <c r="Q115" s="512"/>
      <c r="R115" s="512"/>
      <c r="S115" s="512">
        <v>113</v>
      </c>
      <c r="T115" s="512">
        <v>150</v>
      </c>
      <c r="U115" s="512"/>
      <c r="V115" s="512"/>
      <c r="W115" s="512"/>
      <c r="X115" s="512"/>
      <c r="Y115" s="511"/>
    </row>
    <row r="116" spans="12:25" x14ac:dyDescent="0.2">
      <c r="L116" s="512"/>
      <c r="M116" s="512"/>
      <c r="N116" s="512"/>
      <c r="O116" s="512"/>
      <c r="P116" s="512"/>
      <c r="Q116" s="512"/>
      <c r="R116" s="512"/>
      <c r="S116" s="512">
        <v>114</v>
      </c>
      <c r="T116" s="512">
        <v>150</v>
      </c>
      <c r="U116" s="512"/>
      <c r="V116" s="512"/>
      <c r="W116" s="512"/>
      <c r="X116" s="512"/>
      <c r="Y116" s="511"/>
    </row>
    <row r="117" spans="12:25" x14ac:dyDescent="0.2">
      <c r="L117" s="512"/>
      <c r="M117" s="512"/>
      <c r="N117" s="512"/>
      <c r="O117" s="512"/>
      <c r="P117" s="512"/>
      <c r="Q117" s="512"/>
      <c r="R117" s="512"/>
      <c r="S117" s="512">
        <v>115</v>
      </c>
      <c r="T117" s="512">
        <v>150</v>
      </c>
      <c r="U117" s="512"/>
      <c r="V117" s="512"/>
      <c r="W117" s="512"/>
      <c r="X117" s="512"/>
      <c r="Y117" s="511"/>
    </row>
    <row r="118" spans="12:25" x14ac:dyDescent="0.2">
      <c r="L118" s="512"/>
      <c r="M118" s="512"/>
      <c r="N118" s="512"/>
      <c r="O118" s="512"/>
      <c r="P118" s="512"/>
      <c r="Q118" s="512"/>
      <c r="R118" s="512"/>
      <c r="S118" s="512">
        <v>116</v>
      </c>
      <c r="T118" s="512">
        <v>150</v>
      </c>
      <c r="U118" s="512"/>
      <c r="V118" s="512"/>
      <c r="W118" s="512"/>
      <c r="X118" s="512"/>
      <c r="Y118" s="511"/>
    </row>
    <row r="119" spans="12:25" x14ac:dyDescent="0.2">
      <c r="L119" s="512"/>
      <c r="M119" s="512"/>
      <c r="N119" s="512"/>
      <c r="O119" s="512"/>
      <c r="P119" s="512"/>
      <c r="Q119" s="512"/>
      <c r="R119" s="512"/>
      <c r="S119" s="512">
        <v>117</v>
      </c>
      <c r="T119" s="512">
        <v>150</v>
      </c>
      <c r="U119" s="512"/>
      <c r="V119" s="512"/>
      <c r="W119" s="512"/>
      <c r="X119" s="512"/>
      <c r="Y119" s="511"/>
    </row>
    <row r="120" spans="12:25" x14ac:dyDescent="0.2">
      <c r="L120" s="512"/>
      <c r="M120" s="512"/>
      <c r="N120" s="512"/>
      <c r="O120" s="512"/>
      <c r="P120" s="512"/>
      <c r="Q120" s="512"/>
      <c r="R120" s="512"/>
      <c r="S120" s="512">
        <v>118</v>
      </c>
      <c r="T120" s="512">
        <v>150</v>
      </c>
      <c r="U120" s="512"/>
      <c r="V120" s="512"/>
      <c r="W120" s="512"/>
      <c r="X120" s="512"/>
      <c r="Y120" s="511"/>
    </row>
    <row r="121" spans="12:25" x14ac:dyDescent="0.2">
      <c r="L121" s="512"/>
      <c r="M121" s="512"/>
      <c r="N121" s="512"/>
      <c r="O121" s="512"/>
      <c r="P121" s="512"/>
      <c r="Q121" s="512"/>
      <c r="R121" s="512"/>
      <c r="S121" s="512">
        <v>119</v>
      </c>
      <c r="T121" s="512">
        <v>150</v>
      </c>
      <c r="U121" s="512"/>
      <c r="V121" s="512"/>
      <c r="W121" s="512"/>
      <c r="X121" s="512"/>
      <c r="Y121" s="511"/>
    </row>
    <row r="122" spans="12:25" x14ac:dyDescent="0.2">
      <c r="L122" s="512"/>
      <c r="M122" s="512"/>
      <c r="N122" s="512"/>
      <c r="O122" s="512"/>
      <c r="P122" s="512"/>
      <c r="Q122" s="512"/>
      <c r="R122" s="512"/>
      <c r="S122" s="512">
        <v>120</v>
      </c>
      <c r="T122" s="512">
        <v>150</v>
      </c>
      <c r="U122" s="512"/>
      <c r="V122" s="512"/>
      <c r="W122" s="512"/>
      <c r="X122" s="512"/>
      <c r="Y122" s="511"/>
    </row>
    <row r="123" spans="12:25" x14ac:dyDescent="0.2">
      <c r="L123" s="512"/>
      <c r="M123" s="512"/>
      <c r="N123" s="512"/>
      <c r="O123" s="512"/>
      <c r="P123" s="512"/>
      <c r="Q123" s="512"/>
      <c r="R123" s="512"/>
      <c r="S123" s="512">
        <v>121</v>
      </c>
      <c r="T123" s="512">
        <v>150</v>
      </c>
      <c r="U123" s="512"/>
      <c r="V123" s="512"/>
      <c r="W123" s="512"/>
      <c r="X123" s="512"/>
      <c r="Y123" s="511"/>
    </row>
    <row r="124" spans="12:25" x14ac:dyDescent="0.2">
      <c r="L124" s="512"/>
      <c r="M124" s="512"/>
      <c r="N124" s="512"/>
      <c r="O124" s="512"/>
      <c r="P124" s="512"/>
      <c r="Q124" s="512"/>
      <c r="R124" s="512"/>
      <c r="S124" s="512">
        <v>122</v>
      </c>
      <c r="T124" s="512">
        <v>150</v>
      </c>
      <c r="U124" s="512"/>
      <c r="V124" s="512"/>
      <c r="W124" s="512"/>
      <c r="X124" s="512"/>
      <c r="Y124" s="511"/>
    </row>
    <row r="125" spans="12:25" x14ac:dyDescent="0.2">
      <c r="L125" s="512"/>
      <c r="M125" s="512"/>
      <c r="N125" s="512"/>
      <c r="O125" s="512"/>
      <c r="P125" s="512"/>
      <c r="Q125" s="512"/>
      <c r="R125" s="512"/>
      <c r="S125" s="512">
        <v>123</v>
      </c>
      <c r="T125" s="512">
        <v>150</v>
      </c>
      <c r="U125" s="512"/>
      <c r="V125" s="512"/>
      <c r="W125" s="512"/>
      <c r="X125" s="512"/>
      <c r="Y125" s="511"/>
    </row>
    <row r="126" spans="12:25" x14ac:dyDescent="0.2">
      <c r="L126" s="512"/>
      <c r="M126" s="512"/>
      <c r="N126" s="512"/>
      <c r="O126" s="512"/>
      <c r="P126" s="512"/>
      <c r="Q126" s="512"/>
      <c r="R126" s="512"/>
      <c r="S126" s="512">
        <v>124</v>
      </c>
      <c r="T126" s="512">
        <v>150</v>
      </c>
      <c r="U126" s="512"/>
      <c r="V126" s="512"/>
      <c r="W126" s="512"/>
      <c r="X126" s="512"/>
      <c r="Y126" s="511"/>
    </row>
    <row r="127" spans="12:25" x14ac:dyDescent="0.2">
      <c r="L127" s="512"/>
      <c r="M127" s="512"/>
      <c r="N127" s="512"/>
      <c r="O127" s="512"/>
      <c r="P127" s="512"/>
      <c r="Q127" s="512"/>
      <c r="R127" s="512"/>
      <c r="S127" s="512">
        <v>125</v>
      </c>
      <c r="T127" s="512">
        <v>150</v>
      </c>
      <c r="U127" s="512"/>
      <c r="V127" s="512"/>
      <c r="W127" s="512"/>
      <c r="X127" s="512"/>
      <c r="Y127" s="511"/>
    </row>
    <row r="128" spans="12:25" x14ac:dyDescent="0.2">
      <c r="L128" s="512"/>
      <c r="M128" s="512"/>
      <c r="N128" s="512"/>
      <c r="O128" s="512"/>
      <c r="P128" s="512"/>
      <c r="Q128" s="512"/>
      <c r="R128" s="512"/>
      <c r="S128" s="512">
        <v>126</v>
      </c>
      <c r="T128" s="512">
        <v>150</v>
      </c>
      <c r="U128" s="512"/>
      <c r="V128" s="512"/>
      <c r="W128" s="512"/>
      <c r="X128" s="512"/>
      <c r="Y128" s="511"/>
    </row>
    <row r="129" spans="12:25" x14ac:dyDescent="0.2">
      <c r="L129" s="512"/>
      <c r="M129" s="512"/>
      <c r="N129" s="512"/>
      <c r="O129" s="512"/>
      <c r="P129" s="512"/>
      <c r="Q129" s="512"/>
      <c r="R129" s="512"/>
      <c r="S129" s="512">
        <v>127</v>
      </c>
      <c r="T129" s="512">
        <v>150</v>
      </c>
      <c r="U129" s="512"/>
      <c r="V129" s="512"/>
      <c r="W129" s="512"/>
      <c r="X129" s="512"/>
      <c r="Y129" s="511"/>
    </row>
    <row r="130" spans="12:25" x14ac:dyDescent="0.2">
      <c r="L130" s="512"/>
      <c r="M130" s="512"/>
      <c r="N130" s="512"/>
      <c r="O130" s="512"/>
      <c r="P130" s="512"/>
      <c r="Q130" s="512"/>
      <c r="R130" s="512"/>
      <c r="S130" s="512">
        <v>128</v>
      </c>
      <c r="T130" s="512">
        <v>150</v>
      </c>
      <c r="U130" s="512"/>
      <c r="V130" s="512"/>
      <c r="W130" s="512"/>
      <c r="X130" s="512"/>
      <c r="Y130" s="511"/>
    </row>
    <row r="131" spans="12:25" x14ac:dyDescent="0.2">
      <c r="L131" s="512"/>
      <c r="M131" s="512"/>
      <c r="N131" s="512"/>
      <c r="O131" s="512"/>
      <c r="P131" s="512"/>
      <c r="Q131" s="512"/>
      <c r="R131" s="512"/>
      <c r="S131" s="512">
        <v>129</v>
      </c>
      <c r="T131" s="512">
        <v>150</v>
      </c>
      <c r="U131" s="512"/>
      <c r="V131" s="512"/>
      <c r="W131" s="512"/>
      <c r="X131" s="512"/>
      <c r="Y131" s="511"/>
    </row>
    <row r="132" spans="12:25" x14ac:dyDescent="0.2">
      <c r="L132" s="512"/>
      <c r="M132" s="512"/>
      <c r="N132" s="512"/>
      <c r="O132" s="512"/>
      <c r="P132" s="512"/>
      <c r="Q132" s="512"/>
      <c r="R132" s="512"/>
      <c r="S132" s="512">
        <v>130</v>
      </c>
      <c r="T132" s="512">
        <v>150</v>
      </c>
      <c r="U132" s="512"/>
      <c r="V132" s="512"/>
      <c r="W132" s="512"/>
      <c r="X132" s="512"/>
      <c r="Y132" s="511"/>
    </row>
    <row r="133" spans="12:25" x14ac:dyDescent="0.2">
      <c r="L133" s="512"/>
      <c r="M133" s="512"/>
      <c r="N133" s="512"/>
      <c r="O133" s="512"/>
      <c r="P133" s="512"/>
      <c r="Q133" s="512"/>
      <c r="R133" s="512"/>
      <c r="S133" s="512">
        <v>131</v>
      </c>
      <c r="T133" s="512">
        <v>150</v>
      </c>
      <c r="U133" s="512"/>
      <c r="V133" s="512"/>
      <c r="W133" s="512"/>
      <c r="X133" s="512"/>
      <c r="Y133" s="511"/>
    </row>
    <row r="134" spans="12:25" x14ac:dyDescent="0.2">
      <c r="L134" s="512"/>
      <c r="M134" s="512"/>
      <c r="N134" s="512"/>
      <c r="O134" s="512"/>
      <c r="P134" s="512"/>
      <c r="Q134" s="512"/>
      <c r="R134" s="512"/>
      <c r="S134" s="512">
        <v>132</v>
      </c>
      <c r="T134" s="512">
        <v>150</v>
      </c>
      <c r="U134" s="512"/>
      <c r="V134" s="512"/>
      <c r="W134" s="512"/>
      <c r="X134" s="512"/>
      <c r="Y134" s="511"/>
    </row>
    <row r="135" spans="12:25" x14ac:dyDescent="0.2">
      <c r="L135" s="512"/>
      <c r="M135" s="512"/>
      <c r="N135" s="512"/>
      <c r="O135" s="512"/>
      <c r="P135" s="512"/>
      <c r="Q135" s="512"/>
      <c r="R135" s="512"/>
      <c r="S135" s="512">
        <v>133</v>
      </c>
      <c r="T135" s="512">
        <v>150</v>
      </c>
      <c r="U135" s="512"/>
      <c r="V135" s="512"/>
      <c r="W135" s="512"/>
      <c r="X135" s="512"/>
      <c r="Y135" s="511"/>
    </row>
    <row r="136" spans="12:25" x14ac:dyDescent="0.2">
      <c r="L136" s="512"/>
      <c r="M136" s="512"/>
      <c r="N136" s="512"/>
      <c r="O136" s="512"/>
      <c r="P136" s="512"/>
      <c r="Q136" s="512"/>
      <c r="R136" s="512"/>
      <c r="S136" s="512">
        <v>134</v>
      </c>
      <c r="T136" s="512">
        <v>150</v>
      </c>
      <c r="U136" s="512"/>
      <c r="V136" s="512"/>
      <c r="W136" s="512"/>
      <c r="X136" s="512"/>
      <c r="Y136" s="511"/>
    </row>
    <row r="137" spans="12:25" x14ac:dyDescent="0.2">
      <c r="L137" s="512"/>
      <c r="M137" s="512"/>
      <c r="N137" s="512"/>
      <c r="O137" s="512"/>
      <c r="P137" s="512"/>
      <c r="Q137" s="512"/>
      <c r="R137" s="512"/>
      <c r="S137" s="512">
        <v>135</v>
      </c>
      <c r="T137" s="512">
        <v>150</v>
      </c>
      <c r="U137" s="512"/>
      <c r="V137" s="512"/>
      <c r="W137" s="512"/>
      <c r="X137" s="512"/>
      <c r="Y137" s="511"/>
    </row>
    <row r="138" spans="12:25" x14ac:dyDescent="0.2">
      <c r="L138" s="512"/>
      <c r="M138" s="512"/>
      <c r="N138" s="512"/>
      <c r="O138" s="512"/>
      <c r="P138" s="512"/>
      <c r="Q138" s="512"/>
      <c r="R138" s="512"/>
      <c r="S138" s="512">
        <v>136</v>
      </c>
      <c r="T138" s="512">
        <v>150</v>
      </c>
      <c r="U138" s="512"/>
      <c r="V138" s="512"/>
      <c r="W138" s="512"/>
      <c r="X138" s="512"/>
      <c r="Y138" s="511"/>
    </row>
    <row r="139" spans="12:25" x14ac:dyDescent="0.2">
      <c r="L139" s="512"/>
      <c r="M139" s="512"/>
      <c r="N139" s="512"/>
      <c r="O139" s="512"/>
      <c r="P139" s="512"/>
      <c r="Q139" s="512"/>
      <c r="R139" s="512"/>
      <c r="S139" s="512">
        <v>137</v>
      </c>
      <c r="T139" s="512">
        <v>150</v>
      </c>
      <c r="U139" s="512"/>
      <c r="V139" s="512"/>
      <c r="W139" s="512"/>
      <c r="X139" s="512"/>
      <c r="Y139" s="511"/>
    </row>
    <row r="140" spans="12:25" x14ac:dyDescent="0.2">
      <c r="L140" s="512"/>
      <c r="M140" s="512"/>
      <c r="N140" s="512"/>
      <c r="O140" s="512"/>
      <c r="P140" s="512"/>
      <c r="Q140" s="512"/>
      <c r="R140" s="512"/>
      <c r="S140" s="512">
        <v>138</v>
      </c>
      <c r="T140" s="512">
        <v>150</v>
      </c>
      <c r="U140" s="512"/>
      <c r="V140" s="512"/>
      <c r="W140" s="512"/>
      <c r="X140" s="512"/>
      <c r="Y140" s="511"/>
    </row>
    <row r="141" spans="12:25" x14ac:dyDescent="0.2">
      <c r="L141" s="512"/>
      <c r="M141" s="512"/>
      <c r="N141" s="512"/>
      <c r="O141" s="512"/>
      <c r="P141" s="512"/>
      <c r="Q141" s="512"/>
      <c r="R141" s="512"/>
      <c r="S141" s="512">
        <v>139</v>
      </c>
      <c r="T141" s="512">
        <v>150</v>
      </c>
      <c r="U141" s="512"/>
      <c r="V141" s="512"/>
      <c r="W141" s="512"/>
      <c r="X141" s="512"/>
      <c r="Y141" s="511"/>
    </row>
    <row r="142" spans="12:25" x14ac:dyDescent="0.2">
      <c r="L142" s="512"/>
      <c r="M142" s="512"/>
      <c r="N142" s="512"/>
      <c r="O142" s="512"/>
      <c r="P142" s="512"/>
      <c r="Q142" s="512"/>
      <c r="R142" s="512"/>
      <c r="S142" s="512">
        <v>140</v>
      </c>
      <c r="T142" s="512">
        <v>150</v>
      </c>
      <c r="U142" s="512"/>
      <c r="V142" s="512"/>
      <c r="W142" s="512"/>
      <c r="X142" s="512"/>
      <c r="Y142" s="511"/>
    </row>
    <row r="143" spans="12:25" x14ac:dyDescent="0.2">
      <c r="L143" s="512"/>
      <c r="M143" s="512"/>
      <c r="N143" s="512"/>
      <c r="O143" s="512"/>
      <c r="P143" s="512"/>
      <c r="Q143" s="512"/>
      <c r="R143" s="512"/>
      <c r="S143" s="512">
        <v>141</v>
      </c>
      <c r="T143" s="512">
        <v>150</v>
      </c>
      <c r="U143" s="512"/>
      <c r="V143" s="512"/>
      <c r="W143" s="512"/>
      <c r="X143" s="512"/>
      <c r="Y143" s="511"/>
    </row>
    <row r="144" spans="12:25" x14ac:dyDescent="0.2">
      <c r="L144" s="512"/>
      <c r="M144" s="512"/>
      <c r="N144" s="512"/>
      <c r="O144" s="512"/>
      <c r="P144" s="512"/>
      <c r="Q144" s="512"/>
      <c r="R144" s="512"/>
      <c r="S144" s="512">
        <v>142</v>
      </c>
      <c r="T144" s="512">
        <v>150</v>
      </c>
      <c r="U144" s="512"/>
      <c r="V144" s="512"/>
      <c r="W144" s="512"/>
      <c r="X144" s="512"/>
      <c r="Y144" s="511"/>
    </row>
    <row r="145" spans="12:25" x14ac:dyDescent="0.2">
      <c r="L145" s="512"/>
      <c r="M145" s="512"/>
      <c r="N145" s="512"/>
      <c r="O145" s="512"/>
      <c r="P145" s="512"/>
      <c r="Q145" s="512"/>
      <c r="R145" s="512"/>
      <c r="S145" s="512">
        <v>143</v>
      </c>
      <c r="T145" s="512">
        <v>150</v>
      </c>
      <c r="U145" s="512"/>
      <c r="V145" s="512"/>
      <c r="W145" s="512"/>
      <c r="X145" s="512"/>
      <c r="Y145" s="511"/>
    </row>
    <row r="146" spans="12:25" x14ac:dyDescent="0.2">
      <c r="L146" s="512"/>
      <c r="M146" s="512"/>
      <c r="N146" s="512"/>
      <c r="O146" s="512"/>
      <c r="P146" s="512"/>
      <c r="Q146" s="512"/>
      <c r="R146" s="512"/>
      <c r="S146" s="512">
        <v>144</v>
      </c>
      <c r="T146" s="512">
        <v>150</v>
      </c>
      <c r="U146" s="512"/>
      <c r="V146" s="512"/>
      <c r="W146" s="512"/>
      <c r="X146" s="512"/>
      <c r="Y146" s="511"/>
    </row>
    <row r="147" spans="12:25" x14ac:dyDescent="0.2">
      <c r="L147" s="512"/>
      <c r="M147" s="512"/>
      <c r="N147" s="512"/>
      <c r="O147" s="512"/>
      <c r="P147" s="512"/>
      <c r="Q147" s="512"/>
      <c r="R147" s="512"/>
      <c r="S147" s="512">
        <v>145</v>
      </c>
      <c r="T147" s="512">
        <v>150</v>
      </c>
      <c r="U147" s="512"/>
      <c r="V147" s="512"/>
      <c r="W147" s="512"/>
      <c r="X147" s="512"/>
      <c r="Y147" s="511"/>
    </row>
    <row r="148" spans="12:25" x14ac:dyDescent="0.2">
      <c r="L148" s="512"/>
      <c r="M148" s="512"/>
      <c r="N148" s="512"/>
      <c r="O148" s="512"/>
      <c r="P148" s="512"/>
      <c r="Q148" s="512"/>
      <c r="R148" s="512"/>
      <c r="S148" s="512">
        <v>146</v>
      </c>
      <c r="T148" s="512">
        <v>150</v>
      </c>
      <c r="U148" s="512"/>
      <c r="V148" s="512"/>
      <c r="W148" s="512"/>
      <c r="X148" s="512"/>
      <c r="Y148" s="511"/>
    </row>
    <row r="149" spans="12:25" x14ac:dyDescent="0.2">
      <c r="L149" s="512"/>
      <c r="M149" s="512"/>
      <c r="N149" s="512"/>
      <c r="O149" s="512"/>
      <c r="P149" s="512"/>
      <c r="Q149" s="512"/>
      <c r="R149" s="512"/>
      <c r="S149" s="512">
        <v>147</v>
      </c>
      <c r="T149" s="512">
        <v>150</v>
      </c>
      <c r="U149" s="512"/>
      <c r="V149" s="512"/>
      <c r="W149" s="512"/>
      <c r="X149" s="512"/>
      <c r="Y149" s="511"/>
    </row>
    <row r="150" spans="12:25" x14ac:dyDescent="0.2">
      <c r="L150" s="512"/>
      <c r="M150" s="512"/>
      <c r="N150" s="512"/>
      <c r="O150" s="512"/>
      <c r="P150" s="512"/>
      <c r="Q150" s="512"/>
      <c r="R150" s="512"/>
      <c r="S150" s="512">
        <v>148</v>
      </c>
      <c r="T150" s="512">
        <v>150</v>
      </c>
      <c r="U150" s="512"/>
      <c r="V150" s="512"/>
      <c r="W150" s="512"/>
      <c r="X150" s="512"/>
      <c r="Y150" s="511"/>
    </row>
    <row r="151" spans="12:25" x14ac:dyDescent="0.2">
      <c r="L151" s="512"/>
      <c r="M151" s="512"/>
      <c r="N151" s="512"/>
      <c r="O151" s="512"/>
      <c r="P151" s="512"/>
      <c r="Q151" s="512"/>
      <c r="R151" s="512"/>
      <c r="S151" s="512">
        <v>149</v>
      </c>
      <c r="T151" s="512">
        <v>150</v>
      </c>
      <c r="U151" s="512"/>
      <c r="V151" s="512"/>
      <c r="W151" s="512"/>
      <c r="X151" s="512"/>
      <c r="Y151" s="511"/>
    </row>
    <row r="152" spans="12:25" x14ac:dyDescent="0.2">
      <c r="L152" s="512"/>
      <c r="M152" s="512"/>
      <c r="N152" s="512"/>
      <c r="O152" s="512"/>
      <c r="P152" s="512"/>
      <c r="Q152" s="512"/>
      <c r="R152" s="512"/>
      <c r="S152" s="512">
        <v>150</v>
      </c>
      <c r="T152" s="512">
        <v>150</v>
      </c>
      <c r="U152" s="512">
        <v>150</v>
      </c>
      <c r="V152" s="512"/>
      <c r="W152" s="512"/>
      <c r="X152" s="512"/>
      <c r="Y152" s="511"/>
    </row>
    <row r="153" spans="12:25" x14ac:dyDescent="0.2">
      <c r="L153" s="512"/>
      <c r="M153" s="512"/>
      <c r="N153" s="512"/>
      <c r="O153" s="512"/>
      <c r="P153" s="512"/>
      <c r="Q153" s="512"/>
      <c r="R153" s="512"/>
      <c r="S153" s="512">
        <v>151</v>
      </c>
      <c r="T153" s="512">
        <v>150</v>
      </c>
      <c r="U153" s="512"/>
      <c r="V153" s="512"/>
      <c r="W153" s="512"/>
      <c r="X153" s="512"/>
      <c r="Y153" s="511"/>
    </row>
    <row r="154" spans="12:25" x14ac:dyDescent="0.2">
      <c r="L154" s="512"/>
      <c r="M154" s="512"/>
      <c r="N154" s="512"/>
      <c r="O154" s="512"/>
      <c r="P154" s="512"/>
      <c r="Q154" s="512"/>
      <c r="R154" s="512"/>
      <c r="S154" s="512">
        <v>152</v>
      </c>
      <c r="T154" s="512">
        <v>150</v>
      </c>
      <c r="U154" s="512"/>
      <c r="V154" s="512"/>
      <c r="W154" s="512"/>
      <c r="X154" s="512"/>
      <c r="Y154" s="511"/>
    </row>
    <row r="155" spans="12:25" x14ac:dyDescent="0.2">
      <c r="L155" s="512"/>
      <c r="M155" s="512"/>
      <c r="N155" s="512"/>
      <c r="O155" s="512"/>
      <c r="P155" s="512"/>
      <c r="Q155" s="512"/>
      <c r="R155" s="512"/>
      <c r="S155" s="512">
        <v>153</v>
      </c>
      <c r="T155" s="512">
        <v>150</v>
      </c>
      <c r="U155" s="512"/>
      <c r="V155" s="512"/>
      <c r="W155" s="512"/>
      <c r="X155" s="512"/>
      <c r="Y155" s="511"/>
    </row>
    <row r="156" spans="12:25" x14ac:dyDescent="0.2">
      <c r="L156" s="512"/>
      <c r="M156" s="512"/>
      <c r="N156" s="512"/>
      <c r="O156" s="512"/>
      <c r="P156" s="512"/>
      <c r="Q156" s="512"/>
      <c r="R156" s="512"/>
      <c r="S156" s="512">
        <v>154</v>
      </c>
      <c r="T156" s="512">
        <v>150</v>
      </c>
      <c r="U156" s="512"/>
      <c r="V156" s="512"/>
      <c r="W156" s="512"/>
      <c r="X156" s="512"/>
      <c r="Y156" s="511"/>
    </row>
    <row r="157" spans="12:25" x14ac:dyDescent="0.2">
      <c r="L157" s="512"/>
      <c r="M157" s="512"/>
      <c r="N157" s="512"/>
      <c r="O157" s="512"/>
      <c r="P157" s="512"/>
      <c r="Q157" s="512"/>
      <c r="R157" s="512"/>
      <c r="S157" s="512">
        <v>155</v>
      </c>
      <c r="T157" s="512">
        <v>150</v>
      </c>
      <c r="U157" s="512"/>
      <c r="V157" s="512"/>
      <c r="W157" s="512"/>
      <c r="X157" s="512"/>
      <c r="Y157" s="511"/>
    </row>
    <row r="158" spans="12:25" x14ac:dyDescent="0.2">
      <c r="L158" s="512"/>
      <c r="M158" s="512"/>
      <c r="N158" s="512"/>
      <c r="O158" s="512"/>
      <c r="P158" s="512"/>
      <c r="Q158" s="512"/>
      <c r="R158" s="512"/>
      <c r="S158" s="512">
        <v>156</v>
      </c>
      <c r="T158" s="512">
        <v>150</v>
      </c>
      <c r="U158" s="512"/>
      <c r="V158" s="512"/>
      <c r="W158" s="512"/>
      <c r="X158" s="512"/>
      <c r="Y158" s="511"/>
    </row>
    <row r="159" spans="12:25" x14ac:dyDescent="0.2">
      <c r="L159" s="512"/>
      <c r="M159" s="512"/>
      <c r="N159" s="512"/>
      <c r="O159" s="512"/>
      <c r="P159" s="512"/>
      <c r="Q159" s="512"/>
      <c r="R159" s="512"/>
      <c r="S159" s="512">
        <v>157</v>
      </c>
      <c r="T159" s="512">
        <v>150</v>
      </c>
      <c r="U159" s="512"/>
      <c r="V159" s="512"/>
      <c r="W159" s="512"/>
      <c r="X159" s="512"/>
      <c r="Y159" s="511"/>
    </row>
    <row r="160" spans="12:25" x14ac:dyDescent="0.2">
      <c r="L160" s="512"/>
      <c r="M160" s="512"/>
      <c r="N160" s="512"/>
      <c r="O160" s="512"/>
      <c r="P160" s="512"/>
      <c r="Q160" s="512"/>
      <c r="R160" s="512"/>
      <c r="S160" s="512">
        <v>158</v>
      </c>
      <c r="T160" s="512">
        <v>150</v>
      </c>
      <c r="U160" s="512"/>
      <c r="V160" s="512"/>
      <c r="W160" s="512"/>
      <c r="X160" s="512"/>
      <c r="Y160" s="511"/>
    </row>
    <row r="161" spans="12:25" x14ac:dyDescent="0.2">
      <c r="L161" s="512"/>
      <c r="M161" s="512"/>
      <c r="N161" s="512"/>
      <c r="O161" s="512"/>
      <c r="P161" s="512"/>
      <c r="Q161" s="512"/>
      <c r="R161" s="512"/>
      <c r="S161" s="512">
        <v>159</v>
      </c>
      <c r="T161" s="512">
        <v>150</v>
      </c>
      <c r="U161" s="512"/>
      <c r="V161" s="512"/>
      <c r="W161" s="512"/>
      <c r="X161" s="512"/>
      <c r="Y161" s="511"/>
    </row>
    <row r="162" spans="12:25" x14ac:dyDescent="0.2">
      <c r="L162" s="512"/>
      <c r="M162" s="512"/>
      <c r="N162" s="512"/>
      <c r="O162" s="512"/>
      <c r="P162" s="512"/>
      <c r="Q162" s="512"/>
      <c r="R162" s="512"/>
      <c r="S162" s="512">
        <v>160</v>
      </c>
      <c r="T162" s="512">
        <v>150</v>
      </c>
      <c r="U162" s="512"/>
      <c r="V162" s="512"/>
      <c r="W162" s="512"/>
      <c r="X162" s="512"/>
      <c r="Y162" s="511"/>
    </row>
    <row r="163" spans="12:25" x14ac:dyDescent="0.2">
      <c r="L163" s="512"/>
      <c r="M163" s="512"/>
      <c r="N163" s="512"/>
      <c r="O163" s="512"/>
      <c r="P163" s="512"/>
      <c r="Q163" s="512"/>
      <c r="R163" s="512"/>
      <c r="S163" s="512">
        <v>161</v>
      </c>
      <c r="T163" s="512">
        <v>150</v>
      </c>
      <c r="U163" s="512"/>
      <c r="V163" s="512"/>
      <c r="W163" s="512"/>
      <c r="X163" s="512"/>
      <c r="Y163" s="511"/>
    </row>
    <row r="164" spans="12:25" x14ac:dyDescent="0.2">
      <c r="L164" s="512"/>
      <c r="M164" s="512"/>
      <c r="N164" s="512"/>
      <c r="O164" s="512"/>
      <c r="P164" s="512"/>
      <c r="Q164" s="512"/>
      <c r="R164" s="512"/>
      <c r="S164" s="512">
        <v>162</v>
      </c>
      <c r="T164" s="512">
        <v>150</v>
      </c>
      <c r="U164" s="512"/>
      <c r="V164" s="512"/>
      <c r="W164" s="512"/>
      <c r="X164" s="512"/>
      <c r="Y164" s="511"/>
    </row>
    <row r="165" spans="12:25" x14ac:dyDescent="0.2">
      <c r="L165" s="512"/>
      <c r="M165" s="512"/>
      <c r="N165" s="512"/>
      <c r="O165" s="512"/>
      <c r="P165" s="512"/>
      <c r="Q165" s="512"/>
      <c r="R165" s="512"/>
      <c r="S165" s="512">
        <v>163</v>
      </c>
      <c r="T165" s="512">
        <v>150</v>
      </c>
      <c r="U165" s="512"/>
      <c r="V165" s="512"/>
      <c r="W165" s="512"/>
      <c r="X165" s="512"/>
      <c r="Y165" s="511"/>
    </row>
    <row r="166" spans="12:25" x14ac:dyDescent="0.2">
      <c r="L166" s="512"/>
      <c r="M166" s="512"/>
      <c r="N166" s="512"/>
      <c r="O166" s="512"/>
      <c r="P166" s="512"/>
      <c r="Q166" s="512"/>
      <c r="R166" s="512"/>
      <c r="S166" s="512">
        <v>164</v>
      </c>
      <c r="T166" s="512">
        <v>150</v>
      </c>
      <c r="U166" s="512"/>
      <c r="V166" s="512"/>
      <c r="W166" s="512"/>
      <c r="X166" s="512"/>
      <c r="Y166" s="511"/>
    </row>
    <row r="167" spans="12:25" x14ac:dyDescent="0.2">
      <c r="L167" s="512"/>
      <c r="M167" s="512"/>
      <c r="N167" s="512"/>
      <c r="O167" s="512"/>
      <c r="P167" s="512"/>
      <c r="Q167" s="512"/>
      <c r="R167" s="512"/>
      <c r="S167" s="512">
        <v>165</v>
      </c>
      <c r="T167" s="512">
        <v>150</v>
      </c>
      <c r="U167" s="512"/>
      <c r="V167" s="512"/>
      <c r="W167" s="512"/>
      <c r="X167" s="512"/>
      <c r="Y167" s="511"/>
    </row>
    <row r="168" spans="12:25" x14ac:dyDescent="0.2">
      <c r="L168" s="512"/>
      <c r="M168" s="512"/>
      <c r="N168" s="512"/>
      <c r="O168" s="512"/>
      <c r="P168" s="512"/>
      <c r="Q168" s="512"/>
      <c r="R168" s="512"/>
      <c r="S168" s="512">
        <v>166</v>
      </c>
      <c r="T168" s="512">
        <v>150</v>
      </c>
      <c r="U168" s="512"/>
      <c r="V168" s="512"/>
      <c r="W168" s="512"/>
      <c r="X168" s="512"/>
      <c r="Y168" s="511"/>
    </row>
    <row r="169" spans="12:25" x14ac:dyDescent="0.2">
      <c r="L169" s="512"/>
      <c r="M169" s="512"/>
      <c r="N169" s="512"/>
      <c r="O169" s="512"/>
      <c r="P169" s="512"/>
      <c r="Q169" s="512"/>
      <c r="R169" s="512"/>
      <c r="S169" s="512">
        <v>167</v>
      </c>
      <c r="T169" s="512">
        <v>150</v>
      </c>
      <c r="U169" s="512"/>
      <c r="V169" s="512"/>
      <c r="W169" s="512"/>
      <c r="X169" s="512"/>
      <c r="Y169" s="511"/>
    </row>
    <row r="170" spans="12:25" x14ac:dyDescent="0.2">
      <c r="L170" s="512"/>
      <c r="M170" s="512"/>
      <c r="N170" s="512"/>
      <c r="O170" s="512"/>
      <c r="P170" s="512"/>
      <c r="Q170" s="512"/>
      <c r="R170" s="512"/>
      <c r="S170" s="512">
        <v>168</v>
      </c>
      <c r="T170" s="512">
        <v>150</v>
      </c>
      <c r="U170" s="512"/>
      <c r="V170" s="512"/>
      <c r="W170" s="512"/>
      <c r="X170" s="512"/>
      <c r="Y170" s="511"/>
    </row>
    <row r="171" spans="12:25" x14ac:dyDescent="0.2">
      <c r="L171" s="512"/>
      <c r="M171" s="512"/>
      <c r="N171" s="512"/>
      <c r="O171" s="512"/>
      <c r="P171" s="512"/>
      <c r="Q171" s="512"/>
      <c r="R171" s="512"/>
      <c r="S171" s="512">
        <v>169</v>
      </c>
      <c r="T171" s="512">
        <v>150</v>
      </c>
      <c r="U171" s="512"/>
      <c r="V171" s="512"/>
      <c r="W171" s="512"/>
      <c r="X171" s="512"/>
      <c r="Y171" s="511"/>
    </row>
    <row r="172" spans="12:25" x14ac:dyDescent="0.2">
      <c r="L172" s="512"/>
      <c r="M172" s="512"/>
      <c r="N172" s="512"/>
      <c r="O172" s="512"/>
      <c r="P172" s="512"/>
      <c r="Q172" s="512"/>
      <c r="R172" s="512"/>
      <c r="S172" s="512">
        <v>170</v>
      </c>
      <c r="T172" s="512">
        <v>150</v>
      </c>
      <c r="U172" s="512"/>
      <c r="V172" s="512"/>
      <c r="W172" s="512"/>
      <c r="X172" s="512"/>
      <c r="Y172" s="511"/>
    </row>
    <row r="173" spans="12:25" x14ac:dyDescent="0.2">
      <c r="L173" s="512"/>
      <c r="M173" s="512"/>
      <c r="N173" s="512"/>
      <c r="O173" s="512"/>
      <c r="P173" s="512"/>
      <c r="Q173" s="512"/>
      <c r="R173" s="512"/>
      <c r="S173" s="512">
        <v>171</v>
      </c>
      <c r="T173" s="512">
        <v>150</v>
      </c>
      <c r="U173" s="512"/>
      <c r="V173" s="512"/>
      <c r="W173" s="512"/>
      <c r="X173" s="512"/>
      <c r="Y173" s="511"/>
    </row>
    <row r="174" spans="12:25" x14ac:dyDescent="0.2">
      <c r="L174" s="512"/>
      <c r="M174" s="512"/>
      <c r="N174" s="512"/>
      <c r="O174" s="512"/>
      <c r="P174" s="512"/>
      <c r="Q174" s="512"/>
      <c r="R174" s="512"/>
      <c r="S174" s="512">
        <v>172</v>
      </c>
      <c r="T174" s="512">
        <v>150</v>
      </c>
      <c r="U174" s="512"/>
      <c r="V174" s="512"/>
      <c r="W174" s="512"/>
      <c r="X174" s="512"/>
      <c r="Y174" s="511"/>
    </row>
    <row r="175" spans="12:25" x14ac:dyDescent="0.2">
      <c r="L175" s="512"/>
      <c r="M175" s="512"/>
      <c r="N175" s="512"/>
      <c r="O175" s="512"/>
      <c r="P175" s="512"/>
      <c r="Q175" s="512"/>
      <c r="R175" s="512"/>
      <c r="S175" s="512">
        <v>173</v>
      </c>
      <c r="T175" s="512">
        <v>150</v>
      </c>
      <c r="U175" s="512"/>
      <c r="V175" s="512"/>
      <c r="W175" s="512"/>
      <c r="X175" s="512"/>
      <c r="Y175" s="511"/>
    </row>
    <row r="176" spans="12:25" x14ac:dyDescent="0.2">
      <c r="L176" s="512"/>
      <c r="M176" s="512"/>
      <c r="N176" s="512"/>
      <c r="O176" s="512"/>
      <c r="P176" s="512"/>
      <c r="Q176" s="512"/>
      <c r="R176" s="512"/>
      <c r="S176" s="512">
        <v>174</v>
      </c>
      <c r="T176" s="512">
        <v>150</v>
      </c>
      <c r="U176" s="512"/>
      <c r="V176" s="512"/>
      <c r="W176" s="512"/>
      <c r="X176" s="512"/>
      <c r="Y176" s="511"/>
    </row>
    <row r="177" spans="12:25" x14ac:dyDescent="0.2">
      <c r="L177" s="512"/>
      <c r="M177" s="512"/>
      <c r="N177" s="512"/>
      <c r="O177" s="512"/>
      <c r="P177" s="512"/>
      <c r="Q177" s="512"/>
      <c r="R177" s="512"/>
      <c r="S177" s="512">
        <v>175</v>
      </c>
      <c r="T177" s="512">
        <v>150</v>
      </c>
      <c r="U177" s="512"/>
      <c r="V177" s="512"/>
      <c r="W177" s="512"/>
      <c r="X177" s="512"/>
      <c r="Y177" s="511"/>
    </row>
    <row r="178" spans="12:25" x14ac:dyDescent="0.2">
      <c r="L178" s="512"/>
      <c r="M178" s="512"/>
      <c r="N178" s="512"/>
      <c r="O178" s="512"/>
      <c r="P178" s="512"/>
      <c r="Q178" s="512"/>
      <c r="R178" s="512"/>
      <c r="S178" s="512">
        <v>176</v>
      </c>
      <c r="T178" s="512">
        <v>150</v>
      </c>
      <c r="U178" s="512"/>
      <c r="V178" s="512"/>
      <c r="W178" s="512"/>
      <c r="X178" s="512"/>
      <c r="Y178" s="511"/>
    </row>
    <row r="179" spans="12:25" x14ac:dyDescent="0.2">
      <c r="L179" s="512"/>
      <c r="M179" s="512"/>
      <c r="N179" s="512"/>
      <c r="O179" s="512"/>
      <c r="P179" s="512"/>
      <c r="Q179" s="512"/>
      <c r="R179" s="512"/>
      <c r="S179" s="512">
        <v>177</v>
      </c>
      <c r="T179" s="512">
        <v>150</v>
      </c>
      <c r="U179" s="512"/>
      <c r="V179" s="512"/>
      <c r="W179" s="512"/>
      <c r="X179" s="512"/>
      <c r="Y179" s="511"/>
    </row>
    <row r="180" spans="12:25" x14ac:dyDescent="0.2">
      <c r="L180" s="512"/>
      <c r="M180" s="512"/>
      <c r="N180" s="512"/>
      <c r="O180" s="512"/>
      <c r="P180" s="512"/>
      <c r="Q180" s="512"/>
      <c r="R180" s="512"/>
      <c r="S180" s="512">
        <v>178</v>
      </c>
      <c r="T180" s="512">
        <v>150</v>
      </c>
      <c r="U180" s="512"/>
      <c r="V180" s="512"/>
      <c r="W180" s="512"/>
      <c r="X180" s="512"/>
      <c r="Y180" s="511"/>
    </row>
    <row r="181" spans="12:25" x14ac:dyDescent="0.2">
      <c r="L181" s="512"/>
      <c r="M181" s="512"/>
      <c r="N181" s="512"/>
      <c r="O181" s="512"/>
      <c r="P181" s="512"/>
      <c r="Q181" s="512"/>
      <c r="R181" s="512"/>
      <c r="S181" s="512">
        <v>179</v>
      </c>
      <c r="T181" s="512">
        <v>150</v>
      </c>
      <c r="U181" s="512"/>
      <c r="V181" s="512"/>
      <c r="W181" s="512"/>
      <c r="X181" s="512"/>
      <c r="Y181" s="511"/>
    </row>
    <row r="182" spans="12:25" x14ac:dyDescent="0.2">
      <c r="L182" s="512"/>
      <c r="M182" s="512"/>
      <c r="N182" s="512"/>
      <c r="O182" s="512"/>
      <c r="P182" s="512"/>
      <c r="Q182" s="512"/>
      <c r="R182" s="512"/>
      <c r="S182" s="512">
        <v>180</v>
      </c>
      <c r="T182" s="512">
        <v>150</v>
      </c>
      <c r="U182" s="512"/>
      <c r="V182" s="512"/>
      <c r="W182" s="512"/>
      <c r="X182" s="512"/>
      <c r="Y182" s="511"/>
    </row>
    <row r="183" spans="12:25" x14ac:dyDescent="0.2">
      <c r="L183" s="512"/>
      <c r="M183" s="512"/>
      <c r="N183" s="512"/>
      <c r="O183" s="512"/>
      <c r="P183" s="512"/>
      <c r="Q183" s="512"/>
      <c r="R183" s="512"/>
      <c r="S183" s="512">
        <v>181</v>
      </c>
      <c r="T183" s="512">
        <v>150</v>
      </c>
      <c r="U183" s="512"/>
      <c r="V183" s="512"/>
      <c r="W183" s="512"/>
      <c r="X183" s="512"/>
      <c r="Y183" s="511"/>
    </row>
    <row r="184" spans="12:25" x14ac:dyDescent="0.2">
      <c r="L184" s="512"/>
      <c r="M184" s="512"/>
      <c r="N184" s="512"/>
      <c r="O184" s="512"/>
      <c r="P184" s="512"/>
      <c r="Q184" s="512"/>
      <c r="R184" s="512"/>
      <c r="S184" s="512">
        <v>182</v>
      </c>
      <c r="T184" s="512">
        <v>150</v>
      </c>
      <c r="U184" s="512"/>
      <c r="V184" s="512"/>
      <c r="W184" s="512"/>
      <c r="X184" s="512"/>
      <c r="Y184" s="511"/>
    </row>
    <row r="185" spans="12:25" x14ac:dyDescent="0.2">
      <c r="L185" s="512"/>
      <c r="M185" s="512"/>
      <c r="N185" s="512"/>
      <c r="O185" s="512"/>
      <c r="P185" s="512"/>
      <c r="Q185" s="512"/>
      <c r="R185" s="512"/>
      <c r="S185" s="512">
        <v>183</v>
      </c>
      <c r="T185" s="512">
        <v>150</v>
      </c>
      <c r="U185" s="512"/>
      <c r="V185" s="512"/>
      <c r="W185" s="512"/>
      <c r="X185" s="512"/>
      <c r="Y185" s="511"/>
    </row>
    <row r="186" spans="12:25" x14ac:dyDescent="0.2">
      <c r="L186" s="512"/>
      <c r="M186" s="512"/>
      <c r="N186" s="512"/>
      <c r="O186" s="512"/>
      <c r="P186" s="512"/>
      <c r="Q186" s="512"/>
      <c r="R186" s="512"/>
      <c r="S186" s="512">
        <v>184</v>
      </c>
      <c r="T186" s="512">
        <v>150</v>
      </c>
      <c r="U186" s="512"/>
      <c r="V186" s="512"/>
      <c r="W186" s="512"/>
      <c r="X186" s="512"/>
      <c r="Y186" s="511"/>
    </row>
    <row r="187" spans="12:25" x14ac:dyDescent="0.2">
      <c r="L187" s="512"/>
      <c r="M187" s="512"/>
      <c r="N187" s="512"/>
      <c r="O187" s="512"/>
      <c r="P187" s="512"/>
      <c r="Q187" s="512"/>
      <c r="R187" s="512"/>
      <c r="S187" s="512">
        <v>185</v>
      </c>
      <c r="T187" s="512">
        <v>150</v>
      </c>
      <c r="U187" s="512"/>
      <c r="V187" s="512"/>
      <c r="W187" s="512"/>
      <c r="X187" s="512"/>
      <c r="Y187" s="511"/>
    </row>
    <row r="188" spans="12:25" x14ac:dyDescent="0.2">
      <c r="L188" s="512"/>
      <c r="M188" s="512"/>
      <c r="N188" s="512"/>
      <c r="O188" s="512"/>
      <c r="P188" s="512"/>
      <c r="Q188" s="512"/>
      <c r="R188" s="512"/>
      <c r="S188" s="512">
        <v>186</v>
      </c>
      <c r="T188" s="512">
        <v>150</v>
      </c>
      <c r="U188" s="512"/>
      <c r="V188" s="512"/>
      <c r="W188" s="512"/>
      <c r="X188" s="512"/>
      <c r="Y188" s="511"/>
    </row>
    <row r="189" spans="12:25" x14ac:dyDescent="0.2">
      <c r="L189" s="512"/>
      <c r="M189" s="512"/>
      <c r="N189" s="512"/>
      <c r="O189" s="512"/>
      <c r="P189" s="512"/>
      <c r="Q189" s="512"/>
      <c r="R189" s="512"/>
      <c r="S189" s="512">
        <v>187</v>
      </c>
      <c r="T189" s="512">
        <v>150</v>
      </c>
      <c r="U189" s="512"/>
      <c r="V189" s="512"/>
      <c r="W189" s="512"/>
      <c r="X189" s="512"/>
      <c r="Y189" s="511"/>
    </row>
    <row r="190" spans="12:25" x14ac:dyDescent="0.2">
      <c r="L190" s="512"/>
      <c r="M190" s="512"/>
      <c r="N190" s="512"/>
      <c r="O190" s="512"/>
      <c r="P190" s="512"/>
      <c r="Q190" s="512"/>
      <c r="R190" s="512"/>
      <c r="S190" s="512">
        <v>188</v>
      </c>
      <c r="T190" s="512">
        <v>150</v>
      </c>
      <c r="U190" s="512"/>
      <c r="V190" s="512"/>
      <c r="W190" s="512"/>
      <c r="X190" s="512"/>
      <c r="Y190" s="511"/>
    </row>
    <row r="191" spans="12:25" x14ac:dyDescent="0.2">
      <c r="L191" s="512"/>
      <c r="M191" s="512"/>
      <c r="N191" s="512"/>
      <c r="O191" s="512"/>
      <c r="P191" s="512"/>
      <c r="Q191" s="512"/>
      <c r="R191" s="512"/>
      <c r="S191" s="512">
        <v>189</v>
      </c>
      <c r="T191" s="512">
        <v>150</v>
      </c>
      <c r="U191" s="512"/>
      <c r="V191" s="512"/>
      <c r="W191" s="512"/>
      <c r="X191" s="512"/>
      <c r="Y191" s="511"/>
    </row>
    <row r="192" spans="12:25" x14ac:dyDescent="0.2">
      <c r="L192" s="512"/>
      <c r="M192" s="512"/>
      <c r="N192" s="512"/>
      <c r="O192" s="512"/>
      <c r="P192" s="512"/>
      <c r="Q192" s="512"/>
      <c r="R192" s="512"/>
      <c r="S192" s="512">
        <v>190</v>
      </c>
      <c r="T192" s="512">
        <v>150</v>
      </c>
      <c r="U192" s="512"/>
      <c r="V192" s="512"/>
      <c r="W192" s="512"/>
      <c r="X192" s="512"/>
      <c r="Y192" s="511"/>
    </row>
    <row r="193" spans="12:25" x14ac:dyDescent="0.2">
      <c r="L193" s="512"/>
      <c r="M193" s="512"/>
      <c r="N193" s="512"/>
      <c r="O193" s="512"/>
      <c r="P193" s="512"/>
      <c r="Q193" s="512"/>
      <c r="R193" s="512"/>
      <c r="S193" s="512">
        <v>191</v>
      </c>
      <c r="T193" s="512">
        <v>150</v>
      </c>
      <c r="U193" s="512"/>
      <c r="V193" s="512"/>
      <c r="W193" s="512"/>
      <c r="X193" s="512"/>
      <c r="Y193" s="511"/>
    </row>
    <row r="194" spans="12:25" x14ac:dyDescent="0.2">
      <c r="L194" s="512"/>
      <c r="M194" s="512"/>
      <c r="N194" s="512"/>
      <c r="O194" s="512"/>
      <c r="P194" s="512"/>
      <c r="Q194" s="512"/>
      <c r="R194" s="512"/>
      <c r="S194" s="512">
        <v>192</v>
      </c>
      <c r="T194" s="512">
        <v>150</v>
      </c>
      <c r="U194" s="512"/>
      <c r="V194" s="512"/>
      <c r="W194" s="512"/>
      <c r="X194" s="512"/>
      <c r="Y194" s="511"/>
    </row>
    <row r="195" spans="12:25" x14ac:dyDescent="0.2">
      <c r="L195" s="512"/>
      <c r="M195" s="512"/>
      <c r="N195" s="512"/>
      <c r="O195" s="512"/>
      <c r="P195" s="512"/>
      <c r="Q195" s="512"/>
      <c r="R195" s="512"/>
      <c r="S195" s="512">
        <v>193</v>
      </c>
      <c r="T195" s="512">
        <v>150</v>
      </c>
      <c r="U195" s="512"/>
      <c r="V195" s="512"/>
      <c r="W195" s="512"/>
      <c r="X195" s="512"/>
      <c r="Y195" s="511"/>
    </row>
    <row r="196" spans="12:25" x14ac:dyDescent="0.2">
      <c r="L196" s="512"/>
      <c r="M196" s="512"/>
      <c r="N196" s="512"/>
      <c r="O196" s="512"/>
      <c r="P196" s="512"/>
      <c r="Q196" s="512"/>
      <c r="R196" s="512"/>
      <c r="S196" s="512">
        <v>194</v>
      </c>
      <c r="T196" s="512">
        <v>150</v>
      </c>
      <c r="U196" s="512"/>
      <c r="V196" s="512"/>
      <c r="W196" s="512"/>
      <c r="X196" s="512"/>
      <c r="Y196" s="511"/>
    </row>
    <row r="197" spans="12:25" x14ac:dyDescent="0.2">
      <c r="L197" s="512"/>
      <c r="M197" s="512"/>
      <c r="N197" s="512"/>
      <c r="O197" s="512"/>
      <c r="P197" s="512"/>
      <c r="Q197" s="512"/>
      <c r="R197" s="512"/>
      <c r="S197" s="512">
        <v>195</v>
      </c>
      <c r="T197" s="512">
        <v>150</v>
      </c>
      <c r="U197" s="512"/>
      <c r="V197" s="512"/>
      <c r="W197" s="512"/>
      <c r="X197" s="512"/>
      <c r="Y197" s="511"/>
    </row>
    <row r="198" spans="12:25" x14ac:dyDescent="0.2">
      <c r="L198" s="512"/>
      <c r="M198" s="512"/>
      <c r="N198" s="512"/>
      <c r="O198" s="512"/>
      <c r="P198" s="512"/>
      <c r="Q198" s="512"/>
      <c r="R198" s="512"/>
      <c r="S198" s="512">
        <v>196</v>
      </c>
      <c r="T198" s="512">
        <v>150</v>
      </c>
      <c r="U198" s="512"/>
      <c r="V198" s="512"/>
      <c r="W198" s="512"/>
      <c r="X198" s="512"/>
      <c r="Y198" s="511"/>
    </row>
    <row r="199" spans="12:25" x14ac:dyDescent="0.2">
      <c r="L199" s="512"/>
      <c r="M199" s="512"/>
      <c r="N199" s="512"/>
      <c r="O199" s="512"/>
      <c r="P199" s="512"/>
      <c r="Q199" s="512"/>
      <c r="R199" s="512"/>
      <c r="S199" s="512">
        <v>197</v>
      </c>
      <c r="T199" s="512">
        <v>150</v>
      </c>
      <c r="U199" s="512"/>
      <c r="V199" s="512"/>
      <c r="W199" s="512"/>
      <c r="X199" s="512"/>
      <c r="Y199" s="511"/>
    </row>
    <row r="200" spans="12:25" x14ac:dyDescent="0.2">
      <c r="L200" s="512"/>
      <c r="M200" s="512"/>
      <c r="N200" s="512"/>
      <c r="O200" s="512"/>
      <c r="P200" s="512"/>
      <c r="Q200" s="512"/>
      <c r="R200" s="512"/>
      <c r="S200" s="512">
        <v>198</v>
      </c>
      <c r="T200" s="512">
        <v>150</v>
      </c>
      <c r="U200" s="512"/>
      <c r="V200" s="512"/>
      <c r="W200" s="512"/>
      <c r="X200" s="512"/>
      <c r="Y200" s="511"/>
    </row>
    <row r="201" spans="12:25" x14ac:dyDescent="0.2">
      <c r="L201" s="512"/>
      <c r="M201" s="512"/>
      <c r="N201" s="512"/>
      <c r="O201" s="512"/>
      <c r="P201" s="512"/>
      <c r="Q201" s="512"/>
      <c r="R201" s="512"/>
      <c r="S201" s="512">
        <v>199</v>
      </c>
      <c r="T201" s="512">
        <v>150</v>
      </c>
      <c r="U201" s="512"/>
      <c r="V201" s="512"/>
      <c r="W201" s="512"/>
      <c r="X201" s="512"/>
      <c r="Y201" s="511"/>
    </row>
    <row r="202" spans="12:25" x14ac:dyDescent="0.2">
      <c r="L202" s="512"/>
      <c r="M202" s="512"/>
      <c r="N202" s="512"/>
      <c r="O202" s="512"/>
      <c r="P202" s="512"/>
      <c r="Q202" s="512"/>
      <c r="R202" s="512"/>
      <c r="S202" s="512">
        <v>200</v>
      </c>
      <c r="T202" s="512">
        <v>150</v>
      </c>
      <c r="U202" s="512">
        <v>200</v>
      </c>
      <c r="V202" s="512"/>
      <c r="W202" s="512"/>
      <c r="X202" s="512"/>
      <c r="Y202" s="511"/>
    </row>
    <row r="203" spans="12:25" x14ac:dyDescent="0.2">
      <c r="L203" s="512"/>
      <c r="M203" s="512"/>
      <c r="N203" s="512"/>
      <c r="O203" s="512"/>
      <c r="P203" s="512"/>
      <c r="Q203" s="512"/>
      <c r="R203" s="512"/>
      <c r="S203" s="512">
        <v>201</v>
      </c>
      <c r="T203" s="512">
        <v>150</v>
      </c>
      <c r="U203" s="512"/>
      <c r="V203" s="512"/>
      <c r="W203" s="512"/>
      <c r="X203" s="512"/>
      <c r="Y203" s="511"/>
    </row>
    <row r="204" spans="12:25" x14ac:dyDescent="0.2">
      <c r="L204" s="512"/>
      <c r="M204" s="512"/>
      <c r="N204" s="512"/>
      <c r="O204" s="512"/>
      <c r="P204" s="512"/>
      <c r="Q204" s="512"/>
      <c r="R204" s="512"/>
      <c r="S204" s="512">
        <v>202</v>
      </c>
      <c r="T204" s="512">
        <v>150</v>
      </c>
      <c r="U204" s="512"/>
      <c r="V204" s="512"/>
      <c r="W204" s="512"/>
      <c r="X204" s="512"/>
      <c r="Y204" s="511"/>
    </row>
    <row r="205" spans="12:25" x14ac:dyDescent="0.2">
      <c r="L205" s="512"/>
      <c r="M205" s="512"/>
      <c r="N205" s="512"/>
      <c r="O205" s="512"/>
      <c r="P205" s="512"/>
      <c r="Q205" s="512"/>
      <c r="R205" s="512"/>
      <c r="S205" s="512">
        <v>203</v>
      </c>
      <c r="T205" s="512">
        <v>150</v>
      </c>
      <c r="U205" s="512"/>
      <c r="V205" s="512"/>
      <c r="W205" s="512"/>
      <c r="X205" s="512"/>
      <c r="Y205" s="511"/>
    </row>
    <row r="206" spans="12:25" x14ac:dyDescent="0.2">
      <c r="L206" s="512"/>
      <c r="M206" s="512"/>
      <c r="N206" s="512"/>
      <c r="O206" s="512"/>
      <c r="P206" s="512"/>
      <c r="Q206" s="512"/>
      <c r="R206" s="512"/>
      <c r="S206" s="512">
        <v>204</v>
      </c>
      <c r="T206" s="512">
        <v>150</v>
      </c>
      <c r="U206" s="512"/>
      <c r="V206" s="512"/>
      <c r="W206" s="512"/>
      <c r="X206" s="512"/>
      <c r="Y206" s="511"/>
    </row>
    <row r="207" spans="12:25" x14ac:dyDescent="0.2">
      <c r="L207" s="512"/>
      <c r="M207" s="512"/>
      <c r="N207" s="512"/>
      <c r="O207" s="512"/>
      <c r="P207" s="512"/>
      <c r="Q207" s="512"/>
      <c r="R207" s="512"/>
      <c r="S207" s="512">
        <v>205</v>
      </c>
      <c r="T207" s="512">
        <v>150</v>
      </c>
      <c r="U207" s="512"/>
      <c r="V207" s="512"/>
      <c r="W207" s="512"/>
      <c r="X207" s="512"/>
      <c r="Y207" s="511"/>
    </row>
    <row r="208" spans="12:25" x14ac:dyDescent="0.2">
      <c r="L208" s="512"/>
      <c r="M208" s="512"/>
      <c r="N208" s="512"/>
      <c r="O208" s="512"/>
      <c r="P208" s="512"/>
      <c r="Q208" s="512"/>
      <c r="R208" s="512"/>
      <c r="S208" s="512">
        <v>206</v>
      </c>
      <c r="T208" s="512">
        <v>150</v>
      </c>
      <c r="U208" s="512"/>
      <c r="V208" s="512"/>
      <c r="W208" s="512"/>
      <c r="X208" s="512"/>
      <c r="Y208" s="511"/>
    </row>
    <row r="209" spans="12:25" x14ac:dyDescent="0.2">
      <c r="L209" s="512"/>
      <c r="M209" s="512"/>
      <c r="N209" s="512"/>
      <c r="O209" s="512"/>
      <c r="P209" s="512"/>
      <c r="Q209" s="512"/>
      <c r="R209" s="512"/>
      <c r="S209" s="512">
        <v>207</v>
      </c>
      <c r="T209" s="512">
        <v>150</v>
      </c>
      <c r="U209" s="512"/>
      <c r="V209" s="512"/>
      <c r="W209" s="512"/>
      <c r="X209" s="512"/>
      <c r="Y209" s="511"/>
    </row>
    <row r="210" spans="12:25" x14ac:dyDescent="0.2">
      <c r="L210" s="512"/>
      <c r="M210" s="512"/>
      <c r="N210" s="512"/>
      <c r="O210" s="512"/>
      <c r="P210" s="512"/>
      <c r="Q210" s="512"/>
      <c r="R210" s="512"/>
      <c r="S210" s="512">
        <v>208</v>
      </c>
      <c r="T210" s="512">
        <v>150</v>
      </c>
      <c r="U210" s="512"/>
      <c r="V210" s="512"/>
      <c r="W210" s="512"/>
      <c r="X210" s="512"/>
      <c r="Y210" s="511"/>
    </row>
    <row r="211" spans="12:25" x14ac:dyDescent="0.2">
      <c r="L211" s="512"/>
      <c r="M211" s="512"/>
      <c r="N211" s="512"/>
      <c r="O211" s="512"/>
      <c r="P211" s="512"/>
      <c r="Q211" s="512"/>
      <c r="R211" s="512"/>
      <c r="S211" s="512">
        <v>209</v>
      </c>
      <c r="T211" s="512">
        <v>150</v>
      </c>
      <c r="U211" s="512"/>
      <c r="V211" s="512"/>
      <c r="W211" s="512"/>
      <c r="X211" s="512"/>
      <c r="Y211" s="511"/>
    </row>
    <row r="212" spans="12:25" x14ac:dyDescent="0.2">
      <c r="L212" s="512"/>
      <c r="M212" s="512"/>
      <c r="N212" s="512"/>
      <c r="O212" s="512"/>
      <c r="P212" s="512"/>
      <c r="Q212" s="512"/>
      <c r="R212" s="512"/>
      <c r="S212" s="512">
        <v>210</v>
      </c>
      <c r="T212" s="512">
        <v>150</v>
      </c>
      <c r="U212" s="512"/>
      <c r="V212" s="512"/>
      <c r="W212" s="512"/>
      <c r="X212" s="512"/>
      <c r="Y212" s="511"/>
    </row>
    <row r="213" spans="12:25" x14ac:dyDescent="0.2">
      <c r="L213" s="512"/>
      <c r="M213" s="512"/>
      <c r="N213" s="512"/>
      <c r="O213" s="512"/>
      <c r="P213" s="512"/>
      <c r="Q213" s="512"/>
      <c r="R213" s="512"/>
      <c r="S213" s="512">
        <v>211</v>
      </c>
      <c r="T213" s="512">
        <v>150</v>
      </c>
      <c r="U213" s="512"/>
      <c r="V213" s="512"/>
      <c r="W213" s="512"/>
      <c r="X213" s="512"/>
      <c r="Y213" s="511"/>
    </row>
    <row r="214" spans="12:25" x14ac:dyDescent="0.2">
      <c r="L214" s="512"/>
      <c r="M214" s="512"/>
      <c r="N214" s="512"/>
      <c r="O214" s="512"/>
      <c r="P214" s="512"/>
      <c r="Q214" s="512"/>
      <c r="R214" s="512"/>
      <c r="S214" s="512">
        <v>212</v>
      </c>
      <c r="T214" s="512">
        <v>150</v>
      </c>
      <c r="U214" s="512"/>
      <c r="V214" s="512"/>
      <c r="W214" s="512"/>
      <c r="X214" s="512"/>
      <c r="Y214" s="511"/>
    </row>
    <row r="215" spans="12:25" x14ac:dyDescent="0.2">
      <c r="L215" s="512"/>
      <c r="M215" s="512"/>
      <c r="N215" s="512"/>
      <c r="O215" s="512"/>
      <c r="P215" s="512"/>
      <c r="Q215" s="512"/>
      <c r="R215" s="512"/>
      <c r="S215" s="512">
        <v>213</v>
      </c>
      <c r="T215" s="512">
        <v>150</v>
      </c>
      <c r="U215" s="512"/>
      <c r="V215" s="512"/>
      <c r="W215" s="512"/>
      <c r="X215" s="512"/>
      <c r="Y215" s="511"/>
    </row>
    <row r="216" spans="12:25" x14ac:dyDescent="0.2">
      <c r="L216" s="512"/>
      <c r="M216" s="512"/>
      <c r="N216" s="512"/>
      <c r="O216" s="512"/>
      <c r="P216" s="512"/>
      <c r="Q216" s="512"/>
      <c r="R216" s="512"/>
      <c r="S216" s="512">
        <v>214</v>
      </c>
      <c r="T216" s="512">
        <v>150</v>
      </c>
      <c r="U216" s="512"/>
      <c r="V216" s="512"/>
      <c r="W216" s="512"/>
      <c r="X216" s="512"/>
      <c r="Y216" s="511"/>
    </row>
    <row r="217" spans="12:25" x14ac:dyDescent="0.2">
      <c r="L217" s="512"/>
      <c r="M217" s="512"/>
      <c r="N217" s="512"/>
      <c r="O217" s="512"/>
      <c r="P217" s="512"/>
      <c r="Q217" s="512"/>
      <c r="R217" s="512"/>
      <c r="S217" s="512">
        <v>215</v>
      </c>
      <c r="T217" s="512">
        <v>150</v>
      </c>
      <c r="U217" s="512"/>
      <c r="V217" s="512"/>
      <c r="W217" s="512"/>
      <c r="X217" s="512"/>
      <c r="Y217" s="511"/>
    </row>
    <row r="218" spans="12:25" x14ac:dyDescent="0.2">
      <c r="L218" s="512"/>
      <c r="M218" s="512"/>
      <c r="N218" s="512"/>
      <c r="O218" s="512"/>
      <c r="P218" s="512"/>
      <c r="Q218" s="512"/>
      <c r="R218" s="512"/>
      <c r="S218" s="512">
        <v>216</v>
      </c>
      <c r="T218" s="512">
        <v>150</v>
      </c>
      <c r="U218" s="512"/>
      <c r="V218" s="512"/>
      <c r="W218" s="512"/>
      <c r="X218" s="512"/>
      <c r="Y218" s="511"/>
    </row>
    <row r="219" spans="12:25" x14ac:dyDescent="0.2">
      <c r="L219" s="512"/>
      <c r="M219" s="512"/>
      <c r="N219" s="512"/>
      <c r="O219" s="512"/>
      <c r="P219" s="512"/>
      <c r="Q219" s="512"/>
      <c r="R219" s="512"/>
      <c r="S219" s="512">
        <v>217</v>
      </c>
      <c r="T219" s="512">
        <v>150</v>
      </c>
      <c r="U219" s="512"/>
      <c r="V219" s="512"/>
      <c r="W219" s="512"/>
      <c r="X219" s="512"/>
      <c r="Y219" s="511"/>
    </row>
    <row r="220" spans="12:25" x14ac:dyDescent="0.2">
      <c r="L220" s="512"/>
      <c r="M220" s="512"/>
      <c r="N220" s="512"/>
      <c r="O220" s="512"/>
      <c r="P220" s="512"/>
      <c r="Q220" s="512"/>
      <c r="R220" s="512"/>
      <c r="S220" s="512">
        <v>218</v>
      </c>
      <c r="T220" s="512">
        <v>150</v>
      </c>
      <c r="U220" s="512"/>
      <c r="V220" s="512"/>
      <c r="W220" s="512"/>
      <c r="X220" s="512"/>
      <c r="Y220" s="511"/>
    </row>
    <row r="221" spans="12:25" x14ac:dyDescent="0.2">
      <c r="L221" s="512"/>
      <c r="M221" s="512"/>
      <c r="N221" s="512"/>
      <c r="O221" s="512"/>
      <c r="P221" s="512"/>
      <c r="Q221" s="512"/>
      <c r="R221" s="512"/>
      <c r="S221" s="512">
        <v>219</v>
      </c>
      <c r="T221" s="512">
        <v>150</v>
      </c>
      <c r="U221" s="512"/>
      <c r="V221" s="512"/>
      <c r="W221" s="512"/>
      <c r="X221" s="512"/>
      <c r="Y221" s="511"/>
    </row>
    <row r="222" spans="12:25" x14ac:dyDescent="0.2">
      <c r="L222" s="512"/>
      <c r="M222" s="512"/>
      <c r="N222" s="512"/>
      <c r="O222" s="512"/>
      <c r="P222" s="512"/>
      <c r="Q222" s="512"/>
      <c r="R222" s="512"/>
      <c r="S222" s="512">
        <v>220</v>
      </c>
      <c r="T222" s="512">
        <v>150</v>
      </c>
      <c r="U222" s="512"/>
      <c r="V222" s="512"/>
      <c r="W222" s="512"/>
      <c r="X222" s="512"/>
      <c r="Y222" s="511"/>
    </row>
    <row r="223" spans="12:25" x14ac:dyDescent="0.2">
      <c r="L223" s="512"/>
      <c r="M223" s="512"/>
      <c r="N223" s="512"/>
      <c r="O223" s="512"/>
      <c r="P223" s="512"/>
      <c r="Q223" s="512"/>
      <c r="R223" s="512"/>
      <c r="S223" s="512">
        <v>221</v>
      </c>
      <c r="T223" s="512">
        <v>150</v>
      </c>
      <c r="U223" s="512"/>
      <c r="V223" s="512"/>
      <c r="W223" s="512"/>
      <c r="X223" s="512"/>
      <c r="Y223" s="511"/>
    </row>
    <row r="224" spans="12:25" x14ac:dyDescent="0.2">
      <c r="L224" s="512"/>
      <c r="M224" s="512"/>
      <c r="N224" s="512"/>
      <c r="O224" s="512"/>
      <c r="P224" s="512"/>
      <c r="Q224" s="512"/>
      <c r="R224" s="512"/>
      <c r="S224" s="512">
        <v>222</v>
      </c>
      <c r="T224" s="512">
        <v>150</v>
      </c>
      <c r="U224" s="512"/>
      <c r="V224" s="512"/>
      <c r="W224" s="512"/>
      <c r="X224" s="512"/>
      <c r="Y224" s="511"/>
    </row>
    <row r="225" spans="12:25" x14ac:dyDescent="0.2">
      <c r="L225" s="512"/>
      <c r="M225" s="512"/>
      <c r="N225" s="512"/>
      <c r="O225" s="512"/>
      <c r="P225" s="512"/>
      <c r="Q225" s="512"/>
      <c r="R225" s="512"/>
      <c r="S225" s="512">
        <v>223</v>
      </c>
      <c r="T225" s="512">
        <v>150</v>
      </c>
      <c r="U225" s="512"/>
      <c r="V225" s="512"/>
      <c r="W225" s="512"/>
      <c r="X225" s="512"/>
      <c r="Y225" s="511"/>
    </row>
    <row r="226" spans="12:25" x14ac:dyDescent="0.2">
      <c r="L226" s="512"/>
      <c r="M226" s="512"/>
      <c r="N226" s="512"/>
      <c r="O226" s="512"/>
      <c r="P226" s="512"/>
      <c r="Q226" s="512"/>
      <c r="R226" s="512"/>
      <c r="S226" s="512">
        <v>224</v>
      </c>
      <c r="T226" s="512">
        <v>150</v>
      </c>
      <c r="U226" s="512"/>
      <c r="V226" s="512"/>
      <c r="W226" s="512"/>
      <c r="X226" s="512"/>
      <c r="Y226" s="511"/>
    </row>
    <row r="227" spans="12:25" x14ac:dyDescent="0.2">
      <c r="L227" s="512"/>
      <c r="M227" s="512"/>
      <c r="N227" s="512"/>
      <c r="O227" s="512"/>
      <c r="P227" s="512"/>
      <c r="Q227" s="512"/>
      <c r="R227" s="512"/>
      <c r="S227" s="512">
        <v>225</v>
      </c>
      <c r="T227" s="512">
        <v>150</v>
      </c>
      <c r="U227" s="512"/>
      <c r="V227" s="512"/>
      <c r="W227" s="512"/>
      <c r="X227" s="512"/>
      <c r="Y227" s="511"/>
    </row>
    <row r="228" spans="12:25" x14ac:dyDescent="0.2">
      <c r="L228" s="512"/>
      <c r="M228" s="512"/>
      <c r="N228" s="512"/>
      <c r="O228" s="512"/>
      <c r="P228" s="512"/>
      <c r="Q228" s="512"/>
      <c r="R228" s="512"/>
      <c r="S228" s="512">
        <v>226</v>
      </c>
      <c r="T228" s="512">
        <v>150</v>
      </c>
      <c r="U228" s="512"/>
      <c r="V228" s="512"/>
      <c r="W228" s="512"/>
      <c r="X228" s="512"/>
      <c r="Y228" s="511"/>
    </row>
    <row r="229" spans="12:25" x14ac:dyDescent="0.2">
      <c r="L229" s="512"/>
      <c r="M229" s="512"/>
      <c r="N229" s="512"/>
      <c r="O229" s="512"/>
      <c r="P229" s="512"/>
      <c r="Q229" s="512"/>
      <c r="R229" s="512"/>
      <c r="S229" s="512">
        <v>227</v>
      </c>
      <c r="T229" s="512">
        <v>150</v>
      </c>
      <c r="U229" s="512"/>
      <c r="V229" s="512"/>
      <c r="W229" s="512"/>
      <c r="X229" s="512"/>
      <c r="Y229" s="511"/>
    </row>
    <row r="230" spans="12:25" x14ac:dyDescent="0.2">
      <c r="L230" s="512"/>
      <c r="M230" s="512"/>
      <c r="N230" s="512"/>
      <c r="O230" s="512"/>
      <c r="P230" s="512"/>
      <c r="Q230" s="512"/>
      <c r="R230" s="512"/>
      <c r="S230" s="512">
        <v>228</v>
      </c>
      <c r="T230" s="512">
        <v>150</v>
      </c>
      <c r="U230" s="512"/>
      <c r="V230" s="512"/>
      <c r="W230" s="512"/>
      <c r="X230" s="512"/>
      <c r="Y230" s="511"/>
    </row>
    <row r="231" spans="12:25" x14ac:dyDescent="0.2">
      <c r="L231" s="512"/>
      <c r="M231" s="512"/>
      <c r="N231" s="512"/>
      <c r="O231" s="512"/>
      <c r="P231" s="512"/>
      <c r="Q231" s="512"/>
      <c r="R231" s="512"/>
      <c r="S231" s="512">
        <v>229</v>
      </c>
      <c r="T231" s="512">
        <v>150</v>
      </c>
      <c r="U231" s="512"/>
      <c r="V231" s="512"/>
      <c r="W231" s="512"/>
      <c r="X231" s="512"/>
      <c r="Y231" s="511"/>
    </row>
    <row r="232" spans="12:25" x14ac:dyDescent="0.2">
      <c r="L232" s="512"/>
      <c r="M232" s="512"/>
      <c r="N232" s="512"/>
      <c r="O232" s="512"/>
      <c r="P232" s="512"/>
      <c r="Q232" s="512"/>
      <c r="R232" s="512"/>
      <c r="S232" s="512">
        <v>230</v>
      </c>
      <c r="T232" s="512">
        <v>150</v>
      </c>
      <c r="U232" s="512"/>
      <c r="V232" s="512"/>
      <c r="W232" s="512"/>
      <c r="X232" s="512"/>
      <c r="Y232" s="511"/>
    </row>
    <row r="233" spans="12:25" x14ac:dyDescent="0.2">
      <c r="L233" s="512"/>
      <c r="M233" s="512"/>
      <c r="N233" s="512"/>
      <c r="O233" s="512"/>
      <c r="P233" s="512"/>
      <c r="Q233" s="512"/>
      <c r="R233" s="512"/>
      <c r="S233" s="512">
        <v>231</v>
      </c>
      <c r="T233" s="512">
        <v>150</v>
      </c>
      <c r="U233" s="512"/>
      <c r="V233" s="512"/>
      <c r="W233" s="512"/>
      <c r="X233" s="512"/>
      <c r="Y233" s="511"/>
    </row>
    <row r="234" spans="12:25" x14ac:dyDescent="0.2">
      <c r="L234" s="512"/>
      <c r="M234" s="512"/>
      <c r="N234" s="512"/>
      <c r="O234" s="512"/>
      <c r="P234" s="512"/>
      <c r="Q234" s="512"/>
      <c r="R234" s="512"/>
      <c r="S234" s="512">
        <v>232</v>
      </c>
      <c r="T234" s="512">
        <v>150</v>
      </c>
      <c r="U234" s="512"/>
      <c r="V234" s="512"/>
      <c r="W234" s="512"/>
      <c r="X234" s="512"/>
      <c r="Y234" s="511"/>
    </row>
    <row r="235" spans="12:25" x14ac:dyDescent="0.2">
      <c r="L235" s="512"/>
      <c r="M235" s="512"/>
      <c r="N235" s="512"/>
      <c r="O235" s="512"/>
      <c r="P235" s="512"/>
      <c r="Q235" s="512"/>
      <c r="R235" s="512"/>
      <c r="S235" s="512">
        <v>233</v>
      </c>
      <c r="T235" s="512">
        <v>150</v>
      </c>
      <c r="U235" s="512"/>
      <c r="V235" s="512"/>
      <c r="W235" s="512"/>
      <c r="X235" s="512"/>
      <c r="Y235" s="511"/>
    </row>
    <row r="236" spans="12:25" x14ac:dyDescent="0.2">
      <c r="L236" s="512"/>
      <c r="M236" s="512"/>
      <c r="N236" s="512"/>
      <c r="O236" s="512"/>
      <c r="P236" s="512"/>
      <c r="Q236" s="512"/>
      <c r="R236" s="512"/>
      <c r="S236" s="512">
        <v>234</v>
      </c>
      <c r="T236" s="512">
        <v>150</v>
      </c>
      <c r="U236" s="512"/>
      <c r="V236" s="512"/>
      <c r="W236" s="512"/>
      <c r="X236" s="512"/>
      <c r="Y236" s="511"/>
    </row>
    <row r="237" spans="12:25" x14ac:dyDescent="0.2">
      <c r="L237" s="512"/>
      <c r="M237" s="512"/>
      <c r="N237" s="512"/>
      <c r="O237" s="512"/>
      <c r="P237" s="512"/>
      <c r="Q237" s="512"/>
      <c r="R237" s="512"/>
      <c r="S237" s="512">
        <v>235</v>
      </c>
      <c r="T237" s="512">
        <v>150</v>
      </c>
      <c r="U237" s="512"/>
      <c r="V237" s="512"/>
      <c r="W237" s="512"/>
      <c r="X237" s="512"/>
      <c r="Y237" s="511"/>
    </row>
    <row r="238" spans="12:25" x14ac:dyDescent="0.2">
      <c r="L238" s="512"/>
      <c r="M238" s="512"/>
      <c r="N238" s="512"/>
      <c r="O238" s="512"/>
      <c r="P238" s="512"/>
      <c r="Q238" s="512"/>
      <c r="R238" s="512"/>
      <c r="S238" s="512">
        <v>236</v>
      </c>
      <c r="T238" s="512">
        <v>150</v>
      </c>
      <c r="U238" s="512"/>
      <c r="V238" s="512"/>
      <c r="W238" s="512"/>
      <c r="X238" s="512"/>
      <c r="Y238" s="511"/>
    </row>
    <row r="239" spans="12:25" x14ac:dyDescent="0.2">
      <c r="L239" s="512"/>
      <c r="M239" s="512"/>
      <c r="N239" s="512"/>
      <c r="O239" s="512"/>
      <c r="P239" s="512"/>
      <c r="Q239" s="512"/>
      <c r="R239" s="512"/>
      <c r="S239" s="512">
        <v>237</v>
      </c>
      <c r="T239" s="512">
        <v>150</v>
      </c>
      <c r="U239" s="512"/>
      <c r="V239" s="512"/>
      <c r="W239" s="512"/>
      <c r="X239" s="512"/>
      <c r="Y239" s="511"/>
    </row>
    <row r="240" spans="12:25" x14ac:dyDescent="0.2">
      <c r="L240" s="512"/>
      <c r="M240" s="512"/>
      <c r="N240" s="512"/>
      <c r="O240" s="512"/>
      <c r="P240" s="512"/>
      <c r="Q240" s="512"/>
      <c r="R240" s="512"/>
      <c r="S240" s="512">
        <v>238</v>
      </c>
      <c r="T240" s="512">
        <v>150</v>
      </c>
      <c r="U240" s="512"/>
      <c r="V240" s="512"/>
      <c r="W240" s="512"/>
      <c r="X240" s="512"/>
      <c r="Y240" s="511"/>
    </row>
    <row r="241" spans="12:25" x14ac:dyDescent="0.2">
      <c r="L241" s="512"/>
      <c r="M241" s="512"/>
      <c r="N241" s="512"/>
      <c r="O241" s="512"/>
      <c r="P241" s="512"/>
      <c r="Q241" s="512"/>
      <c r="R241" s="512"/>
      <c r="S241" s="512">
        <v>239</v>
      </c>
      <c r="T241" s="512">
        <v>150</v>
      </c>
      <c r="U241" s="512"/>
      <c r="V241" s="512"/>
      <c r="W241" s="512"/>
      <c r="X241" s="512"/>
      <c r="Y241" s="511"/>
    </row>
    <row r="242" spans="12:25" x14ac:dyDescent="0.2">
      <c r="L242" s="512"/>
      <c r="M242" s="512"/>
      <c r="N242" s="512"/>
      <c r="O242" s="512"/>
      <c r="P242" s="512"/>
      <c r="Q242" s="512"/>
      <c r="R242" s="512"/>
      <c r="S242" s="512">
        <v>240</v>
      </c>
      <c r="T242" s="512">
        <v>150</v>
      </c>
      <c r="U242" s="512"/>
      <c r="V242" s="512"/>
      <c r="W242" s="512"/>
      <c r="X242" s="512"/>
      <c r="Y242" s="511"/>
    </row>
    <row r="243" spans="12:25" x14ac:dyDescent="0.2">
      <c r="L243" s="512"/>
      <c r="M243" s="512"/>
      <c r="N243" s="512"/>
      <c r="O243" s="512"/>
      <c r="P243" s="512"/>
      <c r="Q243" s="512"/>
      <c r="R243" s="512"/>
      <c r="S243" s="512">
        <v>241</v>
      </c>
      <c r="T243" s="512">
        <v>150</v>
      </c>
      <c r="U243" s="512"/>
      <c r="V243" s="512"/>
      <c r="W243" s="512"/>
      <c r="X243" s="512"/>
      <c r="Y243" s="511"/>
    </row>
    <row r="244" spans="12:25" x14ac:dyDescent="0.2">
      <c r="L244" s="512"/>
      <c r="M244" s="512"/>
      <c r="N244" s="512"/>
      <c r="O244" s="512"/>
      <c r="P244" s="512"/>
      <c r="Q244" s="512"/>
      <c r="R244" s="512"/>
      <c r="S244" s="512">
        <v>242</v>
      </c>
      <c r="T244" s="512">
        <v>150</v>
      </c>
      <c r="U244" s="512"/>
      <c r="V244" s="512"/>
      <c r="W244" s="512"/>
      <c r="X244" s="512"/>
      <c r="Y244" s="511"/>
    </row>
    <row r="245" spans="12:25" x14ac:dyDescent="0.2">
      <c r="L245" s="512"/>
      <c r="M245" s="512"/>
      <c r="N245" s="512"/>
      <c r="O245" s="512"/>
      <c r="P245" s="512"/>
      <c r="Q245" s="512"/>
      <c r="R245" s="512"/>
      <c r="S245" s="512">
        <v>243</v>
      </c>
      <c r="T245" s="512">
        <v>150</v>
      </c>
      <c r="U245" s="512"/>
      <c r="V245" s="512"/>
      <c r="W245" s="512"/>
      <c r="X245" s="512"/>
      <c r="Y245" s="511"/>
    </row>
    <row r="246" spans="12:25" x14ac:dyDescent="0.2">
      <c r="L246" s="512"/>
      <c r="M246" s="512"/>
      <c r="N246" s="512"/>
      <c r="O246" s="512"/>
      <c r="P246" s="512"/>
      <c r="Q246" s="512"/>
      <c r="R246" s="512"/>
      <c r="S246" s="512">
        <v>244</v>
      </c>
      <c r="T246" s="512">
        <v>150</v>
      </c>
      <c r="U246" s="512"/>
      <c r="V246" s="512"/>
      <c r="W246" s="512"/>
      <c r="X246" s="512"/>
      <c r="Y246" s="511"/>
    </row>
    <row r="247" spans="12:25" x14ac:dyDescent="0.2">
      <c r="L247" s="512"/>
      <c r="M247" s="512"/>
      <c r="N247" s="512"/>
      <c r="O247" s="512"/>
      <c r="P247" s="512"/>
      <c r="Q247" s="512"/>
      <c r="R247" s="512"/>
      <c r="S247" s="512">
        <v>245</v>
      </c>
      <c r="T247" s="512">
        <v>150</v>
      </c>
      <c r="U247" s="512"/>
      <c r="V247" s="512"/>
      <c r="W247" s="512"/>
      <c r="X247" s="512"/>
      <c r="Y247" s="511"/>
    </row>
    <row r="248" spans="12:25" x14ac:dyDescent="0.2">
      <c r="L248" s="512"/>
      <c r="M248" s="512"/>
      <c r="N248" s="512"/>
      <c r="O248" s="512"/>
      <c r="P248" s="512"/>
      <c r="Q248" s="512"/>
      <c r="R248" s="512"/>
      <c r="S248" s="512">
        <v>246</v>
      </c>
      <c r="T248" s="512">
        <v>150</v>
      </c>
      <c r="U248" s="512"/>
      <c r="V248" s="512"/>
      <c r="W248" s="512"/>
      <c r="X248" s="512"/>
      <c r="Y248" s="511"/>
    </row>
    <row r="249" spans="12:25" x14ac:dyDescent="0.2">
      <c r="L249" s="512"/>
      <c r="M249" s="512"/>
      <c r="N249" s="512"/>
      <c r="O249" s="512"/>
      <c r="P249" s="512"/>
      <c r="Q249" s="512"/>
      <c r="R249" s="512"/>
      <c r="S249" s="512">
        <v>247</v>
      </c>
      <c r="T249" s="512">
        <v>150</v>
      </c>
      <c r="U249" s="512"/>
      <c r="V249" s="512"/>
      <c r="W249" s="512"/>
      <c r="X249" s="512"/>
      <c r="Y249" s="511"/>
    </row>
    <row r="250" spans="12:25" x14ac:dyDescent="0.2">
      <c r="L250" s="512"/>
      <c r="M250" s="512"/>
      <c r="N250" s="512"/>
      <c r="O250" s="512"/>
      <c r="P250" s="512"/>
      <c r="Q250" s="512"/>
      <c r="R250" s="512"/>
      <c r="S250" s="512">
        <v>248</v>
      </c>
      <c r="T250" s="512">
        <v>150</v>
      </c>
      <c r="U250" s="512"/>
      <c r="V250" s="512"/>
      <c r="W250" s="512"/>
      <c r="X250" s="512"/>
      <c r="Y250" s="511"/>
    </row>
    <row r="251" spans="12:25" x14ac:dyDescent="0.2">
      <c r="L251" s="512"/>
      <c r="M251" s="512"/>
      <c r="N251" s="512"/>
      <c r="O251" s="512"/>
      <c r="P251" s="512"/>
      <c r="Q251" s="512"/>
      <c r="R251" s="512"/>
      <c r="S251" s="512">
        <v>249</v>
      </c>
      <c r="T251" s="512">
        <v>150</v>
      </c>
      <c r="U251" s="512"/>
      <c r="V251" s="512"/>
      <c r="W251" s="512"/>
      <c r="X251" s="512"/>
      <c r="Y251" s="511"/>
    </row>
    <row r="252" spans="12:25" x14ac:dyDescent="0.2">
      <c r="L252" s="512"/>
      <c r="M252" s="512"/>
      <c r="N252" s="512"/>
      <c r="O252" s="512"/>
      <c r="P252" s="512"/>
      <c r="Q252" s="512"/>
      <c r="R252" s="512"/>
      <c r="S252" s="512">
        <v>250</v>
      </c>
      <c r="T252" s="512">
        <v>150</v>
      </c>
      <c r="U252" s="512"/>
      <c r="V252" s="512"/>
      <c r="W252" s="512"/>
      <c r="X252" s="512"/>
      <c r="Y252" s="511"/>
    </row>
    <row r="253" spans="12:25" x14ac:dyDescent="0.2">
      <c r="L253" s="512"/>
      <c r="M253" s="512"/>
      <c r="N253" s="512"/>
      <c r="O253" s="512"/>
      <c r="P253" s="512"/>
      <c r="Q253" s="512"/>
      <c r="R253" s="512"/>
      <c r="S253" s="512">
        <v>251</v>
      </c>
      <c r="T253" s="512">
        <v>150</v>
      </c>
      <c r="U253" s="512"/>
      <c r="V253" s="512"/>
      <c r="W253" s="512"/>
      <c r="X253" s="512"/>
      <c r="Y253" s="511"/>
    </row>
    <row r="254" spans="12:25" x14ac:dyDescent="0.2">
      <c r="L254" s="512"/>
      <c r="M254" s="512"/>
      <c r="N254" s="512"/>
      <c r="O254" s="512"/>
      <c r="P254" s="512"/>
      <c r="Q254" s="512"/>
      <c r="R254" s="512"/>
      <c r="S254" s="512">
        <v>252</v>
      </c>
      <c r="T254" s="512">
        <v>150</v>
      </c>
      <c r="U254" s="512"/>
      <c r="V254" s="512"/>
      <c r="W254" s="512"/>
      <c r="X254" s="512"/>
      <c r="Y254" s="511"/>
    </row>
    <row r="255" spans="12:25" x14ac:dyDescent="0.2">
      <c r="L255" s="512"/>
      <c r="M255" s="512"/>
      <c r="N255" s="512"/>
      <c r="O255" s="512"/>
      <c r="P255" s="512"/>
      <c r="Q255" s="512"/>
      <c r="R255" s="512"/>
      <c r="S255" s="512">
        <v>253</v>
      </c>
      <c r="T255" s="512">
        <v>150</v>
      </c>
      <c r="U255" s="512"/>
      <c r="V255" s="512"/>
      <c r="W255" s="512"/>
      <c r="X255" s="512"/>
      <c r="Y255" s="511"/>
    </row>
    <row r="256" spans="12:25" x14ac:dyDescent="0.2">
      <c r="L256" s="512"/>
      <c r="M256" s="512"/>
      <c r="N256" s="512"/>
      <c r="O256" s="512"/>
      <c r="P256" s="512"/>
      <c r="Q256" s="512"/>
      <c r="R256" s="512"/>
      <c r="S256" s="512">
        <v>254</v>
      </c>
      <c r="T256" s="512">
        <v>150</v>
      </c>
      <c r="U256" s="512"/>
      <c r="V256" s="512"/>
      <c r="W256" s="512"/>
      <c r="X256" s="512"/>
      <c r="Y256" s="511"/>
    </row>
    <row r="257" spans="12:25" x14ac:dyDescent="0.2">
      <c r="L257" s="512"/>
      <c r="M257" s="512"/>
      <c r="N257" s="512"/>
      <c r="O257" s="512"/>
      <c r="P257" s="512"/>
      <c r="Q257" s="512"/>
      <c r="R257" s="512"/>
      <c r="S257" s="512">
        <v>255</v>
      </c>
      <c r="T257" s="512">
        <v>150</v>
      </c>
      <c r="U257" s="512"/>
      <c r="V257" s="512"/>
      <c r="W257" s="512"/>
      <c r="X257" s="512"/>
      <c r="Y257" s="511"/>
    </row>
    <row r="258" spans="12:25" x14ac:dyDescent="0.2">
      <c r="L258" s="512"/>
      <c r="M258" s="512"/>
      <c r="N258" s="512"/>
      <c r="O258" s="512"/>
      <c r="P258" s="512"/>
      <c r="Q258" s="512"/>
      <c r="R258" s="512"/>
      <c r="S258" s="512">
        <v>256</v>
      </c>
      <c r="T258" s="512">
        <v>150</v>
      </c>
      <c r="U258" s="512"/>
      <c r="V258" s="512"/>
      <c r="W258" s="512"/>
      <c r="X258" s="512"/>
      <c r="Y258" s="511"/>
    </row>
    <row r="259" spans="12:25" x14ac:dyDescent="0.2">
      <c r="L259" s="512"/>
      <c r="M259" s="512"/>
      <c r="N259" s="512"/>
      <c r="O259" s="512"/>
      <c r="P259" s="512"/>
      <c r="Q259" s="512"/>
      <c r="R259" s="512"/>
      <c r="S259" s="512">
        <v>257</v>
      </c>
      <c r="T259" s="512">
        <v>150</v>
      </c>
      <c r="U259" s="512"/>
      <c r="V259" s="512"/>
      <c r="W259" s="512"/>
      <c r="X259" s="512"/>
      <c r="Y259" s="511"/>
    </row>
    <row r="260" spans="12:25" x14ac:dyDescent="0.2">
      <c r="L260" s="512"/>
      <c r="M260" s="512"/>
      <c r="N260" s="512"/>
      <c r="O260" s="512"/>
      <c r="P260" s="512"/>
      <c r="Q260" s="512"/>
      <c r="R260" s="512"/>
      <c r="S260" s="512">
        <v>258</v>
      </c>
      <c r="T260" s="512">
        <v>150</v>
      </c>
      <c r="U260" s="512"/>
      <c r="V260" s="512"/>
      <c r="W260" s="512"/>
      <c r="X260" s="512"/>
      <c r="Y260" s="511"/>
    </row>
    <row r="261" spans="12:25" x14ac:dyDescent="0.2">
      <c r="L261" s="512"/>
      <c r="M261" s="512"/>
      <c r="N261" s="512"/>
      <c r="O261" s="512"/>
      <c r="P261" s="512"/>
      <c r="Q261" s="512"/>
      <c r="R261" s="512"/>
      <c r="S261" s="512">
        <v>259</v>
      </c>
      <c r="T261" s="512">
        <v>150</v>
      </c>
      <c r="U261" s="512"/>
      <c r="V261" s="512"/>
      <c r="W261" s="512"/>
      <c r="X261" s="512"/>
      <c r="Y261" s="511"/>
    </row>
    <row r="262" spans="12:25" x14ac:dyDescent="0.2">
      <c r="L262" s="512"/>
      <c r="M262" s="512"/>
      <c r="N262" s="512"/>
      <c r="O262" s="512"/>
      <c r="P262" s="512"/>
      <c r="Q262" s="512"/>
      <c r="R262" s="512"/>
      <c r="S262" s="512">
        <v>260</v>
      </c>
      <c r="T262" s="512">
        <v>150</v>
      </c>
      <c r="U262" s="512"/>
      <c r="V262" s="512"/>
      <c r="W262" s="512"/>
      <c r="X262" s="512"/>
      <c r="Y262" s="511"/>
    </row>
    <row r="263" spans="12:25" x14ac:dyDescent="0.2">
      <c r="L263" s="512"/>
      <c r="M263" s="512"/>
      <c r="N263" s="512"/>
      <c r="O263" s="512"/>
      <c r="P263" s="512"/>
      <c r="Q263" s="512"/>
      <c r="R263" s="512"/>
      <c r="S263" s="512">
        <v>261</v>
      </c>
      <c r="T263" s="512">
        <v>150</v>
      </c>
      <c r="U263" s="512"/>
      <c r="V263" s="512"/>
      <c r="W263" s="512"/>
      <c r="X263" s="512"/>
      <c r="Y263" s="511"/>
    </row>
    <row r="264" spans="12:25" x14ac:dyDescent="0.2">
      <c r="L264" s="512"/>
      <c r="M264" s="512"/>
      <c r="N264" s="512"/>
      <c r="O264" s="512"/>
      <c r="P264" s="512"/>
      <c r="Q264" s="512"/>
      <c r="R264" s="512"/>
      <c r="S264" s="512">
        <v>262</v>
      </c>
      <c r="T264" s="512">
        <v>150</v>
      </c>
      <c r="U264" s="512"/>
      <c r="V264" s="512"/>
      <c r="W264" s="512"/>
      <c r="X264" s="512"/>
      <c r="Y264" s="511"/>
    </row>
    <row r="265" spans="12:25" x14ac:dyDescent="0.2">
      <c r="L265" s="512"/>
      <c r="M265" s="512"/>
      <c r="N265" s="512"/>
      <c r="O265" s="512"/>
      <c r="P265" s="512"/>
      <c r="Q265" s="512"/>
      <c r="R265" s="512"/>
      <c r="S265" s="512">
        <v>263</v>
      </c>
      <c r="T265" s="512">
        <v>150</v>
      </c>
      <c r="U265" s="512"/>
      <c r="V265" s="512"/>
      <c r="W265" s="512"/>
      <c r="X265" s="512"/>
      <c r="Y265" s="511"/>
    </row>
    <row r="266" spans="12:25" x14ac:dyDescent="0.2">
      <c r="L266" s="512"/>
      <c r="M266" s="512"/>
      <c r="N266" s="512"/>
      <c r="O266" s="512"/>
      <c r="P266" s="512"/>
      <c r="Q266" s="512"/>
      <c r="R266" s="512"/>
      <c r="S266" s="512">
        <v>264</v>
      </c>
      <c r="T266" s="512">
        <v>150</v>
      </c>
      <c r="U266" s="512"/>
      <c r="V266" s="512"/>
      <c r="W266" s="512"/>
      <c r="X266" s="512"/>
      <c r="Y266" s="511"/>
    </row>
    <row r="267" spans="12:25" x14ac:dyDescent="0.2">
      <c r="L267" s="512"/>
      <c r="M267" s="512"/>
      <c r="N267" s="512"/>
      <c r="O267" s="512"/>
      <c r="P267" s="512"/>
      <c r="Q267" s="512"/>
      <c r="R267" s="512"/>
      <c r="S267" s="512">
        <v>265</v>
      </c>
      <c r="T267" s="512">
        <v>150</v>
      </c>
      <c r="U267" s="512"/>
      <c r="V267" s="512"/>
      <c r="W267" s="512"/>
      <c r="X267" s="512"/>
      <c r="Y267" s="511"/>
    </row>
    <row r="268" spans="12:25" x14ac:dyDescent="0.2">
      <c r="L268" s="512"/>
      <c r="M268" s="512"/>
      <c r="N268" s="512"/>
      <c r="O268" s="512"/>
      <c r="P268" s="512"/>
      <c r="Q268" s="512"/>
      <c r="R268" s="512"/>
      <c r="S268" s="512">
        <v>266</v>
      </c>
      <c r="T268" s="512">
        <v>150</v>
      </c>
      <c r="U268" s="512"/>
      <c r="V268" s="512"/>
      <c r="W268" s="512"/>
      <c r="X268" s="512"/>
      <c r="Y268" s="511"/>
    </row>
    <row r="269" spans="12:25" x14ac:dyDescent="0.2">
      <c r="L269" s="512"/>
      <c r="M269" s="512"/>
      <c r="N269" s="512"/>
      <c r="O269" s="512"/>
      <c r="P269" s="512"/>
      <c r="Q269" s="512"/>
      <c r="R269" s="512"/>
      <c r="S269" s="512">
        <v>267</v>
      </c>
      <c r="T269" s="512">
        <v>150</v>
      </c>
      <c r="U269" s="512"/>
      <c r="V269" s="512"/>
      <c r="W269" s="512"/>
      <c r="X269" s="512"/>
      <c r="Y269" s="511"/>
    </row>
    <row r="270" spans="12:25" x14ac:dyDescent="0.2">
      <c r="L270" s="512"/>
      <c r="M270" s="512"/>
      <c r="N270" s="512"/>
      <c r="O270" s="512"/>
      <c r="P270" s="512"/>
      <c r="Q270" s="512"/>
      <c r="R270" s="512"/>
      <c r="S270" s="512">
        <v>268</v>
      </c>
      <c r="T270" s="512">
        <v>150</v>
      </c>
      <c r="U270" s="512"/>
      <c r="V270" s="512"/>
      <c r="W270" s="512"/>
      <c r="X270" s="512"/>
      <c r="Y270" s="511"/>
    </row>
    <row r="271" spans="12:25" x14ac:dyDescent="0.2">
      <c r="L271" s="512"/>
      <c r="M271" s="512"/>
      <c r="N271" s="512"/>
      <c r="O271" s="512"/>
      <c r="P271" s="512"/>
      <c r="Q271" s="512"/>
      <c r="R271" s="512"/>
      <c r="S271" s="512">
        <v>269</v>
      </c>
      <c r="T271" s="512">
        <v>150</v>
      </c>
      <c r="U271" s="512"/>
      <c r="V271" s="512"/>
      <c r="W271" s="512"/>
      <c r="X271" s="512"/>
      <c r="Y271" s="511"/>
    </row>
    <row r="272" spans="12:25" x14ac:dyDescent="0.2">
      <c r="L272" s="512"/>
      <c r="M272" s="512"/>
      <c r="N272" s="512"/>
      <c r="O272" s="512"/>
      <c r="P272" s="512"/>
      <c r="Q272" s="512"/>
      <c r="R272" s="512"/>
      <c r="S272" s="512">
        <v>270</v>
      </c>
      <c r="T272" s="512">
        <v>150</v>
      </c>
      <c r="U272" s="512"/>
      <c r="V272" s="512"/>
      <c r="W272" s="512"/>
      <c r="X272" s="512"/>
      <c r="Y272" s="511"/>
    </row>
    <row r="273" spans="12:25" x14ac:dyDescent="0.2">
      <c r="L273" s="512"/>
      <c r="M273" s="512"/>
      <c r="N273" s="512"/>
      <c r="O273" s="512"/>
      <c r="P273" s="512"/>
      <c r="Q273" s="512"/>
      <c r="R273" s="512"/>
      <c r="S273" s="512">
        <v>271</v>
      </c>
      <c r="T273" s="512">
        <v>150</v>
      </c>
      <c r="U273" s="512"/>
      <c r="V273" s="512"/>
      <c r="W273" s="512"/>
      <c r="X273" s="512"/>
      <c r="Y273" s="511"/>
    </row>
    <row r="274" spans="12:25" x14ac:dyDescent="0.2">
      <c r="L274" s="512"/>
      <c r="M274" s="512"/>
      <c r="N274" s="512"/>
      <c r="O274" s="512"/>
      <c r="P274" s="512"/>
      <c r="Q274" s="512"/>
      <c r="R274" s="512"/>
      <c r="S274" s="512">
        <v>272</v>
      </c>
      <c r="T274" s="512">
        <v>150</v>
      </c>
      <c r="U274" s="512"/>
      <c r="V274" s="512"/>
      <c r="W274" s="512"/>
      <c r="X274" s="512"/>
      <c r="Y274" s="511"/>
    </row>
    <row r="275" spans="12:25" x14ac:dyDescent="0.2">
      <c r="L275" s="512"/>
      <c r="M275" s="512"/>
      <c r="N275" s="512"/>
      <c r="O275" s="512"/>
      <c r="P275" s="512"/>
      <c r="Q275" s="512"/>
      <c r="R275" s="512"/>
      <c r="S275" s="512">
        <v>273</v>
      </c>
      <c r="T275" s="512">
        <v>150</v>
      </c>
      <c r="U275" s="512"/>
      <c r="V275" s="512"/>
      <c r="W275" s="512"/>
      <c r="X275" s="512"/>
      <c r="Y275" s="511"/>
    </row>
    <row r="276" spans="12:25" x14ac:dyDescent="0.2">
      <c r="L276" s="512"/>
      <c r="M276" s="512"/>
      <c r="N276" s="512"/>
      <c r="O276" s="512"/>
      <c r="P276" s="512"/>
      <c r="Q276" s="512"/>
      <c r="R276" s="512"/>
      <c r="S276" s="512">
        <v>274</v>
      </c>
      <c r="T276" s="512">
        <v>150</v>
      </c>
      <c r="U276" s="512"/>
      <c r="V276" s="512"/>
      <c r="W276" s="512"/>
      <c r="X276" s="512"/>
      <c r="Y276" s="511"/>
    </row>
    <row r="277" spans="12:25" x14ac:dyDescent="0.2">
      <c r="L277" s="512"/>
      <c r="M277" s="512"/>
      <c r="N277" s="512"/>
      <c r="O277" s="512"/>
      <c r="P277" s="512"/>
      <c r="Q277" s="512"/>
      <c r="R277" s="512"/>
      <c r="S277" s="512">
        <v>275</v>
      </c>
      <c r="T277" s="512">
        <v>150</v>
      </c>
      <c r="U277" s="512"/>
      <c r="V277" s="512"/>
      <c r="W277" s="512"/>
      <c r="X277" s="512"/>
      <c r="Y277" s="511"/>
    </row>
    <row r="278" spans="12:25" x14ac:dyDescent="0.2">
      <c r="L278" s="512"/>
      <c r="M278" s="512"/>
      <c r="N278" s="512"/>
      <c r="O278" s="512"/>
      <c r="P278" s="512"/>
      <c r="Q278" s="512"/>
      <c r="R278" s="512"/>
      <c r="S278" s="512">
        <v>276</v>
      </c>
      <c r="T278" s="512">
        <v>150</v>
      </c>
      <c r="U278" s="512"/>
      <c r="V278" s="512"/>
      <c r="W278" s="512"/>
      <c r="X278" s="512"/>
      <c r="Y278" s="511"/>
    </row>
    <row r="279" spans="12:25" x14ac:dyDescent="0.2">
      <c r="L279" s="512"/>
      <c r="M279" s="512"/>
      <c r="N279" s="512"/>
      <c r="O279" s="512"/>
      <c r="P279" s="512"/>
      <c r="Q279" s="512"/>
      <c r="R279" s="512"/>
      <c r="S279" s="512">
        <v>277</v>
      </c>
      <c r="T279" s="512">
        <v>150</v>
      </c>
      <c r="U279" s="512"/>
      <c r="V279" s="512"/>
      <c r="W279" s="512"/>
      <c r="X279" s="512"/>
      <c r="Y279" s="511"/>
    </row>
    <row r="280" spans="12:25" x14ac:dyDescent="0.2">
      <c r="L280" s="512"/>
      <c r="M280" s="512"/>
      <c r="N280" s="512"/>
      <c r="O280" s="512"/>
      <c r="P280" s="512"/>
      <c r="Q280" s="512"/>
      <c r="R280" s="512"/>
      <c r="S280" s="512">
        <v>278</v>
      </c>
      <c r="T280" s="512">
        <v>150</v>
      </c>
      <c r="U280" s="512"/>
      <c r="V280" s="512"/>
      <c r="W280" s="512"/>
      <c r="X280" s="512"/>
      <c r="Y280" s="511"/>
    </row>
    <row r="281" spans="12:25" x14ac:dyDescent="0.2">
      <c r="L281" s="512"/>
      <c r="M281" s="512"/>
      <c r="N281" s="512"/>
      <c r="O281" s="512"/>
      <c r="P281" s="512"/>
      <c r="Q281" s="512"/>
      <c r="R281" s="512"/>
      <c r="S281" s="512">
        <v>279</v>
      </c>
      <c r="T281" s="512">
        <v>150</v>
      </c>
      <c r="U281" s="512"/>
      <c r="V281" s="512"/>
      <c r="W281" s="512"/>
      <c r="X281" s="512"/>
      <c r="Y281" s="511"/>
    </row>
    <row r="282" spans="12:25" x14ac:dyDescent="0.2">
      <c r="L282" s="512"/>
      <c r="M282" s="512"/>
      <c r="N282" s="512"/>
      <c r="O282" s="512"/>
      <c r="P282" s="512"/>
      <c r="Q282" s="512"/>
      <c r="R282" s="512"/>
      <c r="S282" s="512">
        <v>280</v>
      </c>
      <c r="T282" s="512">
        <v>150</v>
      </c>
      <c r="U282" s="512"/>
      <c r="V282" s="512"/>
      <c r="W282" s="512"/>
      <c r="X282" s="512"/>
      <c r="Y282" s="511"/>
    </row>
    <row r="283" spans="12:25" x14ac:dyDescent="0.2">
      <c r="L283" s="512"/>
      <c r="M283" s="512"/>
      <c r="N283" s="512"/>
      <c r="O283" s="512"/>
      <c r="P283" s="512"/>
      <c r="Q283" s="512"/>
      <c r="R283" s="512"/>
      <c r="S283" s="512">
        <v>281</v>
      </c>
      <c r="T283" s="512">
        <v>150</v>
      </c>
      <c r="U283" s="512"/>
      <c r="V283" s="512"/>
      <c r="W283" s="512"/>
      <c r="X283" s="512"/>
      <c r="Y283" s="511"/>
    </row>
    <row r="284" spans="12:25" x14ac:dyDescent="0.2">
      <c r="L284" s="512"/>
      <c r="M284" s="512"/>
      <c r="N284" s="512"/>
      <c r="O284" s="512"/>
      <c r="P284" s="512"/>
      <c r="Q284" s="512"/>
      <c r="R284" s="512"/>
      <c r="S284" s="512">
        <v>282</v>
      </c>
      <c r="T284" s="512">
        <v>150</v>
      </c>
      <c r="U284" s="512"/>
      <c r="V284" s="512"/>
      <c r="W284" s="512"/>
      <c r="X284" s="512"/>
      <c r="Y284" s="511"/>
    </row>
    <row r="285" spans="12:25" x14ac:dyDescent="0.2">
      <c r="L285" s="512"/>
      <c r="M285" s="512"/>
      <c r="N285" s="512"/>
      <c r="O285" s="512"/>
      <c r="P285" s="512"/>
      <c r="Q285" s="512"/>
      <c r="R285" s="512"/>
      <c r="S285" s="512">
        <v>283</v>
      </c>
      <c r="T285" s="512">
        <v>150</v>
      </c>
      <c r="U285" s="512"/>
      <c r="V285" s="512"/>
      <c r="W285" s="512"/>
      <c r="X285" s="512"/>
      <c r="Y285" s="511"/>
    </row>
    <row r="286" spans="12:25" x14ac:dyDescent="0.2">
      <c r="L286" s="512"/>
      <c r="M286" s="512"/>
      <c r="N286" s="512"/>
      <c r="O286" s="512"/>
      <c r="P286" s="512"/>
      <c r="Q286" s="512"/>
      <c r="R286" s="512"/>
      <c r="S286" s="512">
        <v>284</v>
      </c>
      <c r="T286" s="512">
        <v>150</v>
      </c>
      <c r="U286" s="512"/>
      <c r="V286" s="512"/>
      <c r="W286" s="512"/>
      <c r="X286" s="512"/>
      <c r="Y286" s="511"/>
    </row>
    <row r="287" spans="12:25" x14ac:dyDescent="0.2">
      <c r="L287" s="512"/>
      <c r="M287" s="512"/>
      <c r="N287" s="512"/>
      <c r="O287" s="512"/>
      <c r="P287" s="512"/>
      <c r="Q287" s="512"/>
      <c r="R287" s="512"/>
      <c r="S287" s="512">
        <v>285</v>
      </c>
      <c r="T287" s="512">
        <v>150</v>
      </c>
      <c r="U287" s="512"/>
      <c r="V287" s="512"/>
      <c r="W287" s="512"/>
      <c r="X287" s="512"/>
      <c r="Y287" s="511"/>
    </row>
    <row r="288" spans="12:25" x14ac:dyDescent="0.2">
      <c r="L288" s="512"/>
      <c r="M288" s="512"/>
      <c r="N288" s="512"/>
      <c r="O288" s="512"/>
      <c r="P288" s="512"/>
      <c r="Q288" s="512"/>
      <c r="R288" s="512"/>
      <c r="S288" s="512">
        <v>286</v>
      </c>
      <c r="T288" s="512">
        <v>150</v>
      </c>
      <c r="U288" s="512"/>
      <c r="V288" s="512"/>
      <c r="W288" s="512"/>
      <c r="X288" s="512"/>
      <c r="Y288" s="511"/>
    </row>
    <row r="289" spans="12:25" x14ac:dyDescent="0.2">
      <c r="L289" s="512"/>
      <c r="M289" s="512"/>
      <c r="N289" s="512"/>
      <c r="O289" s="512"/>
      <c r="P289" s="512"/>
      <c r="Q289" s="512"/>
      <c r="R289" s="512"/>
      <c r="S289" s="512">
        <v>287</v>
      </c>
      <c r="T289" s="512">
        <v>150</v>
      </c>
      <c r="U289" s="512"/>
      <c r="V289" s="512"/>
      <c r="W289" s="512"/>
      <c r="X289" s="512"/>
      <c r="Y289" s="511"/>
    </row>
    <row r="290" spans="12:25" x14ac:dyDescent="0.2">
      <c r="L290" s="512"/>
      <c r="M290" s="512"/>
      <c r="N290" s="512"/>
      <c r="O290" s="512"/>
      <c r="P290" s="512"/>
      <c r="Q290" s="512"/>
      <c r="R290" s="512"/>
      <c r="S290" s="512">
        <v>288</v>
      </c>
      <c r="T290" s="512">
        <v>150</v>
      </c>
      <c r="U290" s="512"/>
      <c r="V290" s="512"/>
      <c r="W290" s="512"/>
      <c r="X290" s="512"/>
      <c r="Y290" s="511"/>
    </row>
    <row r="291" spans="12:25" x14ac:dyDescent="0.2">
      <c r="L291" s="512"/>
      <c r="M291" s="512"/>
      <c r="N291" s="512"/>
      <c r="O291" s="512"/>
      <c r="P291" s="512"/>
      <c r="Q291" s="512"/>
      <c r="R291" s="512"/>
      <c r="S291" s="512">
        <v>289</v>
      </c>
      <c r="T291" s="512">
        <v>150</v>
      </c>
      <c r="U291" s="512"/>
      <c r="V291" s="512"/>
      <c r="W291" s="512"/>
      <c r="X291" s="512"/>
      <c r="Y291" s="511"/>
    </row>
    <row r="292" spans="12:25" x14ac:dyDescent="0.2">
      <c r="L292" s="512"/>
      <c r="M292" s="512"/>
      <c r="N292" s="512"/>
      <c r="O292" s="512"/>
      <c r="P292" s="512"/>
      <c r="Q292" s="512"/>
      <c r="R292" s="512"/>
      <c r="S292" s="512">
        <v>290</v>
      </c>
      <c r="T292" s="512">
        <v>150</v>
      </c>
      <c r="U292" s="512"/>
      <c r="V292" s="512"/>
      <c r="W292" s="512"/>
      <c r="X292" s="512"/>
      <c r="Y292" s="511"/>
    </row>
    <row r="293" spans="12:25" x14ac:dyDescent="0.2">
      <c r="L293" s="512"/>
      <c r="M293" s="512"/>
      <c r="N293" s="512"/>
      <c r="O293" s="512"/>
      <c r="P293" s="512"/>
      <c r="Q293" s="512"/>
      <c r="R293" s="512"/>
      <c r="S293" s="512">
        <v>291</v>
      </c>
      <c r="T293" s="512">
        <v>150</v>
      </c>
      <c r="U293" s="512"/>
      <c r="V293" s="512"/>
      <c r="W293" s="512"/>
      <c r="X293" s="512"/>
      <c r="Y293" s="511"/>
    </row>
    <row r="294" spans="12:25" x14ac:dyDescent="0.2">
      <c r="L294" s="512"/>
      <c r="M294" s="512"/>
      <c r="N294" s="512"/>
      <c r="O294" s="512"/>
      <c r="P294" s="512"/>
      <c r="Q294" s="512"/>
      <c r="R294" s="512"/>
      <c r="S294" s="512">
        <v>292</v>
      </c>
      <c r="T294" s="512">
        <v>150</v>
      </c>
      <c r="U294" s="512"/>
      <c r="V294" s="512"/>
      <c r="W294" s="512"/>
      <c r="X294" s="512"/>
      <c r="Y294" s="511"/>
    </row>
    <row r="295" spans="12:25" x14ac:dyDescent="0.2">
      <c r="L295" s="512"/>
      <c r="M295" s="512"/>
      <c r="N295" s="512"/>
      <c r="O295" s="512"/>
      <c r="P295" s="512"/>
      <c r="Q295" s="512"/>
      <c r="R295" s="512"/>
      <c r="S295" s="512">
        <v>293</v>
      </c>
      <c r="T295" s="512">
        <v>150</v>
      </c>
      <c r="U295" s="512"/>
      <c r="V295" s="512"/>
      <c r="W295" s="512"/>
      <c r="X295" s="512"/>
      <c r="Y295" s="511"/>
    </row>
    <row r="296" spans="12:25" x14ac:dyDescent="0.2">
      <c r="L296" s="512"/>
      <c r="M296" s="512"/>
      <c r="N296" s="512"/>
      <c r="O296" s="512"/>
      <c r="P296" s="512"/>
      <c r="Q296" s="512"/>
      <c r="R296" s="512"/>
      <c r="S296" s="512">
        <v>294</v>
      </c>
      <c r="T296" s="512">
        <v>150</v>
      </c>
      <c r="U296" s="512"/>
      <c r="V296" s="512"/>
      <c r="W296" s="512"/>
      <c r="X296" s="512"/>
      <c r="Y296" s="511"/>
    </row>
    <row r="297" spans="12:25" x14ac:dyDescent="0.2">
      <c r="L297" s="512"/>
      <c r="M297" s="512"/>
      <c r="N297" s="512"/>
      <c r="O297" s="512"/>
      <c r="P297" s="512"/>
      <c r="Q297" s="512"/>
      <c r="R297" s="512"/>
      <c r="S297" s="512">
        <v>295</v>
      </c>
      <c r="T297" s="512">
        <v>150</v>
      </c>
      <c r="U297" s="512"/>
      <c r="V297" s="512"/>
      <c r="W297" s="512"/>
      <c r="X297" s="512"/>
      <c r="Y297" s="511"/>
    </row>
    <row r="298" spans="12:25" x14ac:dyDescent="0.2">
      <c r="L298" s="512"/>
      <c r="M298" s="512"/>
      <c r="N298" s="512"/>
      <c r="O298" s="512"/>
      <c r="P298" s="512"/>
      <c r="Q298" s="512"/>
      <c r="R298" s="512"/>
      <c r="S298" s="512">
        <v>296</v>
      </c>
      <c r="T298" s="512">
        <v>150</v>
      </c>
      <c r="U298" s="512"/>
      <c r="V298" s="512"/>
      <c r="W298" s="512"/>
      <c r="X298" s="512"/>
      <c r="Y298" s="511"/>
    </row>
    <row r="299" spans="12:25" x14ac:dyDescent="0.2">
      <c r="L299" s="512"/>
      <c r="M299" s="512"/>
      <c r="N299" s="512"/>
      <c r="O299" s="512"/>
      <c r="P299" s="512"/>
      <c r="Q299" s="512"/>
      <c r="R299" s="512"/>
      <c r="S299" s="512">
        <v>297</v>
      </c>
      <c r="T299" s="512">
        <v>150</v>
      </c>
      <c r="U299" s="512"/>
      <c r="V299" s="512"/>
      <c r="W299" s="512"/>
      <c r="X299" s="512"/>
      <c r="Y299" s="511"/>
    </row>
    <row r="300" spans="12:25" x14ac:dyDescent="0.2">
      <c r="L300" s="512"/>
      <c r="M300" s="512"/>
      <c r="N300" s="512"/>
      <c r="O300" s="512"/>
      <c r="P300" s="512"/>
      <c r="Q300" s="512"/>
      <c r="R300" s="512"/>
      <c r="S300" s="512">
        <v>298</v>
      </c>
      <c r="T300" s="512">
        <v>150</v>
      </c>
      <c r="U300" s="512"/>
      <c r="V300" s="512"/>
      <c r="W300" s="512"/>
      <c r="X300" s="512"/>
      <c r="Y300" s="511"/>
    </row>
    <row r="301" spans="12:25" x14ac:dyDescent="0.2">
      <c r="L301" s="512"/>
      <c r="M301" s="512"/>
      <c r="N301" s="512"/>
      <c r="O301" s="512"/>
      <c r="P301" s="512"/>
      <c r="Q301" s="512"/>
      <c r="R301" s="512"/>
      <c r="S301" s="512">
        <v>299</v>
      </c>
      <c r="T301" s="512">
        <v>150</v>
      </c>
      <c r="U301" s="512"/>
      <c r="V301" s="512"/>
      <c r="W301" s="512"/>
      <c r="X301" s="512"/>
      <c r="Y301" s="511"/>
    </row>
    <row r="302" spans="12:25" x14ac:dyDescent="0.2">
      <c r="L302" s="512"/>
      <c r="M302" s="512"/>
      <c r="N302" s="512"/>
      <c r="O302" s="512"/>
      <c r="P302" s="512"/>
      <c r="Q302" s="512"/>
      <c r="R302" s="512"/>
      <c r="S302" s="512">
        <v>300</v>
      </c>
      <c r="T302" s="512">
        <v>150</v>
      </c>
      <c r="U302" s="512">
        <v>300</v>
      </c>
      <c r="V302" s="512"/>
      <c r="W302" s="512"/>
      <c r="X302" s="512"/>
      <c r="Y302" s="511"/>
    </row>
    <row r="303" spans="12:25" x14ac:dyDescent="0.2">
      <c r="L303" s="512"/>
      <c r="M303" s="512"/>
      <c r="N303" s="512"/>
      <c r="O303" s="512"/>
      <c r="P303" s="512"/>
      <c r="Q303" s="512"/>
      <c r="R303" s="512"/>
      <c r="S303" s="512">
        <v>301</v>
      </c>
      <c r="T303" s="512">
        <v>150</v>
      </c>
      <c r="U303" s="512"/>
      <c r="V303" s="512"/>
      <c r="W303" s="512"/>
      <c r="X303" s="512"/>
      <c r="Y303" s="511"/>
    </row>
    <row r="304" spans="12:25" x14ac:dyDescent="0.2">
      <c r="L304" s="512"/>
      <c r="M304" s="512"/>
      <c r="N304" s="512"/>
      <c r="O304" s="512"/>
      <c r="P304" s="512"/>
      <c r="Q304" s="512"/>
      <c r="R304" s="512"/>
      <c r="S304" s="512">
        <v>302</v>
      </c>
      <c r="T304" s="512">
        <v>150</v>
      </c>
      <c r="U304" s="512"/>
      <c r="V304" s="512"/>
      <c r="W304" s="512"/>
      <c r="X304" s="512"/>
      <c r="Y304" s="511"/>
    </row>
    <row r="305" spans="12:25" x14ac:dyDescent="0.2">
      <c r="L305" s="512"/>
      <c r="M305" s="512"/>
      <c r="N305" s="512"/>
      <c r="O305" s="512"/>
      <c r="P305" s="512"/>
      <c r="Q305" s="512"/>
      <c r="R305" s="512"/>
      <c r="S305" s="512">
        <v>303</v>
      </c>
      <c r="T305" s="512">
        <v>150</v>
      </c>
      <c r="U305" s="512"/>
      <c r="V305" s="512"/>
      <c r="W305" s="512"/>
      <c r="X305" s="512"/>
      <c r="Y305" s="511"/>
    </row>
    <row r="306" spans="12:25" x14ac:dyDescent="0.2">
      <c r="L306" s="512"/>
      <c r="M306" s="512"/>
      <c r="N306" s="512"/>
      <c r="O306" s="512"/>
      <c r="P306" s="512"/>
      <c r="Q306" s="512"/>
      <c r="R306" s="512"/>
      <c r="S306" s="512">
        <v>304</v>
      </c>
      <c r="T306" s="512">
        <v>150</v>
      </c>
      <c r="U306" s="512"/>
      <c r="V306" s="512"/>
      <c r="W306" s="512"/>
      <c r="X306" s="512"/>
      <c r="Y306" s="511"/>
    </row>
    <row r="307" spans="12:25" x14ac:dyDescent="0.2">
      <c r="L307" s="512"/>
      <c r="M307" s="512"/>
      <c r="N307" s="512"/>
      <c r="O307" s="512"/>
      <c r="P307" s="512"/>
      <c r="Q307" s="512"/>
      <c r="R307" s="512"/>
      <c r="S307" s="512">
        <v>305</v>
      </c>
      <c r="T307" s="512">
        <v>150</v>
      </c>
      <c r="U307" s="512"/>
      <c r="V307" s="512"/>
      <c r="W307" s="512"/>
      <c r="X307" s="512"/>
      <c r="Y307" s="511"/>
    </row>
    <row r="308" spans="12:25" x14ac:dyDescent="0.2">
      <c r="L308" s="512"/>
      <c r="M308" s="512"/>
      <c r="N308" s="512"/>
      <c r="O308" s="512"/>
      <c r="P308" s="512"/>
      <c r="Q308" s="512"/>
      <c r="R308" s="512"/>
      <c r="S308" s="512">
        <v>306</v>
      </c>
      <c r="T308" s="512">
        <v>150</v>
      </c>
      <c r="U308" s="512"/>
      <c r="V308" s="512"/>
      <c r="W308" s="512"/>
      <c r="X308" s="512"/>
      <c r="Y308" s="511"/>
    </row>
    <row r="309" spans="12:25" x14ac:dyDescent="0.2">
      <c r="L309" s="512"/>
      <c r="M309" s="512"/>
      <c r="N309" s="512"/>
      <c r="O309" s="512"/>
      <c r="P309" s="512"/>
      <c r="Q309" s="512"/>
      <c r="R309" s="512"/>
      <c r="S309" s="512">
        <v>307</v>
      </c>
      <c r="T309" s="512">
        <v>150</v>
      </c>
      <c r="U309" s="512"/>
      <c r="V309" s="512"/>
      <c r="W309" s="512"/>
      <c r="X309" s="512"/>
      <c r="Y309" s="511"/>
    </row>
    <row r="310" spans="12:25" x14ac:dyDescent="0.2">
      <c r="L310" s="512"/>
      <c r="M310" s="512"/>
      <c r="N310" s="512"/>
      <c r="O310" s="512"/>
      <c r="P310" s="512"/>
      <c r="Q310" s="512"/>
      <c r="R310" s="512"/>
      <c r="S310" s="512">
        <v>308</v>
      </c>
      <c r="T310" s="512">
        <v>150</v>
      </c>
      <c r="U310" s="512"/>
      <c r="V310" s="512"/>
      <c r="W310" s="512"/>
      <c r="X310" s="512"/>
      <c r="Y310" s="511"/>
    </row>
    <row r="311" spans="12:25" x14ac:dyDescent="0.2">
      <c r="L311" s="512"/>
      <c r="M311" s="512"/>
      <c r="N311" s="512"/>
      <c r="O311" s="512"/>
      <c r="P311" s="512"/>
      <c r="Q311" s="512"/>
      <c r="R311" s="512"/>
      <c r="S311" s="512">
        <v>309</v>
      </c>
      <c r="T311" s="512">
        <v>150</v>
      </c>
      <c r="U311" s="512"/>
      <c r="V311" s="512"/>
      <c r="W311" s="512"/>
      <c r="X311" s="512"/>
      <c r="Y311" s="511"/>
    </row>
    <row r="312" spans="12:25" x14ac:dyDescent="0.2">
      <c r="L312" s="512"/>
      <c r="M312" s="512"/>
      <c r="N312" s="512"/>
      <c r="O312" s="512"/>
      <c r="P312" s="512"/>
      <c r="Q312" s="512"/>
      <c r="R312" s="512"/>
      <c r="S312" s="512">
        <v>310</v>
      </c>
      <c r="T312" s="512">
        <v>150</v>
      </c>
      <c r="U312" s="512"/>
      <c r="V312" s="512"/>
      <c r="W312" s="512"/>
      <c r="X312" s="512"/>
      <c r="Y312" s="511"/>
    </row>
    <row r="313" spans="12:25" x14ac:dyDescent="0.2">
      <c r="L313" s="512"/>
      <c r="M313" s="512"/>
      <c r="N313" s="512"/>
      <c r="O313" s="512"/>
      <c r="P313" s="512"/>
      <c r="Q313" s="512"/>
      <c r="R313" s="512"/>
      <c r="S313" s="512">
        <v>311</v>
      </c>
      <c r="T313" s="512">
        <v>150</v>
      </c>
      <c r="U313" s="512"/>
      <c r="V313" s="512"/>
      <c r="W313" s="512"/>
      <c r="X313" s="512"/>
      <c r="Y313" s="511"/>
    </row>
    <row r="314" spans="12:25" x14ac:dyDescent="0.2">
      <c r="L314" s="512"/>
      <c r="M314" s="512"/>
      <c r="N314" s="512"/>
      <c r="O314" s="512"/>
      <c r="P314" s="512"/>
      <c r="Q314" s="512"/>
      <c r="R314" s="512"/>
      <c r="S314" s="512">
        <v>312</v>
      </c>
      <c r="T314" s="512">
        <v>150</v>
      </c>
      <c r="U314" s="512"/>
      <c r="V314" s="512"/>
      <c r="W314" s="512"/>
      <c r="X314" s="512"/>
      <c r="Y314" s="511"/>
    </row>
    <row r="315" spans="12:25" x14ac:dyDescent="0.2">
      <c r="L315" s="512"/>
      <c r="M315" s="512"/>
      <c r="N315" s="512"/>
      <c r="O315" s="512"/>
      <c r="P315" s="512"/>
      <c r="Q315" s="512"/>
      <c r="R315" s="512"/>
      <c r="S315" s="512">
        <v>313</v>
      </c>
      <c r="T315" s="512">
        <v>150</v>
      </c>
      <c r="U315" s="512"/>
      <c r="V315" s="512"/>
      <c r="W315" s="512"/>
      <c r="X315" s="512"/>
      <c r="Y315" s="511"/>
    </row>
    <row r="316" spans="12:25" x14ac:dyDescent="0.2">
      <c r="L316" s="512"/>
      <c r="M316" s="512"/>
      <c r="N316" s="512"/>
      <c r="O316" s="512"/>
      <c r="P316" s="512"/>
      <c r="Q316" s="512"/>
      <c r="R316" s="512"/>
      <c r="S316" s="512">
        <v>314</v>
      </c>
      <c r="T316" s="512">
        <v>150</v>
      </c>
      <c r="U316" s="512"/>
      <c r="V316" s="512"/>
      <c r="W316" s="512"/>
      <c r="X316" s="512"/>
      <c r="Y316" s="511"/>
    </row>
    <row r="317" spans="12:25" x14ac:dyDescent="0.2">
      <c r="L317" s="512"/>
      <c r="M317" s="512"/>
      <c r="N317" s="512"/>
      <c r="O317" s="512"/>
      <c r="P317" s="512"/>
      <c r="Q317" s="512"/>
      <c r="R317" s="512"/>
      <c r="S317" s="512">
        <v>315</v>
      </c>
      <c r="T317" s="512">
        <v>150</v>
      </c>
      <c r="U317" s="512"/>
      <c r="V317" s="512"/>
      <c r="W317" s="512"/>
      <c r="X317" s="512"/>
      <c r="Y317" s="511"/>
    </row>
    <row r="318" spans="12:25" x14ac:dyDescent="0.2">
      <c r="L318" s="512"/>
      <c r="M318" s="512"/>
      <c r="N318" s="512"/>
      <c r="O318" s="512"/>
      <c r="P318" s="512"/>
      <c r="Q318" s="512"/>
      <c r="R318" s="512"/>
      <c r="S318" s="512">
        <v>316</v>
      </c>
      <c r="T318" s="512">
        <v>150</v>
      </c>
      <c r="U318" s="512"/>
      <c r="V318" s="512"/>
      <c r="W318" s="512"/>
      <c r="X318" s="512"/>
      <c r="Y318" s="511"/>
    </row>
    <row r="319" spans="12:25" x14ac:dyDescent="0.2">
      <c r="L319" s="512"/>
      <c r="M319" s="512"/>
      <c r="N319" s="512"/>
      <c r="O319" s="512"/>
      <c r="P319" s="512"/>
      <c r="Q319" s="512"/>
      <c r="R319" s="512"/>
      <c r="S319" s="512">
        <v>317</v>
      </c>
      <c r="T319" s="512">
        <v>150</v>
      </c>
      <c r="U319" s="512"/>
      <c r="V319" s="512"/>
      <c r="W319" s="512"/>
      <c r="X319" s="512"/>
      <c r="Y319" s="511"/>
    </row>
    <row r="320" spans="12:25" x14ac:dyDescent="0.2">
      <c r="L320" s="512"/>
      <c r="M320" s="512"/>
      <c r="N320" s="512"/>
      <c r="O320" s="512"/>
      <c r="P320" s="512"/>
      <c r="Q320" s="512"/>
      <c r="R320" s="512"/>
      <c r="S320" s="512">
        <v>318</v>
      </c>
      <c r="T320" s="512">
        <v>150</v>
      </c>
      <c r="U320" s="512"/>
      <c r="V320" s="512"/>
      <c r="W320" s="512"/>
      <c r="X320" s="512"/>
      <c r="Y320" s="511"/>
    </row>
    <row r="321" spans="12:25" x14ac:dyDescent="0.2">
      <c r="L321" s="512"/>
      <c r="M321" s="512"/>
      <c r="N321" s="512"/>
      <c r="O321" s="512"/>
      <c r="P321" s="512"/>
      <c r="Q321" s="512"/>
      <c r="R321" s="512"/>
      <c r="S321" s="512">
        <v>319</v>
      </c>
      <c r="T321" s="512">
        <v>150</v>
      </c>
      <c r="U321" s="512"/>
      <c r="V321" s="512"/>
      <c r="W321" s="512"/>
      <c r="X321" s="512"/>
      <c r="Y321" s="511"/>
    </row>
    <row r="322" spans="12:25" x14ac:dyDescent="0.2">
      <c r="L322" s="512"/>
      <c r="M322" s="512"/>
      <c r="N322" s="512"/>
      <c r="O322" s="512"/>
      <c r="P322" s="512"/>
      <c r="Q322" s="512"/>
      <c r="R322" s="512"/>
      <c r="S322" s="512">
        <v>320</v>
      </c>
      <c r="T322" s="512">
        <v>150</v>
      </c>
      <c r="U322" s="512"/>
      <c r="V322" s="512"/>
      <c r="W322" s="512"/>
      <c r="X322" s="512"/>
      <c r="Y322" s="511"/>
    </row>
    <row r="323" spans="12:25" x14ac:dyDescent="0.2">
      <c r="L323" s="512"/>
      <c r="M323" s="512"/>
      <c r="N323" s="512"/>
      <c r="O323" s="512"/>
      <c r="P323" s="512"/>
      <c r="Q323" s="512"/>
      <c r="R323" s="512"/>
      <c r="S323" s="512">
        <v>321</v>
      </c>
      <c r="T323" s="512">
        <v>150</v>
      </c>
      <c r="U323" s="512"/>
      <c r="V323" s="512"/>
      <c r="W323" s="512"/>
      <c r="X323" s="512"/>
      <c r="Y323" s="511"/>
    </row>
    <row r="324" spans="12:25" x14ac:dyDescent="0.2">
      <c r="L324" s="512"/>
      <c r="M324" s="512"/>
      <c r="N324" s="512"/>
      <c r="O324" s="512"/>
      <c r="P324" s="512"/>
      <c r="Q324" s="512"/>
      <c r="R324" s="512"/>
      <c r="S324" s="512">
        <v>322</v>
      </c>
      <c r="T324" s="512">
        <v>150</v>
      </c>
      <c r="U324" s="512"/>
      <c r="V324" s="512"/>
      <c r="W324" s="512"/>
      <c r="X324" s="512"/>
      <c r="Y324" s="511"/>
    </row>
    <row r="325" spans="12:25" x14ac:dyDescent="0.2">
      <c r="L325" s="512"/>
      <c r="M325" s="512"/>
      <c r="N325" s="512"/>
      <c r="O325" s="512"/>
      <c r="P325" s="512"/>
      <c r="Q325" s="512"/>
      <c r="R325" s="512"/>
      <c r="S325" s="512">
        <v>323</v>
      </c>
      <c r="T325" s="512">
        <v>150</v>
      </c>
      <c r="U325" s="512"/>
      <c r="V325" s="512"/>
      <c r="W325" s="512"/>
      <c r="X325" s="512"/>
      <c r="Y325" s="511"/>
    </row>
    <row r="326" spans="12:25" x14ac:dyDescent="0.2">
      <c r="L326" s="512"/>
      <c r="M326" s="512"/>
      <c r="N326" s="512"/>
      <c r="O326" s="512"/>
      <c r="P326" s="512"/>
      <c r="Q326" s="512"/>
      <c r="R326" s="512"/>
      <c r="S326" s="512">
        <v>324</v>
      </c>
      <c r="T326" s="512">
        <v>150</v>
      </c>
      <c r="U326" s="512"/>
      <c r="V326" s="512"/>
      <c r="W326" s="512"/>
      <c r="X326" s="512"/>
      <c r="Y326" s="511"/>
    </row>
    <row r="327" spans="12:25" x14ac:dyDescent="0.2">
      <c r="L327" s="512"/>
      <c r="M327" s="512"/>
      <c r="N327" s="512"/>
      <c r="O327" s="512"/>
      <c r="P327" s="512"/>
      <c r="Q327" s="512"/>
      <c r="R327" s="512"/>
      <c r="S327" s="512">
        <v>325</v>
      </c>
      <c r="T327" s="512">
        <v>150</v>
      </c>
      <c r="U327" s="512"/>
      <c r="V327" s="512"/>
      <c r="W327" s="512"/>
      <c r="X327" s="512"/>
      <c r="Y327" s="511"/>
    </row>
    <row r="328" spans="12:25" x14ac:dyDescent="0.2">
      <c r="L328" s="512"/>
      <c r="M328" s="512"/>
      <c r="N328" s="512"/>
      <c r="O328" s="512"/>
      <c r="P328" s="512"/>
      <c r="Q328" s="512"/>
      <c r="R328" s="512"/>
      <c r="S328" s="512">
        <v>326</v>
      </c>
      <c r="T328" s="512">
        <v>150</v>
      </c>
      <c r="U328" s="512"/>
      <c r="V328" s="512"/>
      <c r="W328" s="512"/>
      <c r="X328" s="512"/>
      <c r="Y328" s="511"/>
    </row>
    <row r="329" spans="12:25" x14ac:dyDescent="0.2">
      <c r="L329" s="512"/>
      <c r="M329" s="512"/>
      <c r="N329" s="512"/>
      <c r="O329" s="512"/>
      <c r="P329" s="512"/>
      <c r="Q329" s="512"/>
      <c r="R329" s="512"/>
      <c r="S329" s="512">
        <v>327</v>
      </c>
      <c r="T329" s="512">
        <v>150</v>
      </c>
      <c r="U329" s="512"/>
      <c r="V329" s="512"/>
      <c r="W329" s="512"/>
      <c r="X329" s="512"/>
      <c r="Y329" s="511"/>
    </row>
    <row r="330" spans="12:25" x14ac:dyDescent="0.2">
      <c r="L330" s="512"/>
      <c r="M330" s="512"/>
      <c r="N330" s="512"/>
      <c r="O330" s="512"/>
      <c r="P330" s="512"/>
      <c r="Q330" s="512"/>
      <c r="R330" s="512"/>
      <c r="S330" s="512">
        <v>328</v>
      </c>
      <c r="T330" s="512">
        <v>150</v>
      </c>
      <c r="U330" s="512"/>
      <c r="V330" s="512"/>
      <c r="W330" s="512"/>
      <c r="X330" s="512"/>
      <c r="Y330" s="511"/>
    </row>
    <row r="331" spans="12:25" x14ac:dyDescent="0.2">
      <c r="L331" s="512"/>
      <c r="M331" s="512"/>
      <c r="N331" s="512"/>
      <c r="O331" s="512"/>
      <c r="P331" s="512"/>
      <c r="Q331" s="512"/>
      <c r="R331" s="512"/>
      <c r="S331" s="512">
        <v>329</v>
      </c>
      <c r="T331" s="512">
        <v>150</v>
      </c>
      <c r="U331" s="512"/>
      <c r="V331" s="512"/>
      <c r="W331" s="512"/>
      <c r="X331" s="512"/>
      <c r="Y331" s="511"/>
    </row>
    <row r="332" spans="12:25" x14ac:dyDescent="0.2">
      <c r="L332" s="512"/>
      <c r="M332" s="512"/>
      <c r="N332" s="512"/>
      <c r="O332" s="512"/>
      <c r="P332" s="512"/>
      <c r="Q332" s="512"/>
      <c r="R332" s="512"/>
      <c r="S332" s="512">
        <v>330</v>
      </c>
      <c r="T332" s="512">
        <v>150</v>
      </c>
      <c r="U332" s="512"/>
      <c r="V332" s="512"/>
      <c r="W332" s="512"/>
      <c r="X332" s="512"/>
      <c r="Y332" s="511"/>
    </row>
    <row r="333" spans="12:25" x14ac:dyDescent="0.2">
      <c r="L333" s="512"/>
      <c r="M333" s="512"/>
      <c r="N333" s="512"/>
      <c r="O333" s="512"/>
      <c r="P333" s="512"/>
      <c r="Q333" s="512"/>
      <c r="R333" s="512"/>
      <c r="S333" s="512">
        <v>331</v>
      </c>
      <c r="T333" s="512">
        <v>150</v>
      </c>
      <c r="U333" s="512"/>
      <c r="V333" s="512"/>
      <c r="W333" s="512"/>
      <c r="X333" s="512"/>
      <c r="Y333" s="511"/>
    </row>
    <row r="334" spans="12:25" x14ac:dyDescent="0.2">
      <c r="L334" s="512"/>
      <c r="M334" s="512"/>
      <c r="N334" s="512"/>
      <c r="O334" s="512"/>
      <c r="P334" s="512"/>
      <c r="Q334" s="512"/>
      <c r="R334" s="512"/>
      <c r="S334" s="512">
        <v>332</v>
      </c>
      <c r="T334" s="512">
        <v>150</v>
      </c>
      <c r="U334" s="512"/>
      <c r="V334" s="512"/>
      <c r="W334" s="512"/>
      <c r="X334" s="512"/>
      <c r="Y334" s="511"/>
    </row>
    <row r="335" spans="12:25" x14ac:dyDescent="0.2">
      <c r="L335" s="512"/>
      <c r="M335" s="512"/>
      <c r="N335" s="512"/>
      <c r="O335" s="512"/>
      <c r="P335" s="512"/>
      <c r="Q335" s="512"/>
      <c r="R335" s="512"/>
      <c r="S335" s="512">
        <v>333</v>
      </c>
      <c r="T335" s="512">
        <v>150</v>
      </c>
      <c r="U335" s="512"/>
      <c r="V335" s="512"/>
      <c r="W335" s="512"/>
      <c r="X335" s="512"/>
      <c r="Y335" s="511"/>
    </row>
    <row r="336" spans="12:25" x14ac:dyDescent="0.2">
      <c r="L336" s="512"/>
      <c r="M336" s="512"/>
      <c r="N336" s="512"/>
      <c r="O336" s="512"/>
      <c r="P336" s="512"/>
      <c r="Q336" s="512"/>
      <c r="R336" s="512"/>
      <c r="S336" s="512">
        <v>334</v>
      </c>
      <c r="T336" s="512">
        <v>150</v>
      </c>
      <c r="U336" s="512"/>
      <c r="V336" s="512"/>
      <c r="W336" s="512"/>
      <c r="X336" s="512"/>
      <c r="Y336" s="511"/>
    </row>
    <row r="337" spans="12:25" x14ac:dyDescent="0.2">
      <c r="L337" s="512"/>
      <c r="M337" s="512"/>
      <c r="N337" s="512"/>
      <c r="O337" s="512"/>
      <c r="P337" s="512"/>
      <c r="Q337" s="512"/>
      <c r="R337" s="512"/>
      <c r="S337" s="512">
        <v>335</v>
      </c>
      <c r="T337" s="512">
        <v>150</v>
      </c>
      <c r="U337" s="512"/>
      <c r="V337" s="512"/>
      <c r="W337" s="512"/>
      <c r="X337" s="512"/>
      <c r="Y337" s="511"/>
    </row>
    <row r="338" spans="12:25" x14ac:dyDescent="0.2">
      <c r="L338" s="512"/>
      <c r="M338" s="512"/>
      <c r="N338" s="512"/>
      <c r="O338" s="512"/>
      <c r="P338" s="512"/>
      <c r="Q338" s="512"/>
      <c r="R338" s="512"/>
      <c r="S338" s="512">
        <v>336</v>
      </c>
      <c r="T338" s="512">
        <v>150</v>
      </c>
      <c r="U338" s="512"/>
      <c r="V338" s="512"/>
      <c r="W338" s="512"/>
      <c r="X338" s="512"/>
      <c r="Y338" s="511"/>
    </row>
    <row r="339" spans="12:25" x14ac:dyDescent="0.2">
      <c r="L339" s="512"/>
      <c r="M339" s="512"/>
      <c r="N339" s="512"/>
      <c r="O339" s="512"/>
      <c r="P339" s="512"/>
      <c r="Q339" s="512"/>
      <c r="R339" s="512"/>
      <c r="S339" s="512">
        <v>337</v>
      </c>
      <c r="T339" s="512">
        <v>150</v>
      </c>
      <c r="U339" s="512"/>
      <c r="V339" s="512"/>
      <c r="W339" s="512"/>
      <c r="X339" s="512"/>
      <c r="Y339" s="511"/>
    </row>
    <row r="340" spans="12:25" x14ac:dyDescent="0.2">
      <c r="L340" s="512"/>
      <c r="M340" s="512"/>
      <c r="N340" s="512"/>
      <c r="O340" s="512"/>
      <c r="P340" s="512"/>
      <c r="Q340" s="512"/>
      <c r="R340" s="512"/>
      <c r="S340" s="512">
        <v>338</v>
      </c>
      <c r="T340" s="512">
        <v>150</v>
      </c>
      <c r="U340" s="512"/>
      <c r="V340" s="512"/>
      <c r="W340" s="512"/>
      <c r="X340" s="512"/>
      <c r="Y340" s="511"/>
    </row>
    <row r="341" spans="12:25" x14ac:dyDescent="0.2">
      <c r="L341" s="512"/>
      <c r="M341" s="512"/>
      <c r="N341" s="512"/>
      <c r="O341" s="512"/>
      <c r="P341" s="512"/>
      <c r="Q341" s="512"/>
      <c r="R341" s="512"/>
      <c r="S341" s="512">
        <v>339</v>
      </c>
      <c r="T341" s="512">
        <v>150</v>
      </c>
      <c r="U341" s="512"/>
      <c r="V341" s="512"/>
      <c r="W341" s="512"/>
      <c r="X341" s="512"/>
      <c r="Y341" s="511"/>
    </row>
    <row r="342" spans="12:25" x14ac:dyDescent="0.2">
      <c r="L342" s="512"/>
      <c r="M342" s="512"/>
      <c r="N342" s="512"/>
      <c r="O342" s="512"/>
      <c r="P342" s="512"/>
      <c r="Q342" s="512"/>
      <c r="R342" s="512"/>
      <c r="S342" s="512">
        <v>340</v>
      </c>
      <c r="T342" s="512">
        <v>150</v>
      </c>
      <c r="U342" s="512"/>
      <c r="V342" s="512"/>
      <c r="W342" s="512"/>
      <c r="X342" s="512"/>
      <c r="Y342" s="511"/>
    </row>
    <row r="343" spans="12:25" x14ac:dyDescent="0.2">
      <c r="L343" s="512"/>
      <c r="M343" s="512"/>
      <c r="N343" s="512"/>
      <c r="O343" s="512"/>
      <c r="P343" s="512"/>
      <c r="Q343" s="512"/>
      <c r="R343" s="512"/>
      <c r="S343" s="512">
        <v>341</v>
      </c>
      <c r="T343" s="512">
        <v>150</v>
      </c>
      <c r="U343" s="512"/>
      <c r="V343" s="512"/>
      <c r="W343" s="512"/>
      <c r="X343" s="512"/>
      <c r="Y343" s="511"/>
    </row>
    <row r="344" spans="12:25" x14ac:dyDescent="0.2">
      <c r="L344" s="512"/>
      <c r="M344" s="512"/>
      <c r="N344" s="512"/>
      <c r="O344" s="512"/>
      <c r="P344" s="512"/>
      <c r="Q344" s="512"/>
      <c r="R344" s="512"/>
      <c r="S344" s="512">
        <v>342</v>
      </c>
      <c r="T344" s="512">
        <v>150</v>
      </c>
      <c r="U344" s="512"/>
      <c r="V344" s="512"/>
      <c r="W344" s="512"/>
      <c r="X344" s="512"/>
      <c r="Y344" s="511"/>
    </row>
    <row r="345" spans="12:25" x14ac:dyDescent="0.2">
      <c r="L345" s="512"/>
      <c r="M345" s="512"/>
      <c r="N345" s="512"/>
      <c r="O345" s="512"/>
      <c r="P345" s="512"/>
      <c r="Q345" s="512"/>
      <c r="R345" s="512"/>
      <c r="S345" s="512">
        <v>343</v>
      </c>
      <c r="T345" s="512">
        <v>150</v>
      </c>
      <c r="U345" s="512"/>
      <c r="V345" s="512"/>
      <c r="W345" s="512"/>
      <c r="X345" s="512"/>
      <c r="Y345" s="511"/>
    </row>
    <row r="346" spans="12:25" x14ac:dyDescent="0.2">
      <c r="L346" s="512"/>
      <c r="M346" s="512"/>
      <c r="N346" s="512"/>
      <c r="O346" s="512"/>
      <c r="P346" s="512"/>
      <c r="Q346" s="512"/>
      <c r="R346" s="512"/>
      <c r="S346" s="512">
        <v>344</v>
      </c>
      <c r="T346" s="512">
        <v>150</v>
      </c>
      <c r="U346" s="512"/>
      <c r="V346" s="512"/>
      <c r="W346" s="512"/>
      <c r="X346" s="512"/>
      <c r="Y346" s="511"/>
    </row>
    <row r="347" spans="12:25" x14ac:dyDescent="0.2">
      <c r="L347" s="512"/>
      <c r="M347" s="512"/>
      <c r="N347" s="512"/>
      <c r="O347" s="512"/>
      <c r="P347" s="512"/>
      <c r="Q347" s="512"/>
      <c r="R347" s="512"/>
      <c r="S347" s="512">
        <v>345</v>
      </c>
      <c r="T347" s="512">
        <v>150</v>
      </c>
      <c r="U347" s="512"/>
      <c r="V347" s="512"/>
      <c r="W347" s="512"/>
      <c r="X347" s="512"/>
      <c r="Y347" s="511"/>
    </row>
    <row r="348" spans="12:25" x14ac:dyDescent="0.2">
      <c r="L348" s="512"/>
      <c r="M348" s="512"/>
      <c r="N348" s="512"/>
      <c r="O348" s="512"/>
      <c r="P348" s="512"/>
      <c r="Q348" s="512"/>
      <c r="R348" s="512"/>
      <c r="S348" s="512">
        <v>346</v>
      </c>
      <c r="T348" s="512">
        <v>150</v>
      </c>
      <c r="U348" s="512"/>
      <c r="V348" s="512"/>
      <c r="W348" s="512"/>
      <c r="X348" s="512"/>
      <c r="Y348" s="511"/>
    </row>
    <row r="349" spans="12:25" x14ac:dyDescent="0.2">
      <c r="L349" s="512"/>
      <c r="M349" s="512"/>
      <c r="N349" s="512"/>
      <c r="O349" s="512"/>
      <c r="P349" s="512"/>
      <c r="Q349" s="512"/>
      <c r="R349" s="512"/>
      <c r="S349" s="512">
        <v>347</v>
      </c>
      <c r="T349" s="512">
        <v>150</v>
      </c>
      <c r="U349" s="512"/>
      <c r="V349" s="512"/>
      <c r="W349" s="512"/>
      <c r="X349" s="512"/>
      <c r="Y349" s="511"/>
    </row>
    <row r="350" spans="12:25" x14ac:dyDescent="0.2">
      <c r="L350" s="512"/>
      <c r="M350" s="512"/>
      <c r="N350" s="512"/>
      <c r="O350" s="512"/>
      <c r="P350" s="512"/>
      <c r="Q350" s="512"/>
      <c r="R350" s="512"/>
      <c r="S350" s="512">
        <v>348</v>
      </c>
      <c r="T350" s="512">
        <v>150</v>
      </c>
      <c r="U350" s="512"/>
      <c r="V350" s="512"/>
      <c r="W350" s="512"/>
      <c r="X350" s="512"/>
      <c r="Y350" s="511"/>
    </row>
    <row r="351" spans="12:25" x14ac:dyDescent="0.2">
      <c r="L351" s="512"/>
      <c r="M351" s="512"/>
      <c r="N351" s="512"/>
      <c r="O351" s="512"/>
      <c r="P351" s="512"/>
      <c r="Q351" s="512"/>
      <c r="R351" s="512"/>
      <c r="S351" s="512">
        <v>349</v>
      </c>
      <c r="T351" s="512">
        <v>150</v>
      </c>
      <c r="U351" s="512"/>
      <c r="V351" s="512"/>
      <c r="W351" s="512"/>
      <c r="X351" s="512"/>
      <c r="Y351" s="511"/>
    </row>
    <row r="352" spans="12:25" x14ac:dyDescent="0.2">
      <c r="L352" s="512"/>
      <c r="M352" s="512"/>
      <c r="N352" s="512"/>
      <c r="O352" s="512"/>
      <c r="P352" s="512"/>
      <c r="Q352" s="512"/>
      <c r="R352" s="512"/>
      <c r="S352" s="512">
        <v>350</v>
      </c>
      <c r="T352" s="512">
        <v>150</v>
      </c>
      <c r="U352" s="512"/>
      <c r="V352" s="512"/>
      <c r="W352" s="512"/>
      <c r="X352" s="512"/>
      <c r="Y352" s="511"/>
    </row>
    <row r="353" spans="12:25" x14ac:dyDescent="0.2">
      <c r="L353" s="512"/>
      <c r="M353" s="512"/>
      <c r="N353" s="512"/>
      <c r="O353" s="512"/>
      <c r="P353" s="512"/>
      <c r="Q353" s="512"/>
      <c r="R353" s="512"/>
      <c r="S353" s="512">
        <v>351</v>
      </c>
      <c r="T353" s="512">
        <v>150</v>
      </c>
      <c r="U353" s="512"/>
      <c r="V353" s="512"/>
      <c r="W353" s="512"/>
      <c r="X353" s="512"/>
      <c r="Y353" s="511"/>
    </row>
    <row r="354" spans="12:25" x14ac:dyDescent="0.2">
      <c r="L354" s="512"/>
      <c r="M354" s="512"/>
      <c r="N354" s="512"/>
      <c r="O354" s="512"/>
      <c r="P354" s="512"/>
      <c r="Q354" s="512"/>
      <c r="R354" s="512"/>
      <c r="S354" s="512">
        <v>352</v>
      </c>
      <c r="T354" s="512">
        <v>150</v>
      </c>
      <c r="U354" s="512"/>
      <c r="V354" s="512"/>
      <c r="W354" s="512"/>
      <c r="X354" s="512"/>
      <c r="Y354" s="511"/>
    </row>
    <row r="355" spans="12:25" x14ac:dyDescent="0.2">
      <c r="L355" s="512"/>
      <c r="M355" s="512"/>
      <c r="N355" s="512"/>
      <c r="O355" s="512"/>
      <c r="P355" s="512"/>
      <c r="Q355" s="512"/>
      <c r="R355" s="512"/>
      <c r="S355" s="512">
        <v>353</v>
      </c>
      <c r="T355" s="512">
        <v>150</v>
      </c>
      <c r="U355" s="512"/>
      <c r="V355" s="512"/>
      <c r="W355" s="512"/>
      <c r="X355" s="512"/>
      <c r="Y355" s="511"/>
    </row>
    <row r="356" spans="12:25" x14ac:dyDescent="0.2">
      <c r="L356" s="512"/>
      <c r="M356" s="512"/>
      <c r="N356" s="512"/>
      <c r="O356" s="512"/>
      <c r="P356" s="512"/>
      <c r="Q356" s="512"/>
      <c r="R356" s="512"/>
      <c r="S356" s="512">
        <v>354</v>
      </c>
      <c r="T356" s="512">
        <v>150</v>
      </c>
      <c r="U356" s="512"/>
      <c r="V356" s="512"/>
      <c r="W356" s="512"/>
      <c r="X356" s="512"/>
      <c r="Y356" s="511"/>
    </row>
    <row r="357" spans="12:25" x14ac:dyDescent="0.2">
      <c r="L357" s="512"/>
      <c r="M357" s="512"/>
      <c r="N357" s="512"/>
      <c r="O357" s="512"/>
      <c r="P357" s="512"/>
      <c r="Q357" s="512"/>
      <c r="R357" s="512"/>
      <c r="S357" s="512">
        <v>355</v>
      </c>
      <c r="T357" s="512">
        <v>150</v>
      </c>
      <c r="U357" s="512"/>
      <c r="V357" s="512"/>
      <c r="W357" s="512"/>
      <c r="X357" s="512"/>
      <c r="Y357" s="511"/>
    </row>
    <row r="358" spans="12:25" x14ac:dyDescent="0.2">
      <c r="L358" s="512"/>
      <c r="M358" s="512"/>
      <c r="N358" s="512"/>
      <c r="O358" s="512"/>
      <c r="P358" s="512"/>
      <c r="Q358" s="512"/>
      <c r="R358" s="512"/>
      <c r="S358" s="512">
        <v>356</v>
      </c>
      <c r="T358" s="512">
        <v>150</v>
      </c>
      <c r="U358" s="512"/>
      <c r="V358" s="512"/>
      <c r="W358" s="512"/>
      <c r="X358" s="512"/>
      <c r="Y358" s="511"/>
    </row>
    <row r="359" spans="12:25" x14ac:dyDescent="0.2">
      <c r="L359" s="512"/>
      <c r="M359" s="512"/>
      <c r="N359" s="512"/>
      <c r="O359" s="512"/>
      <c r="P359" s="512"/>
      <c r="Q359" s="512"/>
      <c r="R359" s="512"/>
      <c r="S359" s="512">
        <v>357</v>
      </c>
      <c r="T359" s="512">
        <v>150</v>
      </c>
      <c r="U359" s="512"/>
      <c r="V359" s="512"/>
      <c r="W359" s="512"/>
      <c r="X359" s="512"/>
      <c r="Y359" s="511"/>
    </row>
    <row r="360" spans="12:25" x14ac:dyDescent="0.2">
      <c r="L360" s="512"/>
      <c r="M360" s="512"/>
      <c r="N360" s="512"/>
      <c r="O360" s="512"/>
      <c r="P360" s="512"/>
      <c r="Q360" s="512"/>
      <c r="R360" s="512"/>
      <c r="S360" s="512">
        <v>358</v>
      </c>
      <c r="T360" s="512">
        <v>150</v>
      </c>
      <c r="U360" s="512"/>
      <c r="V360" s="512"/>
      <c r="W360" s="512"/>
      <c r="X360" s="512"/>
      <c r="Y360" s="511"/>
    </row>
    <row r="361" spans="12:25" x14ac:dyDescent="0.2">
      <c r="L361" s="512"/>
      <c r="M361" s="512"/>
      <c r="N361" s="512"/>
      <c r="O361" s="512"/>
      <c r="P361" s="512"/>
      <c r="Q361" s="512"/>
      <c r="R361" s="512"/>
      <c r="S361" s="512">
        <v>359</v>
      </c>
      <c r="T361" s="512">
        <v>150</v>
      </c>
      <c r="U361" s="512"/>
      <c r="V361" s="512"/>
      <c r="W361" s="512"/>
      <c r="X361" s="512"/>
      <c r="Y361" s="511"/>
    </row>
    <row r="362" spans="12:25" x14ac:dyDescent="0.2">
      <c r="L362" s="512"/>
      <c r="M362" s="512"/>
      <c r="N362" s="512"/>
      <c r="O362" s="512"/>
      <c r="P362" s="512"/>
      <c r="Q362" s="512"/>
      <c r="R362" s="512"/>
      <c r="S362" s="512">
        <v>360</v>
      </c>
      <c r="T362" s="512">
        <v>150</v>
      </c>
      <c r="U362" s="512">
        <v>360</v>
      </c>
      <c r="V362" s="512"/>
      <c r="W362" s="512"/>
      <c r="X362" s="512"/>
      <c r="Y362" s="511"/>
    </row>
    <row r="363" spans="12:25" x14ac:dyDescent="0.2">
      <c r="L363" s="512"/>
      <c r="M363" s="512"/>
      <c r="N363" s="512"/>
      <c r="O363" s="512"/>
      <c r="P363" s="512"/>
      <c r="Q363" s="512"/>
      <c r="R363" s="512"/>
      <c r="S363" s="512"/>
      <c r="T363" s="512"/>
      <c r="U363" s="512"/>
      <c r="V363" s="512"/>
      <c r="W363" s="512"/>
      <c r="X363" s="512"/>
      <c r="Y363" s="511"/>
    </row>
    <row r="364" spans="12:25" x14ac:dyDescent="0.2">
      <c r="L364" s="512"/>
      <c r="M364" s="512"/>
      <c r="N364" s="512"/>
      <c r="O364" s="512"/>
      <c r="P364" s="512"/>
      <c r="Q364" s="512"/>
      <c r="R364" s="512"/>
      <c r="S364" s="512"/>
      <c r="T364" s="512"/>
      <c r="U364" s="512"/>
      <c r="V364" s="512"/>
      <c r="W364" s="512"/>
      <c r="X364" s="512"/>
      <c r="Y364" s="511"/>
    </row>
    <row r="365" spans="12:25" x14ac:dyDescent="0.2">
      <c r="L365" s="512"/>
      <c r="M365" s="512"/>
      <c r="N365" s="512"/>
      <c r="O365" s="512"/>
      <c r="P365" s="512"/>
      <c r="Q365" s="512"/>
      <c r="R365" s="512"/>
      <c r="S365" s="512"/>
      <c r="T365" s="512"/>
      <c r="U365" s="512"/>
      <c r="V365" s="512"/>
      <c r="W365" s="512"/>
      <c r="X365" s="512"/>
      <c r="Y365" s="511"/>
    </row>
    <row r="366" spans="12:25" x14ac:dyDescent="0.2">
      <c r="L366" s="512"/>
      <c r="M366" s="512"/>
      <c r="N366" s="512"/>
      <c r="O366" s="512"/>
      <c r="P366" s="512"/>
      <c r="Q366" s="512"/>
      <c r="R366" s="512"/>
      <c r="S366" s="512"/>
      <c r="T366" s="512"/>
      <c r="U366" s="512"/>
      <c r="V366" s="512"/>
      <c r="W366" s="512"/>
      <c r="X366" s="512"/>
      <c r="Y366" s="511"/>
    </row>
    <row r="367" spans="12:25" x14ac:dyDescent="0.2">
      <c r="L367" s="512"/>
      <c r="M367" s="512"/>
      <c r="N367" s="512"/>
      <c r="O367" s="512"/>
      <c r="P367" s="512"/>
      <c r="Q367" s="512"/>
      <c r="R367" s="512"/>
      <c r="S367" s="512"/>
      <c r="T367" s="512"/>
      <c r="U367" s="512"/>
      <c r="V367" s="512"/>
      <c r="W367" s="512"/>
      <c r="X367" s="512"/>
      <c r="Y367" s="511"/>
    </row>
    <row r="368" spans="12:25" x14ac:dyDescent="0.2">
      <c r="L368" s="512"/>
      <c r="M368" s="512"/>
      <c r="N368" s="512"/>
      <c r="O368" s="512"/>
      <c r="P368" s="512"/>
      <c r="Q368" s="512"/>
      <c r="R368" s="512"/>
      <c r="S368" s="512"/>
      <c r="T368" s="512"/>
      <c r="U368" s="512"/>
      <c r="V368" s="512"/>
      <c r="W368" s="512"/>
      <c r="X368" s="512"/>
      <c r="Y368" s="511"/>
    </row>
    <row r="369" spans="12:25" x14ac:dyDescent="0.2">
      <c r="L369" s="512"/>
      <c r="M369" s="512"/>
      <c r="N369" s="512"/>
      <c r="O369" s="512"/>
      <c r="P369" s="512"/>
      <c r="Q369" s="512"/>
      <c r="R369" s="512"/>
      <c r="S369" s="512"/>
      <c r="T369" s="512"/>
      <c r="U369" s="512"/>
      <c r="V369" s="512"/>
      <c r="W369" s="512"/>
      <c r="X369" s="512"/>
      <c r="Y369" s="511"/>
    </row>
    <row r="370" spans="12:25" x14ac:dyDescent="0.2">
      <c r="L370" s="512"/>
      <c r="M370" s="512"/>
      <c r="N370" s="512"/>
      <c r="O370" s="512"/>
      <c r="P370" s="512"/>
      <c r="Q370" s="512"/>
      <c r="R370" s="512"/>
      <c r="S370" s="512"/>
      <c r="T370" s="512"/>
      <c r="U370" s="512"/>
      <c r="V370" s="512"/>
      <c r="W370" s="512"/>
      <c r="X370" s="512"/>
      <c r="Y370" s="511"/>
    </row>
    <row r="371" spans="12:25" x14ac:dyDescent="0.2">
      <c r="L371" s="512"/>
      <c r="M371" s="512"/>
      <c r="N371" s="512"/>
      <c r="O371" s="512"/>
      <c r="P371" s="512"/>
      <c r="Q371" s="512"/>
      <c r="R371" s="512"/>
      <c r="S371" s="512"/>
      <c r="T371" s="512"/>
      <c r="U371" s="512"/>
      <c r="V371" s="512"/>
      <c r="W371" s="512"/>
      <c r="X371" s="512"/>
      <c r="Y371" s="511"/>
    </row>
    <row r="372" spans="12:25" x14ac:dyDescent="0.2">
      <c r="L372" s="512"/>
      <c r="M372" s="512"/>
      <c r="N372" s="512"/>
      <c r="O372" s="512"/>
      <c r="P372" s="512"/>
      <c r="Q372" s="512"/>
      <c r="R372" s="512"/>
      <c r="S372" s="512"/>
      <c r="T372" s="512"/>
      <c r="U372" s="512"/>
      <c r="V372" s="512"/>
      <c r="W372" s="512"/>
      <c r="X372" s="512"/>
      <c r="Y372" s="511"/>
    </row>
    <row r="373" spans="12:25" x14ac:dyDescent="0.2">
      <c r="L373" s="512"/>
      <c r="M373" s="512"/>
      <c r="N373" s="512"/>
      <c r="O373" s="512"/>
      <c r="P373" s="512"/>
      <c r="Q373" s="512"/>
      <c r="R373" s="512"/>
      <c r="S373" s="512"/>
      <c r="T373" s="512"/>
      <c r="U373" s="512"/>
      <c r="V373" s="512"/>
      <c r="W373" s="512"/>
      <c r="X373" s="512"/>
      <c r="Y373" s="511"/>
    </row>
    <row r="374" spans="12:25" x14ac:dyDescent="0.2">
      <c r="L374" s="512"/>
      <c r="M374" s="512"/>
      <c r="N374" s="512"/>
      <c r="O374" s="512"/>
      <c r="P374" s="512"/>
      <c r="Q374" s="512"/>
      <c r="R374" s="512"/>
      <c r="S374" s="512"/>
      <c r="T374" s="512"/>
      <c r="U374" s="512"/>
      <c r="V374" s="512"/>
      <c r="W374" s="512"/>
      <c r="X374" s="512"/>
      <c r="Y374" s="511"/>
    </row>
    <row r="375" spans="12:25" x14ac:dyDescent="0.2">
      <c r="L375" s="512"/>
      <c r="M375" s="512"/>
      <c r="N375" s="512"/>
      <c r="O375" s="512"/>
      <c r="P375" s="512"/>
      <c r="Q375" s="512"/>
      <c r="R375" s="512"/>
      <c r="S375" s="512"/>
      <c r="T375" s="512"/>
      <c r="U375" s="512"/>
      <c r="V375" s="512"/>
      <c r="W375" s="512"/>
      <c r="X375" s="512"/>
      <c r="Y375" s="511"/>
    </row>
    <row r="376" spans="12:25" x14ac:dyDescent="0.2">
      <c r="L376" s="512"/>
      <c r="M376" s="512"/>
      <c r="N376" s="512"/>
      <c r="O376" s="512"/>
      <c r="P376" s="512"/>
      <c r="Q376" s="512"/>
      <c r="R376" s="512"/>
      <c r="S376" s="512"/>
      <c r="T376" s="512"/>
      <c r="U376" s="512"/>
      <c r="V376" s="512"/>
      <c r="W376" s="512"/>
      <c r="X376" s="512"/>
      <c r="Y376" s="511"/>
    </row>
    <row r="377" spans="12:25" x14ac:dyDescent="0.2">
      <c r="L377" s="512"/>
      <c r="M377" s="512"/>
      <c r="N377" s="512"/>
      <c r="O377" s="512"/>
      <c r="P377" s="512"/>
      <c r="Q377" s="512"/>
      <c r="R377" s="512"/>
      <c r="S377" s="512"/>
      <c r="T377" s="512"/>
      <c r="U377" s="512"/>
      <c r="V377" s="512"/>
      <c r="W377" s="512"/>
      <c r="X377" s="512"/>
      <c r="Y377" s="511"/>
    </row>
    <row r="378" spans="12:25" x14ac:dyDescent="0.2">
      <c r="L378" s="512"/>
      <c r="M378" s="512"/>
      <c r="N378" s="512"/>
      <c r="O378" s="512"/>
      <c r="P378" s="512"/>
      <c r="Q378" s="512"/>
      <c r="R378" s="512"/>
      <c r="S378" s="512"/>
      <c r="T378" s="512"/>
      <c r="U378" s="512"/>
      <c r="V378" s="512"/>
      <c r="W378" s="512"/>
      <c r="X378" s="512"/>
      <c r="Y378" s="511"/>
    </row>
    <row r="379" spans="12:25" x14ac:dyDescent="0.2">
      <c r="L379" s="512"/>
      <c r="M379" s="512"/>
      <c r="N379" s="512"/>
      <c r="O379" s="512"/>
      <c r="P379" s="512"/>
      <c r="Q379" s="512"/>
      <c r="R379" s="512"/>
      <c r="S379" s="512"/>
      <c r="T379" s="512"/>
      <c r="U379" s="512"/>
      <c r="V379" s="512"/>
      <c r="W379" s="512"/>
      <c r="X379" s="512"/>
      <c r="Y379" s="511"/>
    </row>
    <row r="380" spans="12:25" x14ac:dyDescent="0.2">
      <c r="L380" s="512"/>
      <c r="M380" s="512"/>
      <c r="N380" s="512"/>
      <c r="O380" s="512"/>
      <c r="P380" s="512"/>
      <c r="Q380" s="512"/>
      <c r="R380" s="512"/>
      <c r="S380" s="512"/>
      <c r="T380" s="512"/>
      <c r="U380" s="512"/>
      <c r="V380" s="512"/>
      <c r="W380" s="512"/>
      <c r="X380" s="512"/>
      <c r="Y380" s="511"/>
    </row>
    <row r="381" spans="12:25" x14ac:dyDescent="0.2">
      <c r="L381" s="512"/>
      <c r="M381" s="512"/>
      <c r="N381" s="512"/>
      <c r="O381" s="512"/>
      <c r="P381" s="512"/>
      <c r="Q381" s="512"/>
      <c r="R381" s="512"/>
      <c r="S381" s="512"/>
      <c r="T381" s="512"/>
      <c r="U381" s="512"/>
      <c r="V381" s="512"/>
      <c r="W381" s="512"/>
      <c r="X381" s="512"/>
      <c r="Y381" s="511"/>
    </row>
    <row r="382" spans="12:25" x14ac:dyDescent="0.2">
      <c r="L382" s="512"/>
      <c r="M382" s="512"/>
      <c r="N382" s="512"/>
      <c r="O382" s="512"/>
      <c r="P382" s="512"/>
      <c r="Q382" s="512"/>
      <c r="R382" s="512"/>
      <c r="S382" s="512"/>
      <c r="T382" s="512"/>
      <c r="U382" s="512"/>
      <c r="V382" s="512"/>
      <c r="W382" s="512"/>
      <c r="X382" s="512"/>
      <c r="Y382" s="511"/>
    </row>
    <row r="383" spans="12:25" x14ac:dyDescent="0.2">
      <c r="L383" s="512"/>
      <c r="M383" s="512"/>
      <c r="N383" s="512"/>
      <c r="O383" s="512"/>
      <c r="P383" s="512"/>
      <c r="Q383" s="512"/>
      <c r="R383" s="512"/>
      <c r="S383" s="512"/>
      <c r="T383" s="512"/>
      <c r="U383" s="512"/>
      <c r="V383" s="512"/>
      <c r="W383" s="512"/>
      <c r="X383" s="512"/>
      <c r="Y383" s="511"/>
    </row>
    <row r="384" spans="12:25" x14ac:dyDescent="0.2">
      <c r="L384" s="512"/>
      <c r="M384" s="512"/>
      <c r="N384" s="512"/>
      <c r="O384" s="512"/>
      <c r="P384" s="512"/>
      <c r="Q384" s="512"/>
      <c r="R384" s="512"/>
      <c r="S384" s="512"/>
      <c r="T384" s="512"/>
      <c r="U384" s="512"/>
      <c r="V384" s="512"/>
      <c r="W384" s="512"/>
      <c r="X384" s="512"/>
      <c r="Y384" s="511"/>
    </row>
    <row r="385" spans="12:25" x14ac:dyDescent="0.2">
      <c r="L385" s="512"/>
      <c r="M385" s="512"/>
      <c r="N385" s="512"/>
      <c r="O385" s="512"/>
      <c r="P385" s="512"/>
      <c r="Q385" s="512"/>
      <c r="R385" s="512"/>
      <c r="S385" s="512"/>
      <c r="T385" s="512"/>
      <c r="U385" s="512"/>
      <c r="V385" s="512"/>
      <c r="W385" s="512"/>
      <c r="X385" s="512"/>
      <c r="Y385" s="511"/>
    </row>
    <row r="386" spans="12:25" x14ac:dyDescent="0.2">
      <c r="L386" s="512"/>
      <c r="M386" s="512"/>
      <c r="N386" s="512"/>
      <c r="O386" s="512"/>
      <c r="P386" s="512"/>
      <c r="Q386" s="512"/>
      <c r="R386" s="512"/>
      <c r="S386" s="512"/>
      <c r="T386" s="512"/>
      <c r="U386" s="512"/>
      <c r="V386" s="512"/>
      <c r="W386" s="512"/>
      <c r="X386" s="512"/>
      <c r="Y386" s="511"/>
    </row>
    <row r="387" spans="12:25" x14ac:dyDescent="0.2">
      <c r="L387" s="512"/>
      <c r="M387" s="512"/>
      <c r="N387" s="512"/>
      <c r="O387" s="512"/>
      <c r="P387" s="512"/>
      <c r="Q387" s="512"/>
      <c r="R387" s="512"/>
      <c r="S387" s="512"/>
      <c r="T387" s="512"/>
      <c r="U387" s="512"/>
      <c r="V387" s="512"/>
      <c r="W387" s="512"/>
      <c r="X387" s="512"/>
      <c r="Y387" s="511"/>
    </row>
    <row r="388" spans="12:25" x14ac:dyDescent="0.2">
      <c r="L388" s="512"/>
      <c r="M388" s="512"/>
      <c r="N388" s="512"/>
      <c r="O388" s="512"/>
      <c r="P388" s="512"/>
      <c r="Q388" s="512"/>
      <c r="R388" s="512"/>
      <c r="S388" s="512"/>
      <c r="T388" s="512"/>
      <c r="U388" s="512"/>
      <c r="V388" s="512"/>
      <c r="W388" s="512"/>
      <c r="X388" s="512"/>
      <c r="Y388" s="511"/>
    </row>
    <row r="389" spans="12:25" x14ac:dyDescent="0.2">
      <c r="L389" s="512"/>
      <c r="M389" s="512"/>
      <c r="N389" s="512"/>
      <c r="O389" s="512"/>
      <c r="P389" s="512"/>
      <c r="Q389" s="512"/>
      <c r="R389" s="512"/>
      <c r="S389" s="512"/>
      <c r="T389" s="512"/>
      <c r="U389" s="512"/>
      <c r="V389" s="512"/>
      <c r="W389" s="512"/>
      <c r="X389" s="512"/>
      <c r="Y389" s="511"/>
    </row>
    <row r="390" spans="12:25" x14ac:dyDescent="0.2">
      <c r="L390" s="512"/>
      <c r="M390" s="512"/>
      <c r="N390" s="512"/>
      <c r="O390" s="512"/>
      <c r="P390" s="512"/>
      <c r="Q390" s="512"/>
      <c r="R390" s="512"/>
      <c r="S390" s="512"/>
      <c r="T390" s="512"/>
      <c r="U390" s="512"/>
      <c r="V390" s="512"/>
      <c r="W390" s="512"/>
      <c r="X390" s="512"/>
      <c r="Y390" s="511"/>
    </row>
    <row r="391" spans="12:25" x14ac:dyDescent="0.2">
      <c r="L391" s="512"/>
      <c r="M391" s="512"/>
      <c r="N391" s="512"/>
      <c r="O391" s="512"/>
      <c r="P391" s="512"/>
      <c r="Q391" s="512"/>
      <c r="R391" s="512"/>
      <c r="S391" s="512"/>
      <c r="T391" s="512"/>
      <c r="U391" s="512"/>
      <c r="V391" s="512"/>
      <c r="W391" s="512"/>
      <c r="X391" s="512"/>
      <c r="Y391" s="511"/>
    </row>
    <row r="392" spans="12:25" x14ac:dyDescent="0.2">
      <c r="L392" s="512"/>
      <c r="M392" s="512"/>
      <c r="N392" s="512"/>
      <c r="O392" s="512"/>
      <c r="P392" s="512"/>
      <c r="Q392" s="512"/>
      <c r="R392" s="512"/>
      <c r="S392" s="512"/>
      <c r="T392" s="512"/>
      <c r="U392" s="512"/>
      <c r="V392" s="512"/>
      <c r="W392" s="512"/>
      <c r="X392" s="512"/>
      <c r="Y392" s="511"/>
    </row>
    <row r="393" spans="12:25" x14ac:dyDescent="0.2">
      <c r="L393" s="512"/>
      <c r="M393" s="512"/>
      <c r="N393" s="512"/>
      <c r="O393" s="512"/>
      <c r="P393" s="512"/>
      <c r="Q393" s="512"/>
      <c r="R393" s="512"/>
      <c r="S393" s="512"/>
      <c r="T393" s="512"/>
      <c r="U393" s="512"/>
      <c r="V393" s="512"/>
      <c r="W393" s="512"/>
      <c r="X393" s="512"/>
      <c r="Y393" s="511"/>
    </row>
    <row r="394" spans="12:25" x14ac:dyDescent="0.2">
      <c r="L394" s="512"/>
      <c r="M394" s="512"/>
      <c r="N394" s="512"/>
      <c r="O394" s="512"/>
      <c r="P394" s="512"/>
      <c r="Q394" s="512"/>
      <c r="R394" s="512"/>
      <c r="S394" s="512"/>
      <c r="T394" s="512"/>
      <c r="U394" s="512"/>
      <c r="V394" s="512"/>
      <c r="W394" s="512"/>
      <c r="X394" s="512"/>
      <c r="Y394" s="511"/>
    </row>
    <row r="395" spans="12:25" x14ac:dyDescent="0.2">
      <c r="L395" s="512"/>
      <c r="M395" s="512"/>
      <c r="N395" s="512"/>
      <c r="O395" s="512"/>
      <c r="P395" s="512"/>
      <c r="Q395" s="512"/>
      <c r="R395" s="512"/>
      <c r="S395" s="512"/>
      <c r="T395" s="512"/>
      <c r="U395" s="512"/>
      <c r="V395" s="512"/>
      <c r="W395" s="512"/>
      <c r="X395" s="512"/>
      <c r="Y395" s="511"/>
    </row>
    <row r="396" spans="12:25" x14ac:dyDescent="0.2">
      <c r="L396" s="512"/>
      <c r="M396" s="512"/>
      <c r="N396" s="512"/>
      <c r="O396" s="512"/>
      <c r="P396" s="512"/>
      <c r="Q396" s="512"/>
      <c r="R396" s="512"/>
      <c r="S396" s="512"/>
      <c r="T396" s="512"/>
      <c r="U396" s="512"/>
      <c r="V396" s="512"/>
      <c r="W396" s="512"/>
      <c r="X396" s="512"/>
      <c r="Y396" s="511"/>
    </row>
    <row r="397" spans="12:25" x14ac:dyDescent="0.2">
      <c r="L397" s="512"/>
      <c r="M397" s="512"/>
      <c r="N397" s="512"/>
      <c r="O397" s="512"/>
      <c r="P397" s="512"/>
      <c r="Q397" s="512"/>
      <c r="R397" s="512"/>
      <c r="S397" s="512"/>
      <c r="T397" s="512"/>
      <c r="U397" s="512"/>
      <c r="V397" s="512"/>
      <c r="W397" s="512"/>
      <c r="X397" s="512"/>
      <c r="Y397" s="511"/>
    </row>
    <row r="398" spans="12:25" x14ac:dyDescent="0.2">
      <c r="L398" s="512"/>
      <c r="M398" s="512"/>
      <c r="N398" s="512"/>
      <c r="O398" s="512"/>
      <c r="P398" s="512"/>
      <c r="Q398" s="512"/>
      <c r="R398" s="512"/>
      <c r="S398" s="512"/>
      <c r="T398" s="512"/>
      <c r="U398" s="512"/>
      <c r="V398" s="512"/>
      <c r="W398" s="512"/>
      <c r="X398" s="512"/>
      <c r="Y398" s="511"/>
    </row>
    <row r="399" spans="12:25" x14ac:dyDescent="0.2">
      <c r="L399" s="512"/>
      <c r="M399" s="512"/>
      <c r="N399" s="512"/>
      <c r="O399" s="512"/>
      <c r="P399" s="512"/>
      <c r="Q399" s="512"/>
      <c r="R399" s="512"/>
      <c r="S399" s="512"/>
      <c r="T399" s="512"/>
      <c r="U399" s="512"/>
      <c r="V399" s="512"/>
      <c r="W399" s="512"/>
      <c r="X399" s="512"/>
      <c r="Y399" s="511"/>
    </row>
    <row r="400" spans="12:25" x14ac:dyDescent="0.2">
      <c r="L400" s="512"/>
      <c r="M400" s="512"/>
      <c r="N400" s="512"/>
      <c r="O400" s="512"/>
      <c r="P400" s="512"/>
      <c r="Q400" s="512"/>
      <c r="R400" s="512"/>
      <c r="S400" s="512"/>
      <c r="T400" s="512"/>
      <c r="U400" s="512"/>
      <c r="V400" s="512"/>
      <c r="W400" s="512"/>
      <c r="X400" s="512"/>
      <c r="Y400" s="511"/>
    </row>
    <row r="401" spans="12:25" x14ac:dyDescent="0.2">
      <c r="L401" s="512"/>
      <c r="M401" s="512"/>
      <c r="N401" s="512"/>
      <c r="O401" s="512"/>
      <c r="P401" s="512"/>
      <c r="Q401" s="512"/>
      <c r="R401" s="512"/>
      <c r="S401" s="512"/>
      <c r="T401" s="512"/>
      <c r="U401" s="512"/>
      <c r="V401" s="512"/>
      <c r="W401" s="512"/>
      <c r="X401" s="512"/>
      <c r="Y401" s="511"/>
    </row>
    <row r="402" spans="12:25" x14ac:dyDescent="0.2">
      <c r="L402" s="511"/>
      <c r="M402" s="511"/>
      <c r="N402" s="511"/>
      <c r="O402" s="511"/>
      <c r="P402" s="511"/>
      <c r="Q402" s="511"/>
      <c r="R402" s="511"/>
      <c r="S402" s="511"/>
      <c r="T402" s="511"/>
      <c r="U402" s="511"/>
      <c r="V402" s="511"/>
      <c r="W402" s="511"/>
      <c r="X402" s="511"/>
      <c r="Y402" s="511"/>
    </row>
    <row r="403" spans="12:25" x14ac:dyDescent="0.2">
      <c r="L403" s="511"/>
      <c r="M403" s="511"/>
      <c r="N403" s="511"/>
      <c r="O403" s="511"/>
      <c r="P403" s="511"/>
      <c r="Q403" s="511"/>
      <c r="R403" s="511"/>
      <c r="S403" s="511"/>
      <c r="T403" s="511"/>
      <c r="U403" s="511"/>
      <c r="V403" s="511"/>
      <c r="W403" s="511"/>
      <c r="X403" s="511"/>
      <c r="Y403" s="511"/>
    </row>
    <row r="404" spans="12:25" x14ac:dyDescent="0.2">
      <c r="L404" s="511"/>
      <c r="M404" s="511"/>
      <c r="N404" s="511"/>
      <c r="O404" s="511"/>
      <c r="P404" s="511"/>
      <c r="Q404" s="511"/>
      <c r="R404" s="511"/>
      <c r="S404" s="511"/>
      <c r="T404" s="511"/>
      <c r="U404" s="511"/>
      <c r="V404" s="511"/>
      <c r="W404" s="511"/>
      <c r="X404" s="511"/>
      <c r="Y404" s="511"/>
    </row>
    <row r="405" spans="12:25" x14ac:dyDescent="0.2">
      <c r="L405" s="511"/>
      <c r="M405" s="511"/>
      <c r="N405" s="511"/>
      <c r="O405" s="511"/>
      <c r="P405" s="511"/>
      <c r="Q405" s="511"/>
      <c r="R405" s="511"/>
      <c r="S405" s="511"/>
      <c r="T405" s="511"/>
      <c r="U405" s="511"/>
      <c r="V405" s="511"/>
      <c r="W405" s="511"/>
      <c r="X405" s="511"/>
      <c r="Y405" s="511"/>
    </row>
    <row r="406" spans="12:25" x14ac:dyDescent="0.2">
      <c r="L406" s="511"/>
      <c r="M406" s="511"/>
      <c r="N406" s="511"/>
      <c r="O406" s="511"/>
      <c r="P406" s="511"/>
      <c r="Q406" s="511"/>
      <c r="R406" s="511"/>
      <c r="S406" s="511"/>
      <c r="T406" s="511"/>
      <c r="U406" s="511"/>
      <c r="V406" s="511"/>
      <c r="W406" s="511"/>
      <c r="X406" s="511"/>
      <c r="Y406" s="511"/>
    </row>
    <row r="407" spans="12:25" x14ac:dyDescent="0.2">
      <c r="L407" s="511"/>
      <c r="M407" s="511"/>
      <c r="N407" s="511"/>
      <c r="O407" s="511"/>
      <c r="P407" s="511"/>
      <c r="Q407" s="511"/>
      <c r="R407" s="511"/>
      <c r="S407" s="511"/>
      <c r="T407" s="511"/>
      <c r="U407" s="511"/>
      <c r="V407" s="511"/>
      <c r="W407" s="511"/>
      <c r="X407" s="511"/>
      <c r="Y407" s="511"/>
    </row>
    <row r="408" spans="12:25" x14ac:dyDescent="0.2">
      <c r="L408" s="511"/>
      <c r="M408" s="511"/>
      <c r="N408" s="511"/>
      <c r="O408" s="511"/>
      <c r="P408" s="511"/>
      <c r="Q408" s="511"/>
      <c r="R408" s="511"/>
      <c r="S408" s="511"/>
      <c r="T408" s="511"/>
      <c r="U408" s="511"/>
      <c r="V408" s="511"/>
      <c r="W408" s="511"/>
      <c r="X408" s="511"/>
      <c r="Y408" s="511"/>
    </row>
    <row r="409" spans="12:25" x14ac:dyDescent="0.2">
      <c r="L409" s="511"/>
      <c r="M409" s="511"/>
      <c r="N409" s="511"/>
      <c r="O409" s="511"/>
      <c r="P409" s="511"/>
      <c r="Q409" s="511"/>
      <c r="R409" s="511"/>
      <c r="S409" s="511"/>
      <c r="T409" s="511"/>
      <c r="U409" s="511"/>
      <c r="V409" s="511"/>
      <c r="W409" s="511"/>
      <c r="X409" s="511"/>
      <c r="Y409" s="511"/>
    </row>
    <row r="410" spans="12:25" x14ac:dyDescent="0.2">
      <c r="L410" s="511"/>
      <c r="M410" s="511"/>
      <c r="N410" s="511"/>
      <c r="O410" s="511"/>
      <c r="P410" s="511"/>
      <c r="Q410" s="511"/>
      <c r="R410" s="511"/>
      <c r="S410" s="511"/>
      <c r="T410" s="511"/>
      <c r="U410" s="511"/>
      <c r="V410" s="511"/>
      <c r="W410" s="511"/>
      <c r="X410" s="511"/>
      <c r="Y410" s="511"/>
    </row>
    <row r="411" spans="12:25" x14ac:dyDescent="0.2">
      <c r="L411" s="511"/>
      <c r="M411" s="511"/>
      <c r="N411" s="511"/>
      <c r="O411" s="511"/>
      <c r="P411" s="511"/>
      <c r="Q411" s="511"/>
      <c r="R411" s="511"/>
      <c r="S411" s="511"/>
      <c r="T411" s="511"/>
      <c r="U411" s="511"/>
      <c r="V411" s="511"/>
      <c r="W411" s="511"/>
      <c r="X411" s="511"/>
      <c r="Y411" s="511"/>
    </row>
    <row r="412" spans="12:25" x14ac:dyDescent="0.2">
      <c r="L412" s="511"/>
      <c r="M412" s="511"/>
      <c r="N412" s="511"/>
      <c r="O412" s="511"/>
      <c r="P412" s="511"/>
      <c r="Q412" s="511"/>
      <c r="R412" s="511"/>
      <c r="S412" s="511"/>
      <c r="T412" s="511"/>
      <c r="U412" s="511"/>
      <c r="V412" s="511"/>
      <c r="W412" s="511"/>
      <c r="X412" s="511"/>
      <c r="Y412" s="511"/>
    </row>
    <row r="413" spans="12:25" x14ac:dyDescent="0.2">
      <c r="L413" s="511"/>
      <c r="M413" s="511"/>
      <c r="N413" s="511"/>
      <c r="O413" s="511"/>
      <c r="P413" s="511"/>
      <c r="Q413" s="511"/>
      <c r="R413" s="511"/>
      <c r="S413" s="511"/>
      <c r="T413" s="511"/>
      <c r="U413" s="511"/>
      <c r="V413" s="511"/>
      <c r="W413" s="511"/>
      <c r="X413" s="511"/>
      <c r="Y413" s="511"/>
    </row>
    <row r="414" spans="12:25" x14ac:dyDescent="0.2">
      <c r="L414" s="511"/>
      <c r="M414" s="511"/>
      <c r="N414" s="511"/>
      <c r="O414" s="511"/>
      <c r="P414" s="511"/>
      <c r="Q414" s="511"/>
      <c r="R414" s="511"/>
      <c r="S414" s="511"/>
      <c r="T414" s="511"/>
      <c r="U414" s="511"/>
      <c r="V414" s="511"/>
      <c r="W414" s="511"/>
      <c r="X414" s="511"/>
      <c r="Y414" s="511"/>
    </row>
    <row r="415" spans="12:25" x14ac:dyDescent="0.2">
      <c r="L415" s="511"/>
      <c r="M415" s="511"/>
      <c r="N415" s="511"/>
      <c r="O415" s="511"/>
      <c r="P415" s="511"/>
      <c r="Q415" s="511"/>
      <c r="R415" s="511"/>
      <c r="S415" s="511"/>
      <c r="T415" s="511"/>
      <c r="U415" s="511"/>
      <c r="V415" s="511"/>
      <c r="W415" s="511"/>
      <c r="X415" s="511"/>
      <c r="Y415" s="511"/>
    </row>
    <row r="416" spans="12:25" x14ac:dyDescent="0.2">
      <c r="L416" s="511"/>
      <c r="M416" s="511"/>
      <c r="N416" s="511"/>
      <c r="O416" s="511"/>
      <c r="P416" s="511"/>
      <c r="Q416" s="511"/>
      <c r="R416" s="511"/>
      <c r="S416" s="511"/>
      <c r="T416" s="511"/>
      <c r="U416" s="511"/>
      <c r="V416" s="511"/>
      <c r="W416" s="511"/>
      <c r="X416" s="511"/>
      <c r="Y416" s="511"/>
    </row>
    <row r="417" spans="12:25" x14ac:dyDescent="0.2">
      <c r="L417" s="511"/>
      <c r="M417" s="511"/>
      <c r="N417" s="511"/>
      <c r="O417" s="511"/>
      <c r="P417" s="511"/>
      <c r="Q417" s="511"/>
      <c r="R417" s="511"/>
      <c r="S417" s="511"/>
      <c r="T417" s="511"/>
      <c r="U417" s="511"/>
      <c r="V417" s="511"/>
      <c r="W417" s="511"/>
      <c r="X417" s="511"/>
      <c r="Y417" s="511"/>
    </row>
    <row r="418" spans="12:25" x14ac:dyDescent="0.2">
      <c r="L418" s="511"/>
      <c r="M418" s="511"/>
      <c r="N418" s="511"/>
      <c r="O418" s="511"/>
      <c r="P418" s="511"/>
      <c r="Q418" s="511"/>
      <c r="R418" s="511"/>
      <c r="S418" s="511"/>
      <c r="T418" s="511"/>
      <c r="U418" s="511"/>
      <c r="V418" s="511"/>
      <c r="W418" s="511"/>
      <c r="X418" s="511"/>
      <c r="Y418" s="511"/>
    </row>
    <row r="419" spans="12:25" x14ac:dyDescent="0.2">
      <c r="L419" s="511"/>
      <c r="M419" s="511"/>
      <c r="N419" s="511"/>
      <c r="O419" s="511"/>
      <c r="P419" s="511"/>
      <c r="Q419" s="511"/>
      <c r="R419" s="511"/>
      <c r="S419" s="511"/>
      <c r="T419" s="511"/>
      <c r="U419" s="511"/>
      <c r="V419" s="511"/>
      <c r="W419" s="511"/>
      <c r="X419" s="511"/>
      <c r="Y419" s="511"/>
    </row>
    <row r="420" spans="12:25" x14ac:dyDescent="0.2">
      <c r="L420" s="511"/>
      <c r="M420" s="511"/>
      <c r="N420" s="511"/>
      <c r="O420" s="511"/>
      <c r="P420" s="511"/>
      <c r="Q420" s="511"/>
      <c r="R420" s="511"/>
      <c r="S420" s="511"/>
      <c r="T420" s="511"/>
      <c r="U420" s="511"/>
      <c r="V420" s="511"/>
      <c r="W420" s="511"/>
      <c r="X420" s="511"/>
      <c r="Y420" s="511"/>
    </row>
    <row r="421" spans="12:25" x14ac:dyDescent="0.2">
      <c r="L421" s="511"/>
      <c r="M421" s="511"/>
      <c r="N421" s="511"/>
      <c r="O421" s="511"/>
      <c r="P421" s="511"/>
      <c r="Q421" s="511"/>
      <c r="R421" s="511"/>
      <c r="S421" s="511"/>
      <c r="T421" s="511"/>
      <c r="U421" s="511"/>
      <c r="V421" s="511"/>
      <c r="W421" s="511"/>
      <c r="X421" s="511"/>
      <c r="Y421" s="511"/>
    </row>
    <row r="422" spans="12:25" x14ac:dyDescent="0.2">
      <c r="L422" s="511"/>
      <c r="M422" s="511"/>
      <c r="N422" s="511"/>
      <c r="O422" s="511"/>
      <c r="P422" s="511"/>
      <c r="Q422" s="511"/>
      <c r="R422" s="511"/>
      <c r="S422" s="511"/>
      <c r="T422" s="511"/>
      <c r="U422" s="511"/>
      <c r="V422" s="511"/>
      <c r="W422" s="511"/>
      <c r="X422" s="511"/>
      <c r="Y422" s="511"/>
    </row>
    <row r="423" spans="12:25" x14ac:dyDescent="0.2">
      <c r="L423" s="511"/>
      <c r="M423" s="511"/>
      <c r="N423" s="511"/>
      <c r="O423" s="511"/>
      <c r="P423" s="511"/>
      <c r="Q423" s="511"/>
      <c r="R423" s="511"/>
      <c r="S423" s="511"/>
      <c r="T423" s="511"/>
      <c r="U423" s="511"/>
      <c r="V423" s="511"/>
      <c r="W423" s="511"/>
      <c r="X423" s="511"/>
      <c r="Y423" s="511"/>
    </row>
    <row r="424" spans="12:25" x14ac:dyDescent="0.2">
      <c r="L424" s="511"/>
      <c r="M424" s="511"/>
      <c r="N424" s="511"/>
      <c r="O424" s="511"/>
      <c r="P424" s="511"/>
      <c r="Q424" s="511"/>
      <c r="R424" s="511"/>
      <c r="S424" s="511"/>
      <c r="T424" s="511"/>
      <c r="U424" s="511"/>
      <c r="V424" s="511"/>
      <c r="W424" s="511"/>
      <c r="X424" s="511"/>
      <c r="Y424" s="511"/>
    </row>
    <row r="425" spans="12:25" x14ac:dyDescent="0.2">
      <c r="L425" s="511"/>
      <c r="M425" s="511"/>
      <c r="N425" s="511"/>
      <c r="O425" s="511"/>
      <c r="P425" s="511"/>
      <c r="Q425" s="511"/>
      <c r="R425" s="511"/>
      <c r="S425" s="511"/>
      <c r="T425" s="511"/>
      <c r="U425" s="511"/>
      <c r="V425" s="511"/>
      <c r="W425" s="511"/>
      <c r="X425" s="511"/>
      <c r="Y425" s="511"/>
    </row>
    <row r="426" spans="12:25" x14ac:dyDescent="0.2">
      <c r="L426" s="511"/>
      <c r="M426" s="511"/>
      <c r="N426" s="511"/>
      <c r="O426" s="511"/>
      <c r="P426" s="511"/>
      <c r="Q426" s="511"/>
      <c r="R426" s="511"/>
      <c r="S426" s="511"/>
      <c r="T426" s="511"/>
      <c r="U426" s="511"/>
      <c r="V426" s="511"/>
      <c r="W426" s="511"/>
      <c r="X426" s="511"/>
      <c r="Y426" s="511"/>
    </row>
    <row r="427" spans="12:25" x14ac:dyDescent="0.2">
      <c r="L427" s="511"/>
      <c r="M427" s="511"/>
      <c r="N427" s="511"/>
      <c r="O427" s="511"/>
      <c r="P427" s="511"/>
      <c r="Q427" s="511"/>
      <c r="R427" s="511"/>
      <c r="S427" s="511"/>
      <c r="T427" s="511"/>
      <c r="U427" s="511"/>
      <c r="V427" s="511"/>
      <c r="W427" s="511"/>
      <c r="X427" s="511"/>
      <c r="Y427" s="511"/>
    </row>
    <row r="428" spans="12:25" x14ac:dyDescent="0.2">
      <c r="L428" s="511"/>
      <c r="M428" s="511"/>
      <c r="N428" s="511"/>
      <c r="O428" s="511"/>
      <c r="P428" s="511"/>
      <c r="Q428" s="511"/>
      <c r="R428" s="511"/>
      <c r="S428" s="511"/>
      <c r="T428" s="511"/>
      <c r="U428" s="511"/>
      <c r="V428" s="511"/>
      <c r="W428" s="511"/>
      <c r="X428" s="511"/>
      <c r="Y428" s="511"/>
    </row>
    <row r="429" spans="12:25" x14ac:dyDescent="0.2">
      <c r="L429" s="511"/>
      <c r="M429" s="511"/>
      <c r="N429" s="511"/>
      <c r="O429" s="511"/>
      <c r="P429" s="511"/>
      <c r="Q429" s="511"/>
      <c r="R429" s="511"/>
      <c r="S429" s="511"/>
      <c r="T429" s="511"/>
      <c r="U429" s="511"/>
      <c r="V429" s="511"/>
      <c r="W429" s="511"/>
      <c r="X429" s="511"/>
      <c r="Y429" s="511"/>
    </row>
    <row r="430" spans="12:25" x14ac:dyDescent="0.2">
      <c r="L430" s="511"/>
      <c r="M430" s="511"/>
      <c r="N430" s="511"/>
      <c r="O430" s="511"/>
      <c r="P430" s="511"/>
      <c r="Q430" s="511"/>
      <c r="R430" s="511"/>
      <c r="S430" s="511"/>
      <c r="T430" s="511"/>
      <c r="U430" s="511"/>
      <c r="V430" s="511"/>
      <c r="W430" s="511"/>
      <c r="X430" s="511"/>
      <c r="Y430" s="511"/>
    </row>
    <row r="431" spans="12:25" x14ac:dyDescent="0.2">
      <c r="L431" s="511"/>
      <c r="M431" s="511"/>
      <c r="N431" s="511"/>
      <c r="O431" s="511"/>
      <c r="P431" s="511"/>
      <c r="Q431" s="511"/>
      <c r="R431" s="511"/>
      <c r="S431" s="511"/>
      <c r="T431" s="511"/>
      <c r="U431" s="511"/>
      <c r="V431" s="511"/>
      <c r="W431" s="511"/>
      <c r="X431" s="511"/>
      <c r="Y431" s="511"/>
    </row>
    <row r="432" spans="12:25" x14ac:dyDescent="0.2">
      <c r="L432" s="511"/>
      <c r="M432" s="511"/>
      <c r="N432" s="511"/>
      <c r="O432" s="511"/>
      <c r="P432" s="511"/>
      <c r="Q432" s="511"/>
      <c r="R432" s="511"/>
      <c r="S432" s="511"/>
      <c r="T432" s="511"/>
      <c r="U432" s="511"/>
      <c r="V432" s="511"/>
      <c r="W432" s="511"/>
      <c r="X432" s="511"/>
      <c r="Y432" s="511"/>
    </row>
    <row r="433" spans="12:25" x14ac:dyDescent="0.2">
      <c r="L433" s="511"/>
      <c r="M433" s="511"/>
      <c r="N433" s="511"/>
      <c r="O433" s="511"/>
      <c r="P433" s="511"/>
      <c r="Q433" s="511"/>
      <c r="R433" s="511"/>
      <c r="S433" s="511"/>
      <c r="T433" s="511"/>
      <c r="U433" s="511"/>
      <c r="V433" s="511"/>
      <c r="W433" s="511"/>
      <c r="X433" s="511"/>
      <c r="Y433" s="511"/>
    </row>
    <row r="434" spans="12:25" x14ac:dyDescent="0.2">
      <c r="L434" s="511"/>
      <c r="M434" s="511"/>
      <c r="N434" s="511"/>
      <c r="O434" s="511"/>
      <c r="P434" s="511"/>
      <c r="Q434" s="511"/>
      <c r="R434" s="511"/>
      <c r="S434" s="511"/>
      <c r="T434" s="511"/>
      <c r="U434" s="511"/>
      <c r="V434" s="511"/>
      <c r="W434" s="511"/>
      <c r="X434" s="511"/>
      <c r="Y434" s="511"/>
    </row>
    <row r="435" spans="12:25" x14ac:dyDescent="0.2">
      <c r="L435" s="511"/>
      <c r="M435" s="511"/>
      <c r="N435" s="511"/>
      <c r="O435" s="511"/>
      <c r="P435" s="511"/>
      <c r="Q435" s="511"/>
      <c r="R435" s="511"/>
      <c r="S435" s="511"/>
      <c r="T435" s="511"/>
      <c r="U435" s="511"/>
      <c r="V435" s="511"/>
      <c r="W435" s="511"/>
      <c r="X435" s="511"/>
      <c r="Y435" s="511"/>
    </row>
    <row r="436" spans="12:25" x14ac:dyDescent="0.2">
      <c r="L436" s="511"/>
      <c r="M436" s="511"/>
      <c r="N436" s="511"/>
      <c r="O436" s="511"/>
      <c r="P436" s="511"/>
      <c r="Q436" s="511"/>
      <c r="R436" s="511"/>
      <c r="S436" s="511"/>
      <c r="T436" s="511"/>
      <c r="U436" s="511"/>
      <c r="V436" s="511"/>
      <c r="W436" s="511"/>
      <c r="X436" s="511"/>
      <c r="Y436" s="511"/>
    </row>
    <row r="437" spans="12:25" x14ac:dyDescent="0.2">
      <c r="L437" s="511"/>
      <c r="M437" s="511"/>
      <c r="N437" s="511"/>
      <c r="O437" s="511"/>
      <c r="P437" s="511"/>
      <c r="Q437" s="511"/>
      <c r="R437" s="511"/>
      <c r="S437" s="511"/>
      <c r="T437" s="511"/>
      <c r="U437" s="511"/>
      <c r="V437" s="511"/>
      <c r="W437" s="511"/>
      <c r="X437" s="511"/>
      <c r="Y437" s="511"/>
    </row>
    <row r="438" spans="12:25" x14ac:dyDescent="0.2">
      <c r="L438" s="511"/>
      <c r="M438" s="511"/>
      <c r="N438" s="511"/>
      <c r="O438" s="511"/>
      <c r="P438" s="511"/>
      <c r="Q438" s="511"/>
      <c r="R438" s="511"/>
      <c r="S438" s="511"/>
      <c r="T438" s="511"/>
      <c r="U438" s="511"/>
      <c r="V438" s="511"/>
      <c r="W438" s="511"/>
      <c r="X438" s="511"/>
      <c r="Y438" s="511"/>
    </row>
    <row r="439" spans="12:25" x14ac:dyDescent="0.2">
      <c r="L439" s="511"/>
      <c r="M439" s="511"/>
      <c r="N439" s="511"/>
      <c r="O439" s="511"/>
      <c r="P439" s="511"/>
      <c r="Q439" s="511"/>
      <c r="R439" s="511"/>
      <c r="S439" s="511"/>
      <c r="T439" s="511"/>
      <c r="U439" s="511"/>
      <c r="V439" s="511"/>
      <c r="W439" s="511"/>
      <c r="X439" s="511"/>
      <c r="Y439" s="511"/>
    </row>
    <row r="440" spans="12:25" x14ac:dyDescent="0.2">
      <c r="L440" s="511"/>
      <c r="M440" s="511"/>
      <c r="N440" s="511"/>
      <c r="O440" s="511"/>
      <c r="P440" s="511"/>
      <c r="Q440" s="511"/>
      <c r="R440" s="511"/>
      <c r="S440" s="511"/>
      <c r="T440" s="511"/>
      <c r="U440" s="511"/>
      <c r="V440" s="511"/>
      <c r="W440" s="511"/>
      <c r="X440" s="511"/>
      <c r="Y440" s="511"/>
    </row>
    <row r="441" spans="12:25" x14ac:dyDescent="0.2">
      <c r="L441" s="511"/>
      <c r="M441" s="511"/>
      <c r="N441" s="511"/>
      <c r="O441" s="511"/>
      <c r="P441" s="511"/>
      <c r="Q441" s="511"/>
      <c r="R441" s="511"/>
      <c r="S441" s="511"/>
      <c r="T441" s="511"/>
      <c r="U441" s="511"/>
      <c r="V441" s="511"/>
      <c r="W441" s="511"/>
      <c r="X441" s="511"/>
      <c r="Y441" s="511"/>
    </row>
    <row r="442" spans="12:25" x14ac:dyDescent="0.2">
      <c r="L442" s="511"/>
      <c r="M442" s="511"/>
      <c r="N442" s="511"/>
      <c r="O442" s="511"/>
      <c r="P442" s="511"/>
      <c r="Q442" s="511"/>
      <c r="R442" s="511"/>
      <c r="S442" s="511"/>
      <c r="T442" s="511"/>
      <c r="U442" s="511"/>
      <c r="V442" s="511"/>
      <c r="W442" s="511"/>
      <c r="X442" s="511"/>
      <c r="Y442" s="511"/>
    </row>
    <row r="443" spans="12:25" x14ac:dyDescent="0.2">
      <c r="L443" s="511"/>
      <c r="M443" s="511"/>
      <c r="N443" s="511"/>
      <c r="O443" s="511"/>
      <c r="P443" s="511"/>
      <c r="Q443" s="511"/>
      <c r="R443" s="511"/>
      <c r="S443" s="511"/>
      <c r="T443" s="511"/>
      <c r="U443" s="511"/>
      <c r="V443" s="511"/>
      <c r="W443" s="511"/>
      <c r="X443" s="511"/>
      <c r="Y443" s="511"/>
    </row>
    <row r="444" spans="12:25" x14ac:dyDescent="0.2">
      <c r="L444" s="511"/>
      <c r="M444" s="511"/>
      <c r="N444" s="511"/>
      <c r="O444" s="511"/>
      <c r="P444" s="511"/>
      <c r="Q444" s="511"/>
      <c r="R444" s="511"/>
      <c r="S444" s="511"/>
      <c r="T444" s="511"/>
      <c r="U444" s="511"/>
      <c r="V444" s="511"/>
      <c r="W444" s="511"/>
      <c r="X444" s="511"/>
      <c r="Y444" s="511"/>
    </row>
    <row r="445" spans="12:25" x14ac:dyDescent="0.2">
      <c r="L445" s="511"/>
      <c r="M445" s="511"/>
      <c r="N445" s="511"/>
      <c r="O445" s="511"/>
      <c r="P445" s="511"/>
      <c r="Q445" s="511"/>
      <c r="R445" s="511"/>
      <c r="S445" s="511"/>
      <c r="T445" s="511"/>
      <c r="U445" s="511"/>
      <c r="V445" s="511"/>
      <c r="W445" s="511"/>
      <c r="X445" s="511"/>
      <c r="Y445" s="511"/>
    </row>
    <row r="446" spans="12:25" x14ac:dyDescent="0.2">
      <c r="L446" s="511"/>
      <c r="M446" s="511"/>
      <c r="N446" s="511"/>
      <c r="O446" s="511"/>
      <c r="P446" s="511"/>
      <c r="Q446" s="511"/>
      <c r="R446" s="511"/>
      <c r="S446" s="511"/>
      <c r="T446" s="511"/>
      <c r="U446" s="511"/>
      <c r="V446" s="511"/>
      <c r="W446" s="511"/>
      <c r="X446" s="511"/>
      <c r="Y446" s="511"/>
    </row>
    <row r="447" spans="12:25" x14ac:dyDescent="0.2">
      <c r="L447" s="511"/>
      <c r="M447" s="511"/>
      <c r="N447" s="511"/>
      <c r="O447" s="511"/>
      <c r="P447" s="511"/>
      <c r="Q447" s="511"/>
      <c r="R447" s="511"/>
      <c r="S447" s="511"/>
      <c r="T447" s="511"/>
      <c r="U447" s="511"/>
      <c r="V447" s="511"/>
      <c r="W447" s="511"/>
      <c r="X447" s="511"/>
      <c r="Y447" s="511"/>
    </row>
    <row r="448" spans="12:25" x14ac:dyDescent="0.2">
      <c r="L448" s="511"/>
      <c r="M448" s="511"/>
      <c r="N448" s="511"/>
      <c r="O448" s="511"/>
      <c r="P448" s="511"/>
      <c r="Q448" s="511"/>
      <c r="R448" s="511"/>
      <c r="S448" s="511"/>
      <c r="T448" s="511"/>
      <c r="U448" s="511"/>
      <c r="V448" s="511"/>
      <c r="W448" s="511"/>
      <c r="X448" s="511"/>
      <c r="Y448" s="511"/>
    </row>
    <row r="449" spans="12:25" x14ac:dyDescent="0.2">
      <c r="L449" s="511"/>
      <c r="M449" s="511"/>
      <c r="N449" s="511"/>
      <c r="O449" s="511"/>
      <c r="P449" s="511"/>
      <c r="Q449" s="511"/>
      <c r="R449" s="511"/>
      <c r="S449" s="511"/>
      <c r="T449" s="511"/>
      <c r="U449" s="511"/>
      <c r="V449" s="511"/>
      <c r="W449" s="511"/>
      <c r="X449" s="511"/>
      <c r="Y449" s="511"/>
    </row>
    <row r="450" spans="12:25" x14ac:dyDescent="0.2">
      <c r="L450" s="511"/>
      <c r="M450" s="511"/>
      <c r="N450" s="511"/>
      <c r="O450" s="511"/>
      <c r="P450" s="511"/>
      <c r="Q450" s="511"/>
      <c r="R450" s="511"/>
      <c r="S450" s="511"/>
      <c r="T450" s="511"/>
      <c r="U450" s="511"/>
      <c r="V450" s="511"/>
      <c r="W450" s="511"/>
      <c r="X450" s="511"/>
      <c r="Y450" s="511"/>
    </row>
    <row r="451" spans="12:25" x14ac:dyDescent="0.2">
      <c r="Y451" s="511"/>
    </row>
    <row r="452" spans="12:25" x14ac:dyDescent="0.2">
      <c r="Y452" s="511"/>
    </row>
  </sheetData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21-sep-2017</v>
      </c>
      <c r="E2" s="273" t="s">
        <v>363</v>
      </c>
      <c r="F2" s="845" t="str">
        <f>Txt_Pat_FullName</f>
        <v/>
      </c>
      <c r="G2" s="845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41538)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/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4830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46">
        <f>_Ped_Ent_Opm</f>
        <v>0</v>
      </c>
      <c r="E12" s="847"/>
      <c r="F12" s="847"/>
      <c r="G12" s="847"/>
      <c r="H12" s="847"/>
      <c r="I12" s="847"/>
      <c r="J12" s="847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54" t="str">
        <f>TRIM(Txt_Ped_Lab_1)</f>
        <v/>
      </c>
      <c r="E15" s="855"/>
      <c r="F15" s="855"/>
      <c r="G15" s="855"/>
      <c r="H15" s="855"/>
      <c r="I15" s="855"/>
      <c r="J15" s="855"/>
      <c r="L15" s="276"/>
    </row>
    <row r="16" spans="1:12" ht="12.6" customHeight="1" x14ac:dyDescent="0.2">
      <c r="B16" s="275"/>
      <c r="C16" s="275" t="s">
        <v>358</v>
      </c>
      <c r="D16" s="852" t="str">
        <f>TRIM(Txt_Ped_Lab_2)</f>
        <v/>
      </c>
      <c r="E16" s="853"/>
      <c r="F16" s="853"/>
      <c r="G16" s="853"/>
      <c r="H16" s="853"/>
      <c r="I16" s="853"/>
      <c r="J16" s="853"/>
      <c r="L16" s="276"/>
    </row>
    <row r="17" spans="1:12" ht="12.6" customHeight="1" x14ac:dyDescent="0.2">
      <c r="B17" s="275"/>
      <c r="C17" s="275" t="s">
        <v>359</v>
      </c>
      <c r="D17" s="852" t="str">
        <f>TRIM(Txt_Ped_Lab_3)</f>
        <v/>
      </c>
      <c r="E17" s="856"/>
      <c r="F17" s="856"/>
      <c r="G17" s="856"/>
      <c r="H17" s="856"/>
      <c r="I17" s="856"/>
      <c r="J17" s="856"/>
      <c r="L17" s="276"/>
    </row>
    <row r="18" spans="1:12" ht="12.6" customHeight="1" x14ac:dyDescent="0.2">
      <c r="B18" s="275"/>
      <c r="C18" s="275" t="s">
        <v>111</v>
      </c>
      <c r="D18" s="852" t="str">
        <f>TRIM(Txt_Ped_Lab_4)</f>
        <v/>
      </c>
      <c r="E18" s="856"/>
      <c r="F18" s="856"/>
      <c r="G18" s="856"/>
      <c r="H18" s="856"/>
      <c r="I18" s="856"/>
      <c r="J18" s="856"/>
      <c r="L18" s="276"/>
    </row>
    <row r="19" spans="1:12" ht="12.6" customHeight="1" x14ac:dyDescent="0.2">
      <c r="B19" s="275"/>
      <c r="C19" s="285" t="s">
        <v>18</v>
      </c>
      <c r="D19" s="852" t="str">
        <f>TRIM(Txt_Ped_Lab_5)</f>
        <v/>
      </c>
      <c r="E19" s="857"/>
      <c r="F19" s="857"/>
      <c r="G19" s="857"/>
      <c r="H19" s="857"/>
      <c r="I19" s="857"/>
      <c r="J19" s="857"/>
      <c r="L19" s="276"/>
    </row>
    <row r="20" spans="1:12" ht="12.6" customHeight="1" x14ac:dyDescent="0.2">
      <c r="B20" s="275"/>
      <c r="C20" s="285" t="s">
        <v>225</v>
      </c>
      <c r="D20" s="848">
        <f>_Ped_Lab_Opm</f>
        <v>0</v>
      </c>
      <c r="E20" s="849"/>
      <c r="F20" s="849"/>
      <c r="G20" s="849"/>
      <c r="H20" s="849"/>
      <c r="I20" s="849"/>
      <c r="J20" s="849"/>
      <c r="L20" s="276"/>
    </row>
    <row r="21" spans="1:12" ht="12.6" customHeight="1" x14ac:dyDescent="0.2">
      <c r="A21" s="279"/>
      <c r="B21" s="284"/>
      <c r="C21" s="286"/>
      <c r="D21" s="850"/>
      <c r="E21" s="850"/>
      <c r="F21" s="850"/>
      <c r="G21" s="850"/>
      <c r="H21" s="850"/>
      <c r="I21" s="850"/>
      <c r="J21" s="850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21-sep-2017</v>
      </c>
      <c r="E34" s="273" t="s">
        <v>363</v>
      </c>
      <c r="F34" s="845" t="str">
        <f>Txt_Pat_FullName</f>
        <v/>
      </c>
      <c r="G34" s="845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41538)</v>
      </c>
      <c r="E35" s="273" t="s">
        <v>361</v>
      </c>
      <c r="F35" s="278" t="str">
        <f ca="1">Txt_Pat_GeboorteDat</f>
        <v/>
      </c>
      <c r="G35" s="565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/>
      </c>
      <c r="F36" s="565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46">
        <f>_Ped_Lijn_Opm</f>
        <v>0</v>
      </c>
      <c r="E46" s="847"/>
      <c r="F46" s="847"/>
      <c r="G46" s="847"/>
      <c r="H46" s="847"/>
      <c r="I46" s="847"/>
      <c r="J46" s="847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48">
        <f>_Ped_MedIV_Opm</f>
        <v>0</v>
      </c>
      <c r="E72" s="848"/>
      <c r="F72" s="848"/>
      <c r="G72" s="848"/>
      <c r="H72" s="848"/>
      <c r="I72" s="848"/>
      <c r="J72" s="848"/>
      <c r="L72" s="276"/>
    </row>
    <row r="73" spans="1:12" ht="12.6" customHeight="1" x14ac:dyDescent="0.2">
      <c r="D73" s="851"/>
      <c r="E73" s="851"/>
      <c r="F73" s="851"/>
      <c r="G73" s="851"/>
      <c r="H73" s="851"/>
      <c r="I73" s="851"/>
      <c r="J73" s="851"/>
      <c r="L73" s="276"/>
    </row>
    <row r="74" spans="1:12" ht="12.6" customHeight="1" x14ac:dyDescent="0.2">
      <c r="D74" s="566"/>
      <c r="E74" s="566"/>
      <c r="F74" s="566"/>
      <c r="G74" s="566"/>
      <c r="H74" s="566"/>
      <c r="I74" s="566"/>
      <c r="J74" s="566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21-sep-2017</v>
      </c>
      <c r="E75" s="273" t="s">
        <v>363</v>
      </c>
      <c r="F75" s="845" t="str">
        <f>Txt_Pat_FullName</f>
        <v/>
      </c>
      <c r="G75" s="845"/>
      <c r="H75" s="275" t="str">
        <f>Txt_Pat_Gewicht</f>
        <v>Gewicht:</v>
      </c>
      <c r="J75" s="565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41538)</v>
      </c>
      <c r="E76" s="273" t="s">
        <v>361</v>
      </c>
      <c r="F76" s="278" t="str">
        <f ca="1">Txt_Pat_GeboorteDat</f>
        <v/>
      </c>
      <c r="G76" s="565"/>
      <c r="H76" s="275" t="str">
        <f>Txt_Pat_Lengte</f>
        <v>Lengte:</v>
      </c>
      <c r="J76" s="565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/>
      </c>
      <c r="F77" s="565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46">
        <f>_Ped_TPN_Opm</f>
        <v>0</v>
      </c>
      <c r="E99" s="847"/>
      <c r="F99" s="847"/>
      <c r="G99" s="847"/>
      <c r="H99" s="847"/>
      <c r="I99" s="847"/>
      <c r="J99" s="847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73" customWidth="1"/>
    <col min="23" max="32" width="2.7109375" style="568" customWidth="1"/>
  </cols>
  <sheetData>
    <row r="1" spans="1:32" s="208" customFormat="1" x14ac:dyDescent="0.2">
      <c r="G1" s="573">
        <v>3</v>
      </c>
      <c r="H1" s="573">
        <v>4</v>
      </c>
      <c r="I1" s="573">
        <v>5</v>
      </c>
      <c r="J1" s="573">
        <v>6</v>
      </c>
      <c r="K1" s="573">
        <v>7</v>
      </c>
      <c r="L1" s="573">
        <v>8</v>
      </c>
      <c r="M1" s="573">
        <v>9</v>
      </c>
      <c r="N1" s="573">
        <v>10</v>
      </c>
      <c r="O1" s="573">
        <v>11</v>
      </c>
      <c r="P1" s="573">
        <v>12</v>
      </c>
      <c r="Q1" s="573">
        <v>13</v>
      </c>
      <c r="R1" s="573">
        <v>14</v>
      </c>
      <c r="S1" s="573">
        <v>15</v>
      </c>
      <c r="T1" s="573">
        <v>16</v>
      </c>
      <c r="U1" s="573">
        <v>17</v>
      </c>
      <c r="V1" s="573">
        <v>18</v>
      </c>
      <c r="W1" s="573">
        <v>19</v>
      </c>
      <c r="X1" s="573">
        <v>20</v>
      </c>
      <c r="Y1" s="573">
        <v>21</v>
      </c>
      <c r="Z1" s="573">
        <v>22</v>
      </c>
      <c r="AA1" s="573">
        <v>23</v>
      </c>
      <c r="AB1" s="573">
        <v>24</v>
      </c>
      <c r="AC1" s="573">
        <v>25</v>
      </c>
      <c r="AD1" s="573">
        <v>26</v>
      </c>
      <c r="AE1" s="573">
        <v>27</v>
      </c>
      <c r="AF1" s="573">
        <v>28</v>
      </c>
    </row>
    <row r="2" spans="1:32" ht="19.5" customHeight="1" thickBot="1" x14ac:dyDescent="0.25">
      <c r="A2" s="236"/>
      <c r="B2" t="str">
        <f>Txt_Pat_FullName</f>
        <v/>
      </c>
      <c r="E2" s="860" t="str">
        <f ca="1">Txt_Pat_GeboorteDat</f>
        <v/>
      </c>
      <c r="F2" s="860"/>
      <c r="G2" s="267" t="str">
        <f>Txt_Pat_Gewicht</f>
        <v>Gewicht:</v>
      </c>
      <c r="H2" s="574"/>
      <c r="O2" s="574" t="s">
        <v>138</v>
      </c>
      <c r="Q2" s="858"/>
      <c r="R2" s="858"/>
      <c r="S2" s="858"/>
      <c r="T2" s="858"/>
      <c r="U2" s="858"/>
      <c r="V2" s="858"/>
      <c r="X2" s="568" t="s">
        <v>235</v>
      </c>
      <c r="AA2" s="859">
        <f ca="1">TODAY()</f>
        <v>42999</v>
      </c>
      <c r="AB2" s="859"/>
      <c r="AC2" s="859"/>
      <c r="AD2" s="859"/>
      <c r="AE2" s="859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75">
        <v>10</v>
      </c>
      <c r="H3" s="575">
        <v>11</v>
      </c>
      <c r="I3" s="575">
        <v>12</v>
      </c>
      <c r="J3" s="575">
        <v>13</v>
      </c>
      <c r="K3" s="575">
        <v>14</v>
      </c>
      <c r="L3" s="575">
        <v>15</v>
      </c>
      <c r="M3" s="575">
        <v>16</v>
      </c>
      <c r="N3" s="575">
        <v>17</v>
      </c>
      <c r="O3" s="575">
        <v>18</v>
      </c>
      <c r="P3" s="575">
        <v>19</v>
      </c>
      <c r="Q3" s="576">
        <v>20</v>
      </c>
      <c r="R3" s="576">
        <v>21</v>
      </c>
      <c r="S3" s="576">
        <v>22</v>
      </c>
      <c r="T3" s="576">
        <v>23</v>
      </c>
      <c r="U3" s="576">
        <v>24</v>
      </c>
      <c r="V3" s="576">
        <v>1</v>
      </c>
      <c r="W3" s="575">
        <v>2</v>
      </c>
      <c r="X3" s="575">
        <v>3</v>
      </c>
      <c r="Y3" s="575">
        <v>4</v>
      </c>
      <c r="Z3" s="575">
        <v>5</v>
      </c>
      <c r="AA3" s="575">
        <v>6</v>
      </c>
      <c r="AB3" s="575">
        <v>7</v>
      </c>
      <c r="AC3" s="575">
        <v>8</v>
      </c>
      <c r="AD3" s="577"/>
      <c r="AE3" s="577"/>
      <c r="AF3" s="577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78" t="str">
        <f t="shared" ref="G4:P13" si="0">IF($C4="","",IF(VLOOKUP($C4,Tbl_Glob_MedFreq,G$1,FALSE)=0,"",VLOOKUP($C4,Tbl_Glob_MedFreq,G$1,FALSE)))</f>
        <v/>
      </c>
      <c r="H4" s="570" t="str">
        <f t="shared" si="0"/>
        <v/>
      </c>
      <c r="I4" s="578" t="str">
        <f t="shared" si="0"/>
        <v/>
      </c>
      <c r="J4" s="570" t="str">
        <f t="shared" si="0"/>
        <v/>
      </c>
      <c r="K4" s="578" t="str">
        <f t="shared" si="0"/>
        <v/>
      </c>
      <c r="L4" s="570" t="str">
        <f t="shared" si="0"/>
        <v/>
      </c>
      <c r="M4" s="578" t="str">
        <f t="shared" si="0"/>
        <v/>
      </c>
      <c r="N4" s="570" t="str">
        <f t="shared" si="0"/>
        <v/>
      </c>
      <c r="O4" s="578" t="str">
        <f t="shared" si="0"/>
        <v/>
      </c>
      <c r="P4" s="570" t="str">
        <f t="shared" si="0"/>
        <v/>
      </c>
      <c r="Q4" s="578" t="str">
        <f t="shared" ref="Q4:Z13" si="1">IF($C4="","",IF(VLOOKUP($C4,Tbl_Glob_MedFreq,Q$1,FALSE)=0,"",VLOOKUP($C4,Tbl_Glob_MedFreq,Q$1,FALSE)))</f>
        <v/>
      </c>
      <c r="R4" s="570" t="str">
        <f t="shared" si="1"/>
        <v/>
      </c>
      <c r="S4" s="578" t="str">
        <f t="shared" si="1"/>
        <v/>
      </c>
      <c r="T4" s="570" t="str">
        <f t="shared" si="1"/>
        <v/>
      </c>
      <c r="U4" s="578" t="str">
        <f t="shared" si="1"/>
        <v/>
      </c>
      <c r="V4" s="570" t="str">
        <f t="shared" si="1"/>
        <v/>
      </c>
      <c r="W4" s="578" t="str">
        <f t="shared" si="1"/>
        <v/>
      </c>
      <c r="X4" s="570" t="str">
        <f t="shared" si="1"/>
        <v/>
      </c>
      <c r="Y4" s="578" t="str">
        <f t="shared" si="1"/>
        <v/>
      </c>
      <c r="Z4" s="570" t="str">
        <f t="shared" si="1"/>
        <v/>
      </c>
      <c r="AA4" s="578" t="str">
        <f t="shared" ref="AA4:AF13" si="2">IF($C4="","",IF(VLOOKUP($C4,Tbl_Glob_MedFreq,AA$1,FALSE)=0,"",VLOOKUP($C4,Tbl_Glob_MedFreq,AA$1,FALSE)))</f>
        <v/>
      </c>
      <c r="AB4" s="570" t="str">
        <f t="shared" si="2"/>
        <v/>
      </c>
      <c r="AC4" s="578" t="str">
        <f t="shared" si="2"/>
        <v/>
      </c>
      <c r="AD4" s="570" t="str">
        <f t="shared" si="2"/>
        <v/>
      </c>
      <c r="AE4" s="578" t="str">
        <f t="shared" si="2"/>
        <v/>
      </c>
      <c r="AF4" s="570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78" t="str">
        <f t="shared" si="0"/>
        <v/>
      </c>
      <c r="H5" s="570" t="str">
        <f t="shared" si="0"/>
        <v/>
      </c>
      <c r="I5" s="578" t="str">
        <f t="shared" si="0"/>
        <v/>
      </c>
      <c r="J5" s="570" t="str">
        <f t="shared" si="0"/>
        <v/>
      </c>
      <c r="K5" s="578" t="str">
        <f t="shared" si="0"/>
        <v/>
      </c>
      <c r="L5" s="570" t="str">
        <f t="shared" si="0"/>
        <v/>
      </c>
      <c r="M5" s="578" t="str">
        <f t="shared" si="0"/>
        <v/>
      </c>
      <c r="N5" s="570" t="str">
        <f t="shared" si="0"/>
        <v/>
      </c>
      <c r="O5" s="578" t="str">
        <f t="shared" si="0"/>
        <v/>
      </c>
      <c r="P5" s="570" t="str">
        <f t="shared" si="0"/>
        <v/>
      </c>
      <c r="Q5" s="578" t="str">
        <f t="shared" si="1"/>
        <v/>
      </c>
      <c r="R5" s="570" t="str">
        <f t="shared" si="1"/>
        <v/>
      </c>
      <c r="S5" s="578" t="str">
        <f t="shared" si="1"/>
        <v/>
      </c>
      <c r="T5" s="570" t="str">
        <f t="shared" si="1"/>
        <v/>
      </c>
      <c r="U5" s="578" t="str">
        <f t="shared" si="1"/>
        <v/>
      </c>
      <c r="V5" s="570" t="str">
        <f t="shared" si="1"/>
        <v/>
      </c>
      <c r="W5" s="578" t="str">
        <f t="shared" si="1"/>
        <v/>
      </c>
      <c r="X5" s="570" t="str">
        <f t="shared" si="1"/>
        <v/>
      </c>
      <c r="Y5" s="578" t="str">
        <f t="shared" si="1"/>
        <v/>
      </c>
      <c r="Z5" s="570" t="str">
        <f t="shared" si="1"/>
        <v/>
      </c>
      <c r="AA5" s="578" t="str">
        <f t="shared" si="2"/>
        <v/>
      </c>
      <c r="AB5" s="570" t="str">
        <f t="shared" si="2"/>
        <v/>
      </c>
      <c r="AC5" s="578" t="str">
        <f t="shared" si="2"/>
        <v/>
      </c>
      <c r="AD5" s="570" t="str">
        <f t="shared" si="2"/>
        <v/>
      </c>
      <c r="AE5" s="578" t="str">
        <f t="shared" si="2"/>
        <v/>
      </c>
      <c r="AF5" s="570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78" t="str">
        <f t="shared" si="0"/>
        <v/>
      </c>
      <c r="H6" s="570" t="str">
        <f t="shared" si="0"/>
        <v/>
      </c>
      <c r="I6" s="578" t="str">
        <f t="shared" si="0"/>
        <v/>
      </c>
      <c r="J6" s="570" t="str">
        <f t="shared" si="0"/>
        <v/>
      </c>
      <c r="K6" s="578" t="str">
        <f t="shared" si="0"/>
        <v/>
      </c>
      <c r="L6" s="570" t="str">
        <f t="shared" si="0"/>
        <v/>
      </c>
      <c r="M6" s="578" t="str">
        <f t="shared" si="0"/>
        <v/>
      </c>
      <c r="N6" s="570" t="str">
        <f t="shared" si="0"/>
        <v/>
      </c>
      <c r="O6" s="578" t="str">
        <f t="shared" si="0"/>
        <v/>
      </c>
      <c r="P6" s="570" t="str">
        <f t="shared" si="0"/>
        <v/>
      </c>
      <c r="Q6" s="578" t="str">
        <f t="shared" si="1"/>
        <v/>
      </c>
      <c r="R6" s="570" t="str">
        <f t="shared" si="1"/>
        <v/>
      </c>
      <c r="S6" s="578" t="str">
        <f t="shared" si="1"/>
        <v/>
      </c>
      <c r="T6" s="570" t="str">
        <f t="shared" si="1"/>
        <v/>
      </c>
      <c r="U6" s="578" t="str">
        <f t="shared" si="1"/>
        <v/>
      </c>
      <c r="V6" s="570" t="str">
        <f t="shared" si="1"/>
        <v/>
      </c>
      <c r="W6" s="578" t="str">
        <f t="shared" si="1"/>
        <v/>
      </c>
      <c r="X6" s="570" t="str">
        <f t="shared" si="1"/>
        <v/>
      </c>
      <c r="Y6" s="578" t="str">
        <f t="shared" si="1"/>
        <v/>
      </c>
      <c r="Z6" s="570" t="str">
        <f t="shared" si="1"/>
        <v/>
      </c>
      <c r="AA6" s="578" t="str">
        <f t="shared" si="2"/>
        <v/>
      </c>
      <c r="AB6" s="570" t="str">
        <f t="shared" si="2"/>
        <v/>
      </c>
      <c r="AC6" s="578" t="str">
        <f t="shared" si="2"/>
        <v/>
      </c>
      <c r="AD6" s="570" t="str">
        <f t="shared" si="2"/>
        <v/>
      </c>
      <c r="AE6" s="578" t="str">
        <f t="shared" si="2"/>
        <v/>
      </c>
      <c r="AF6" s="570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78" t="str">
        <f t="shared" si="0"/>
        <v/>
      </c>
      <c r="H7" s="570" t="str">
        <f t="shared" si="0"/>
        <v/>
      </c>
      <c r="I7" s="578" t="str">
        <f t="shared" si="0"/>
        <v/>
      </c>
      <c r="J7" s="570" t="str">
        <f t="shared" si="0"/>
        <v/>
      </c>
      <c r="K7" s="578" t="str">
        <f t="shared" si="0"/>
        <v/>
      </c>
      <c r="L7" s="570" t="str">
        <f t="shared" si="0"/>
        <v/>
      </c>
      <c r="M7" s="578" t="str">
        <f t="shared" si="0"/>
        <v/>
      </c>
      <c r="N7" s="570" t="str">
        <f t="shared" si="0"/>
        <v/>
      </c>
      <c r="O7" s="578" t="str">
        <f t="shared" si="0"/>
        <v/>
      </c>
      <c r="P7" s="570" t="str">
        <f t="shared" si="0"/>
        <v/>
      </c>
      <c r="Q7" s="578" t="str">
        <f t="shared" si="1"/>
        <v/>
      </c>
      <c r="R7" s="570" t="str">
        <f t="shared" si="1"/>
        <v/>
      </c>
      <c r="S7" s="578" t="str">
        <f t="shared" si="1"/>
        <v/>
      </c>
      <c r="T7" s="570" t="str">
        <f t="shared" si="1"/>
        <v/>
      </c>
      <c r="U7" s="578" t="str">
        <f t="shared" si="1"/>
        <v/>
      </c>
      <c r="V7" s="570" t="str">
        <f t="shared" si="1"/>
        <v/>
      </c>
      <c r="W7" s="578" t="str">
        <f t="shared" si="1"/>
        <v/>
      </c>
      <c r="X7" s="570" t="str">
        <f t="shared" si="1"/>
        <v/>
      </c>
      <c r="Y7" s="578" t="str">
        <f t="shared" si="1"/>
        <v/>
      </c>
      <c r="Z7" s="570" t="str">
        <f t="shared" si="1"/>
        <v/>
      </c>
      <c r="AA7" s="578" t="str">
        <f t="shared" si="2"/>
        <v/>
      </c>
      <c r="AB7" s="570" t="str">
        <f t="shared" si="2"/>
        <v/>
      </c>
      <c r="AC7" s="578" t="str">
        <f t="shared" si="2"/>
        <v/>
      </c>
      <c r="AD7" s="570" t="str">
        <f t="shared" si="2"/>
        <v/>
      </c>
      <c r="AE7" s="578" t="str">
        <f t="shared" si="2"/>
        <v/>
      </c>
      <c r="AF7" s="570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78" t="str">
        <f t="shared" si="0"/>
        <v/>
      </c>
      <c r="H8" s="570" t="str">
        <f t="shared" si="0"/>
        <v/>
      </c>
      <c r="I8" s="578" t="str">
        <f t="shared" si="0"/>
        <v/>
      </c>
      <c r="J8" s="570" t="str">
        <f t="shared" si="0"/>
        <v/>
      </c>
      <c r="K8" s="578" t="str">
        <f t="shared" si="0"/>
        <v/>
      </c>
      <c r="L8" s="570" t="str">
        <f t="shared" si="0"/>
        <v/>
      </c>
      <c r="M8" s="578" t="str">
        <f t="shared" si="0"/>
        <v/>
      </c>
      <c r="N8" s="570" t="str">
        <f t="shared" si="0"/>
        <v/>
      </c>
      <c r="O8" s="578" t="str">
        <f t="shared" si="0"/>
        <v/>
      </c>
      <c r="P8" s="570" t="str">
        <f t="shared" si="0"/>
        <v/>
      </c>
      <c r="Q8" s="578" t="str">
        <f t="shared" si="1"/>
        <v/>
      </c>
      <c r="R8" s="570" t="str">
        <f t="shared" si="1"/>
        <v/>
      </c>
      <c r="S8" s="578" t="str">
        <f t="shared" si="1"/>
        <v/>
      </c>
      <c r="T8" s="570" t="str">
        <f t="shared" si="1"/>
        <v/>
      </c>
      <c r="U8" s="578" t="str">
        <f t="shared" si="1"/>
        <v/>
      </c>
      <c r="V8" s="570" t="str">
        <f t="shared" si="1"/>
        <v/>
      </c>
      <c r="W8" s="578" t="str">
        <f t="shared" si="1"/>
        <v/>
      </c>
      <c r="X8" s="570" t="str">
        <f t="shared" si="1"/>
        <v/>
      </c>
      <c r="Y8" s="578" t="str">
        <f t="shared" si="1"/>
        <v/>
      </c>
      <c r="Z8" s="570" t="str">
        <f t="shared" si="1"/>
        <v/>
      </c>
      <c r="AA8" s="578" t="str">
        <f t="shared" si="2"/>
        <v/>
      </c>
      <c r="AB8" s="570" t="str">
        <f t="shared" si="2"/>
        <v/>
      </c>
      <c r="AC8" s="578" t="str">
        <f t="shared" si="2"/>
        <v/>
      </c>
      <c r="AD8" s="570" t="str">
        <f t="shared" si="2"/>
        <v/>
      </c>
      <c r="AE8" s="578" t="str">
        <f t="shared" si="2"/>
        <v/>
      </c>
      <c r="AF8" s="570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78" t="str">
        <f t="shared" si="0"/>
        <v/>
      </c>
      <c r="H9" s="570" t="str">
        <f t="shared" si="0"/>
        <v/>
      </c>
      <c r="I9" s="578" t="str">
        <f t="shared" si="0"/>
        <v/>
      </c>
      <c r="J9" s="570" t="str">
        <f t="shared" si="0"/>
        <v/>
      </c>
      <c r="K9" s="578" t="str">
        <f t="shared" si="0"/>
        <v/>
      </c>
      <c r="L9" s="570" t="str">
        <f t="shared" si="0"/>
        <v/>
      </c>
      <c r="M9" s="578" t="str">
        <f t="shared" si="0"/>
        <v/>
      </c>
      <c r="N9" s="570" t="str">
        <f t="shared" si="0"/>
        <v/>
      </c>
      <c r="O9" s="578" t="str">
        <f t="shared" si="0"/>
        <v/>
      </c>
      <c r="P9" s="570" t="str">
        <f t="shared" si="0"/>
        <v/>
      </c>
      <c r="Q9" s="578" t="str">
        <f t="shared" si="1"/>
        <v/>
      </c>
      <c r="R9" s="570" t="str">
        <f t="shared" si="1"/>
        <v/>
      </c>
      <c r="S9" s="578" t="str">
        <f t="shared" si="1"/>
        <v/>
      </c>
      <c r="T9" s="570" t="str">
        <f t="shared" si="1"/>
        <v/>
      </c>
      <c r="U9" s="578" t="str">
        <f t="shared" si="1"/>
        <v/>
      </c>
      <c r="V9" s="570" t="str">
        <f t="shared" si="1"/>
        <v/>
      </c>
      <c r="W9" s="578" t="str">
        <f t="shared" si="1"/>
        <v/>
      </c>
      <c r="X9" s="570" t="str">
        <f t="shared" si="1"/>
        <v/>
      </c>
      <c r="Y9" s="578" t="str">
        <f t="shared" si="1"/>
        <v/>
      </c>
      <c r="Z9" s="570" t="str">
        <f t="shared" si="1"/>
        <v/>
      </c>
      <c r="AA9" s="578" t="str">
        <f t="shared" si="2"/>
        <v/>
      </c>
      <c r="AB9" s="570" t="str">
        <f t="shared" si="2"/>
        <v/>
      </c>
      <c r="AC9" s="578" t="str">
        <f t="shared" si="2"/>
        <v/>
      </c>
      <c r="AD9" s="570" t="str">
        <f t="shared" si="2"/>
        <v/>
      </c>
      <c r="AE9" s="578" t="str">
        <f t="shared" si="2"/>
        <v/>
      </c>
      <c r="AF9" s="570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78" t="str">
        <f t="shared" si="0"/>
        <v/>
      </c>
      <c r="H10" s="570" t="str">
        <f t="shared" si="0"/>
        <v/>
      </c>
      <c r="I10" s="578" t="str">
        <f t="shared" si="0"/>
        <v/>
      </c>
      <c r="J10" s="570" t="str">
        <f t="shared" si="0"/>
        <v/>
      </c>
      <c r="K10" s="578" t="str">
        <f t="shared" si="0"/>
        <v/>
      </c>
      <c r="L10" s="570" t="str">
        <f t="shared" si="0"/>
        <v/>
      </c>
      <c r="M10" s="578" t="str">
        <f t="shared" si="0"/>
        <v/>
      </c>
      <c r="N10" s="570" t="str">
        <f t="shared" si="0"/>
        <v/>
      </c>
      <c r="O10" s="578" t="str">
        <f t="shared" si="0"/>
        <v/>
      </c>
      <c r="P10" s="570" t="str">
        <f t="shared" si="0"/>
        <v/>
      </c>
      <c r="Q10" s="578" t="str">
        <f t="shared" si="1"/>
        <v/>
      </c>
      <c r="R10" s="570" t="str">
        <f t="shared" si="1"/>
        <v/>
      </c>
      <c r="S10" s="578" t="str">
        <f t="shared" si="1"/>
        <v/>
      </c>
      <c r="T10" s="570" t="str">
        <f t="shared" si="1"/>
        <v/>
      </c>
      <c r="U10" s="578" t="str">
        <f t="shared" si="1"/>
        <v/>
      </c>
      <c r="V10" s="570" t="str">
        <f t="shared" si="1"/>
        <v/>
      </c>
      <c r="W10" s="578" t="str">
        <f t="shared" si="1"/>
        <v/>
      </c>
      <c r="X10" s="570" t="str">
        <f t="shared" si="1"/>
        <v/>
      </c>
      <c r="Y10" s="578" t="str">
        <f t="shared" si="1"/>
        <v/>
      </c>
      <c r="Z10" s="570" t="str">
        <f t="shared" si="1"/>
        <v/>
      </c>
      <c r="AA10" s="578" t="str">
        <f t="shared" si="2"/>
        <v/>
      </c>
      <c r="AB10" s="570" t="str">
        <f t="shared" si="2"/>
        <v/>
      </c>
      <c r="AC10" s="578" t="str">
        <f t="shared" si="2"/>
        <v/>
      </c>
      <c r="AD10" s="570" t="str">
        <f t="shared" si="2"/>
        <v/>
      </c>
      <c r="AE10" s="578" t="str">
        <f t="shared" si="2"/>
        <v/>
      </c>
      <c r="AF10" s="570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78" t="str">
        <f t="shared" si="0"/>
        <v/>
      </c>
      <c r="H11" s="570" t="str">
        <f t="shared" si="0"/>
        <v/>
      </c>
      <c r="I11" s="578" t="str">
        <f t="shared" si="0"/>
        <v/>
      </c>
      <c r="J11" s="570" t="str">
        <f t="shared" si="0"/>
        <v/>
      </c>
      <c r="K11" s="578" t="str">
        <f t="shared" si="0"/>
        <v/>
      </c>
      <c r="L11" s="570" t="str">
        <f t="shared" si="0"/>
        <v/>
      </c>
      <c r="M11" s="578" t="str">
        <f t="shared" si="0"/>
        <v/>
      </c>
      <c r="N11" s="570" t="str">
        <f t="shared" si="0"/>
        <v/>
      </c>
      <c r="O11" s="578" t="str">
        <f t="shared" si="0"/>
        <v/>
      </c>
      <c r="P11" s="570" t="str">
        <f t="shared" si="0"/>
        <v/>
      </c>
      <c r="Q11" s="578" t="str">
        <f t="shared" si="1"/>
        <v/>
      </c>
      <c r="R11" s="570" t="str">
        <f t="shared" si="1"/>
        <v/>
      </c>
      <c r="S11" s="578" t="str">
        <f t="shared" si="1"/>
        <v/>
      </c>
      <c r="T11" s="570" t="str">
        <f t="shared" si="1"/>
        <v/>
      </c>
      <c r="U11" s="578" t="str">
        <f t="shared" si="1"/>
        <v/>
      </c>
      <c r="V11" s="570" t="str">
        <f t="shared" si="1"/>
        <v/>
      </c>
      <c r="W11" s="578" t="str">
        <f t="shared" si="1"/>
        <v/>
      </c>
      <c r="X11" s="570" t="str">
        <f t="shared" si="1"/>
        <v/>
      </c>
      <c r="Y11" s="578" t="str">
        <f t="shared" si="1"/>
        <v/>
      </c>
      <c r="Z11" s="570" t="str">
        <f t="shared" si="1"/>
        <v/>
      </c>
      <c r="AA11" s="578" t="str">
        <f t="shared" si="2"/>
        <v/>
      </c>
      <c r="AB11" s="570" t="str">
        <f t="shared" si="2"/>
        <v/>
      </c>
      <c r="AC11" s="578" t="str">
        <f t="shared" si="2"/>
        <v/>
      </c>
      <c r="AD11" s="570" t="str">
        <f t="shared" si="2"/>
        <v/>
      </c>
      <c r="AE11" s="578" t="str">
        <f t="shared" si="2"/>
        <v/>
      </c>
      <c r="AF11" s="570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78" t="str">
        <f t="shared" si="0"/>
        <v/>
      </c>
      <c r="H12" s="570" t="str">
        <f t="shared" si="0"/>
        <v/>
      </c>
      <c r="I12" s="578" t="str">
        <f t="shared" si="0"/>
        <v/>
      </c>
      <c r="J12" s="570" t="str">
        <f t="shared" si="0"/>
        <v/>
      </c>
      <c r="K12" s="578" t="str">
        <f t="shared" si="0"/>
        <v/>
      </c>
      <c r="L12" s="570" t="str">
        <f t="shared" si="0"/>
        <v/>
      </c>
      <c r="M12" s="578" t="str">
        <f t="shared" si="0"/>
        <v/>
      </c>
      <c r="N12" s="570" t="str">
        <f t="shared" si="0"/>
        <v/>
      </c>
      <c r="O12" s="578" t="str">
        <f t="shared" si="0"/>
        <v/>
      </c>
      <c r="P12" s="570" t="str">
        <f t="shared" si="0"/>
        <v/>
      </c>
      <c r="Q12" s="578" t="str">
        <f t="shared" si="1"/>
        <v/>
      </c>
      <c r="R12" s="570" t="str">
        <f t="shared" si="1"/>
        <v/>
      </c>
      <c r="S12" s="578" t="str">
        <f t="shared" si="1"/>
        <v/>
      </c>
      <c r="T12" s="570" t="str">
        <f t="shared" si="1"/>
        <v/>
      </c>
      <c r="U12" s="578" t="str">
        <f t="shared" si="1"/>
        <v/>
      </c>
      <c r="V12" s="570" t="str">
        <f t="shared" si="1"/>
        <v/>
      </c>
      <c r="W12" s="578" t="str">
        <f t="shared" si="1"/>
        <v/>
      </c>
      <c r="X12" s="570" t="str">
        <f t="shared" si="1"/>
        <v/>
      </c>
      <c r="Y12" s="578" t="str">
        <f t="shared" si="1"/>
        <v/>
      </c>
      <c r="Z12" s="570" t="str">
        <f t="shared" si="1"/>
        <v/>
      </c>
      <c r="AA12" s="578" t="str">
        <f t="shared" si="2"/>
        <v/>
      </c>
      <c r="AB12" s="570" t="str">
        <f t="shared" si="2"/>
        <v/>
      </c>
      <c r="AC12" s="578" t="str">
        <f t="shared" si="2"/>
        <v/>
      </c>
      <c r="AD12" s="570" t="str">
        <f t="shared" si="2"/>
        <v/>
      </c>
      <c r="AE12" s="578" t="str">
        <f t="shared" si="2"/>
        <v/>
      </c>
      <c r="AF12" s="570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78" t="str">
        <f t="shared" si="0"/>
        <v/>
      </c>
      <c r="H13" s="570" t="str">
        <f t="shared" si="0"/>
        <v/>
      </c>
      <c r="I13" s="578" t="str">
        <f t="shared" si="0"/>
        <v/>
      </c>
      <c r="J13" s="570" t="str">
        <f t="shared" si="0"/>
        <v/>
      </c>
      <c r="K13" s="578" t="str">
        <f t="shared" si="0"/>
        <v/>
      </c>
      <c r="L13" s="570" t="str">
        <f t="shared" si="0"/>
        <v/>
      </c>
      <c r="M13" s="578" t="str">
        <f t="shared" si="0"/>
        <v/>
      </c>
      <c r="N13" s="570" t="str">
        <f t="shared" si="0"/>
        <v/>
      </c>
      <c r="O13" s="578" t="str">
        <f t="shared" si="0"/>
        <v/>
      </c>
      <c r="P13" s="570" t="str">
        <f t="shared" si="0"/>
        <v/>
      </c>
      <c r="Q13" s="578" t="str">
        <f t="shared" si="1"/>
        <v/>
      </c>
      <c r="R13" s="570" t="str">
        <f t="shared" si="1"/>
        <v/>
      </c>
      <c r="S13" s="578" t="str">
        <f t="shared" si="1"/>
        <v/>
      </c>
      <c r="T13" s="570" t="str">
        <f t="shared" si="1"/>
        <v/>
      </c>
      <c r="U13" s="578" t="str">
        <f t="shared" si="1"/>
        <v/>
      </c>
      <c r="V13" s="570" t="str">
        <f t="shared" si="1"/>
        <v/>
      </c>
      <c r="W13" s="578" t="str">
        <f t="shared" si="1"/>
        <v/>
      </c>
      <c r="X13" s="570" t="str">
        <f t="shared" si="1"/>
        <v/>
      </c>
      <c r="Y13" s="578" t="str">
        <f t="shared" si="1"/>
        <v/>
      </c>
      <c r="Z13" s="570" t="str">
        <f t="shared" si="1"/>
        <v/>
      </c>
      <c r="AA13" s="578" t="str">
        <f t="shared" si="2"/>
        <v/>
      </c>
      <c r="AB13" s="570" t="str">
        <f t="shared" si="2"/>
        <v/>
      </c>
      <c r="AC13" s="578" t="str">
        <f t="shared" si="2"/>
        <v/>
      </c>
      <c r="AD13" s="570" t="str">
        <f t="shared" si="2"/>
        <v/>
      </c>
      <c r="AE13" s="578" t="str">
        <f t="shared" si="2"/>
        <v/>
      </c>
      <c r="AF13" s="570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78" t="str">
        <f t="shared" ref="G14:P24" si="3">IF($C14="","",IF(VLOOKUP($C14,Tbl_Glob_MedFreq,G$1,FALSE)=0,"",VLOOKUP($C14,Tbl_Glob_MedFreq,G$1,FALSE)))</f>
        <v/>
      </c>
      <c r="H14" s="570" t="str">
        <f t="shared" si="3"/>
        <v/>
      </c>
      <c r="I14" s="578" t="str">
        <f t="shared" si="3"/>
        <v/>
      </c>
      <c r="J14" s="570" t="str">
        <f t="shared" si="3"/>
        <v/>
      </c>
      <c r="K14" s="578" t="str">
        <f t="shared" si="3"/>
        <v/>
      </c>
      <c r="L14" s="570" t="str">
        <f t="shared" si="3"/>
        <v/>
      </c>
      <c r="M14" s="578" t="str">
        <f t="shared" si="3"/>
        <v/>
      </c>
      <c r="N14" s="570" t="str">
        <f t="shared" si="3"/>
        <v/>
      </c>
      <c r="O14" s="578" t="str">
        <f t="shared" si="3"/>
        <v/>
      </c>
      <c r="P14" s="570" t="str">
        <f t="shared" si="3"/>
        <v/>
      </c>
      <c r="Q14" s="578" t="str">
        <f t="shared" ref="Q14:Z24" si="4">IF($C14="","",IF(VLOOKUP($C14,Tbl_Glob_MedFreq,Q$1,FALSE)=0,"",VLOOKUP($C14,Tbl_Glob_MedFreq,Q$1,FALSE)))</f>
        <v/>
      </c>
      <c r="R14" s="570" t="str">
        <f t="shared" si="4"/>
        <v/>
      </c>
      <c r="S14" s="578" t="str">
        <f t="shared" si="4"/>
        <v/>
      </c>
      <c r="T14" s="570" t="str">
        <f t="shared" si="4"/>
        <v/>
      </c>
      <c r="U14" s="578" t="str">
        <f t="shared" si="4"/>
        <v/>
      </c>
      <c r="V14" s="570" t="str">
        <f t="shared" si="4"/>
        <v/>
      </c>
      <c r="W14" s="578" t="str">
        <f t="shared" si="4"/>
        <v/>
      </c>
      <c r="X14" s="570" t="str">
        <f t="shared" si="4"/>
        <v/>
      </c>
      <c r="Y14" s="578" t="str">
        <f t="shared" si="4"/>
        <v/>
      </c>
      <c r="Z14" s="570" t="str">
        <f t="shared" si="4"/>
        <v/>
      </c>
      <c r="AA14" s="578" t="str">
        <f t="shared" ref="AA14:AF24" si="5">IF($C14="","",IF(VLOOKUP($C14,Tbl_Glob_MedFreq,AA$1,FALSE)=0,"",VLOOKUP($C14,Tbl_Glob_MedFreq,AA$1,FALSE)))</f>
        <v/>
      </c>
      <c r="AB14" s="570" t="str">
        <f t="shared" si="5"/>
        <v/>
      </c>
      <c r="AC14" s="578" t="str">
        <f t="shared" si="5"/>
        <v/>
      </c>
      <c r="AD14" s="570" t="str">
        <f t="shared" si="5"/>
        <v/>
      </c>
      <c r="AE14" s="578" t="str">
        <f t="shared" si="5"/>
        <v/>
      </c>
      <c r="AF14" s="570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78" t="str">
        <f t="shared" si="3"/>
        <v/>
      </c>
      <c r="H15" s="570" t="str">
        <f t="shared" si="3"/>
        <v/>
      </c>
      <c r="I15" s="578" t="str">
        <f t="shared" si="3"/>
        <v/>
      </c>
      <c r="J15" s="570" t="str">
        <f t="shared" si="3"/>
        <v/>
      </c>
      <c r="K15" s="578" t="str">
        <f t="shared" si="3"/>
        <v/>
      </c>
      <c r="L15" s="570" t="str">
        <f t="shared" si="3"/>
        <v/>
      </c>
      <c r="M15" s="578" t="str">
        <f t="shared" si="3"/>
        <v/>
      </c>
      <c r="N15" s="570" t="str">
        <f t="shared" si="3"/>
        <v/>
      </c>
      <c r="O15" s="578" t="str">
        <f t="shared" si="3"/>
        <v/>
      </c>
      <c r="P15" s="570" t="str">
        <f t="shared" si="3"/>
        <v/>
      </c>
      <c r="Q15" s="578" t="str">
        <f t="shared" si="4"/>
        <v/>
      </c>
      <c r="R15" s="570" t="str">
        <f t="shared" si="4"/>
        <v/>
      </c>
      <c r="S15" s="578" t="str">
        <f t="shared" si="4"/>
        <v/>
      </c>
      <c r="T15" s="570" t="str">
        <f t="shared" si="4"/>
        <v/>
      </c>
      <c r="U15" s="578" t="str">
        <f t="shared" si="4"/>
        <v/>
      </c>
      <c r="V15" s="570" t="str">
        <f t="shared" si="4"/>
        <v/>
      </c>
      <c r="W15" s="578" t="str">
        <f t="shared" si="4"/>
        <v/>
      </c>
      <c r="X15" s="570" t="str">
        <f t="shared" si="4"/>
        <v/>
      </c>
      <c r="Y15" s="578" t="str">
        <f t="shared" si="4"/>
        <v/>
      </c>
      <c r="Z15" s="570" t="str">
        <f t="shared" si="4"/>
        <v/>
      </c>
      <c r="AA15" s="578" t="str">
        <f t="shared" si="5"/>
        <v/>
      </c>
      <c r="AB15" s="570" t="str">
        <f t="shared" si="5"/>
        <v/>
      </c>
      <c r="AC15" s="578" t="str">
        <f t="shared" si="5"/>
        <v/>
      </c>
      <c r="AD15" s="570" t="str">
        <f t="shared" si="5"/>
        <v/>
      </c>
      <c r="AE15" s="578" t="str">
        <f t="shared" si="5"/>
        <v/>
      </c>
      <c r="AF15" s="570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78" t="str">
        <f t="shared" si="3"/>
        <v/>
      </c>
      <c r="H16" s="570" t="str">
        <f t="shared" si="3"/>
        <v/>
      </c>
      <c r="I16" s="578" t="str">
        <f t="shared" si="3"/>
        <v/>
      </c>
      <c r="J16" s="570" t="str">
        <f t="shared" si="3"/>
        <v/>
      </c>
      <c r="K16" s="578" t="str">
        <f t="shared" si="3"/>
        <v/>
      </c>
      <c r="L16" s="570" t="str">
        <f t="shared" si="3"/>
        <v/>
      </c>
      <c r="M16" s="578" t="str">
        <f t="shared" si="3"/>
        <v/>
      </c>
      <c r="N16" s="570" t="str">
        <f t="shared" si="3"/>
        <v/>
      </c>
      <c r="O16" s="578" t="str">
        <f t="shared" si="3"/>
        <v/>
      </c>
      <c r="P16" s="570" t="str">
        <f t="shared" si="3"/>
        <v/>
      </c>
      <c r="Q16" s="578" t="str">
        <f t="shared" si="4"/>
        <v/>
      </c>
      <c r="R16" s="570" t="str">
        <f t="shared" si="4"/>
        <v/>
      </c>
      <c r="S16" s="578" t="str">
        <f t="shared" si="4"/>
        <v/>
      </c>
      <c r="T16" s="570" t="str">
        <f t="shared" si="4"/>
        <v/>
      </c>
      <c r="U16" s="578" t="str">
        <f t="shared" si="4"/>
        <v/>
      </c>
      <c r="V16" s="570" t="str">
        <f t="shared" si="4"/>
        <v/>
      </c>
      <c r="W16" s="578" t="str">
        <f t="shared" si="4"/>
        <v/>
      </c>
      <c r="X16" s="570" t="str">
        <f t="shared" si="4"/>
        <v/>
      </c>
      <c r="Y16" s="578" t="str">
        <f t="shared" si="4"/>
        <v/>
      </c>
      <c r="Z16" s="570" t="str">
        <f t="shared" si="4"/>
        <v/>
      </c>
      <c r="AA16" s="578" t="str">
        <f t="shared" si="5"/>
        <v/>
      </c>
      <c r="AB16" s="570" t="str">
        <f t="shared" si="5"/>
        <v/>
      </c>
      <c r="AC16" s="578" t="str">
        <f t="shared" si="5"/>
        <v/>
      </c>
      <c r="AD16" s="570" t="str">
        <f t="shared" si="5"/>
        <v/>
      </c>
      <c r="AE16" s="578" t="str">
        <f t="shared" si="5"/>
        <v/>
      </c>
      <c r="AF16" s="570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78" t="str">
        <f t="shared" si="3"/>
        <v/>
      </c>
      <c r="H17" s="570" t="str">
        <f t="shared" si="3"/>
        <v/>
      </c>
      <c r="I17" s="578" t="str">
        <f t="shared" si="3"/>
        <v/>
      </c>
      <c r="J17" s="570" t="str">
        <f t="shared" si="3"/>
        <v/>
      </c>
      <c r="K17" s="578" t="str">
        <f t="shared" si="3"/>
        <v/>
      </c>
      <c r="L17" s="570" t="str">
        <f t="shared" si="3"/>
        <v/>
      </c>
      <c r="M17" s="578" t="str">
        <f t="shared" si="3"/>
        <v/>
      </c>
      <c r="N17" s="570" t="str">
        <f t="shared" si="3"/>
        <v/>
      </c>
      <c r="O17" s="578" t="str">
        <f t="shared" si="3"/>
        <v/>
      </c>
      <c r="P17" s="570" t="str">
        <f t="shared" si="3"/>
        <v/>
      </c>
      <c r="Q17" s="578" t="str">
        <f t="shared" si="4"/>
        <v/>
      </c>
      <c r="R17" s="570" t="str">
        <f t="shared" si="4"/>
        <v/>
      </c>
      <c r="S17" s="578" t="str">
        <f t="shared" si="4"/>
        <v/>
      </c>
      <c r="T17" s="570" t="str">
        <f t="shared" si="4"/>
        <v/>
      </c>
      <c r="U17" s="578" t="str">
        <f t="shared" si="4"/>
        <v/>
      </c>
      <c r="V17" s="570" t="str">
        <f t="shared" si="4"/>
        <v/>
      </c>
      <c r="W17" s="578" t="str">
        <f t="shared" si="4"/>
        <v/>
      </c>
      <c r="X17" s="570" t="str">
        <f t="shared" si="4"/>
        <v/>
      </c>
      <c r="Y17" s="578" t="str">
        <f t="shared" si="4"/>
        <v/>
      </c>
      <c r="Z17" s="570" t="str">
        <f t="shared" si="4"/>
        <v/>
      </c>
      <c r="AA17" s="578" t="str">
        <f t="shared" si="5"/>
        <v/>
      </c>
      <c r="AB17" s="570" t="str">
        <f t="shared" si="5"/>
        <v/>
      </c>
      <c r="AC17" s="578" t="str">
        <f t="shared" si="5"/>
        <v/>
      </c>
      <c r="AD17" s="570" t="str">
        <f t="shared" si="5"/>
        <v/>
      </c>
      <c r="AE17" s="578" t="str">
        <f t="shared" si="5"/>
        <v/>
      </c>
      <c r="AF17" s="570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78" t="str">
        <f t="shared" si="3"/>
        <v/>
      </c>
      <c r="H18" s="570" t="str">
        <f t="shared" si="3"/>
        <v/>
      </c>
      <c r="I18" s="578" t="str">
        <f t="shared" si="3"/>
        <v/>
      </c>
      <c r="J18" s="570" t="str">
        <f t="shared" si="3"/>
        <v/>
      </c>
      <c r="K18" s="578" t="str">
        <f t="shared" si="3"/>
        <v/>
      </c>
      <c r="L18" s="570" t="str">
        <f t="shared" si="3"/>
        <v/>
      </c>
      <c r="M18" s="578" t="str">
        <f t="shared" si="3"/>
        <v/>
      </c>
      <c r="N18" s="570" t="str">
        <f t="shared" si="3"/>
        <v/>
      </c>
      <c r="O18" s="578" t="str">
        <f t="shared" si="3"/>
        <v/>
      </c>
      <c r="P18" s="570" t="str">
        <f t="shared" si="3"/>
        <v/>
      </c>
      <c r="Q18" s="578" t="str">
        <f t="shared" si="4"/>
        <v/>
      </c>
      <c r="R18" s="570" t="str">
        <f t="shared" si="4"/>
        <v/>
      </c>
      <c r="S18" s="578" t="str">
        <f t="shared" si="4"/>
        <v/>
      </c>
      <c r="T18" s="570" t="str">
        <f t="shared" si="4"/>
        <v/>
      </c>
      <c r="U18" s="578" t="str">
        <f t="shared" si="4"/>
        <v/>
      </c>
      <c r="V18" s="570" t="str">
        <f t="shared" si="4"/>
        <v/>
      </c>
      <c r="W18" s="578" t="str">
        <f t="shared" si="4"/>
        <v/>
      </c>
      <c r="X18" s="570" t="str">
        <f t="shared" si="4"/>
        <v/>
      </c>
      <c r="Y18" s="578" t="str">
        <f t="shared" si="4"/>
        <v/>
      </c>
      <c r="Z18" s="570" t="str">
        <f t="shared" si="4"/>
        <v/>
      </c>
      <c r="AA18" s="578" t="str">
        <f t="shared" si="5"/>
        <v/>
      </c>
      <c r="AB18" s="570" t="str">
        <f t="shared" si="5"/>
        <v/>
      </c>
      <c r="AC18" s="578" t="str">
        <f t="shared" si="5"/>
        <v/>
      </c>
      <c r="AD18" s="570" t="str">
        <f t="shared" si="5"/>
        <v/>
      </c>
      <c r="AE18" s="578" t="str">
        <f t="shared" si="5"/>
        <v/>
      </c>
      <c r="AF18" s="570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78" t="str">
        <f t="shared" si="3"/>
        <v/>
      </c>
      <c r="H19" s="570" t="str">
        <f t="shared" si="3"/>
        <v/>
      </c>
      <c r="I19" s="578" t="str">
        <f t="shared" si="3"/>
        <v/>
      </c>
      <c r="J19" s="570" t="str">
        <f t="shared" si="3"/>
        <v/>
      </c>
      <c r="K19" s="578" t="str">
        <f t="shared" si="3"/>
        <v/>
      </c>
      <c r="L19" s="570" t="str">
        <f t="shared" si="3"/>
        <v/>
      </c>
      <c r="M19" s="578" t="str">
        <f t="shared" si="3"/>
        <v/>
      </c>
      <c r="N19" s="570" t="str">
        <f t="shared" si="3"/>
        <v/>
      </c>
      <c r="O19" s="578" t="str">
        <f t="shared" si="3"/>
        <v/>
      </c>
      <c r="P19" s="570" t="str">
        <f t="shared" si="3"/>
        <v/>
      </c>
      <c r="Q19" s="578" t="str">
        <f t="shared" si="4"/>
        <v/>
      </c>
      <c r="R19" s="570" t="str">
        <f t="shared" si="4"/>
        <v/>
      </c>
      <c r="S19" s="578" t="str">
        <f t="shared" si="4"/>
        <v/>
      </c>
      <c r="T19" s="570" t="str">
        <f t="shared" si="4"/>
        <v/>
      </c>
      <c r="U19" s="578" t="str">
        <f t="shared" si="4"/>
        <v/>
      </c>
      <c r="V19" s="570" t="str">
        <f t="shared" si="4"/>
        <v/>
      </c>
      <c r="W19" s="578" t="str">
        <f t="shared" si="4"/>
        <v/>
      </c>
      <c r="X19" s="570" t="str">
        <f t="shared" si="4"/>
        <v/>
      </c>
      <c r="Y19" s="578" t="str">
        <f t="shared" si="4"/>
        <v/>
      </c>
      <c r="Z19" s="570" t="str">
        <f t="shared" si="4"/>
        <v/>
      </c>
      <c r="AA19" s="578" t="str">
        <f t="shared" si="5"/>
        <v/>
      </c>
      <c r="AB19" s="570" t="str">
        <f t="shared" si="5"/>
        <v/>
      </c>
      <c r="AC19" s="578" t="str">
        <f t="shared" si="5"/>
        <v/>
      </c>
      <c r="AD19" s="570" t="str">
        <f t="shared" si="5"/>
        <v/>
      </c>
      <c r="AE19" s="578" t="str">
        <f t="shared" si="5"/>
        <v/>
      </c>
      <c r="AF19" s="570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78" t="str">
        <f t="shared" si="3"/>
        <v/>
      </c>
      <c r="H20" s="570" t="str">
        <f t="shared" si="3"/>
        <v/>
      </c>
      <c r="I20" s="578" t="str">
        <f t="shared" si="3"/>
        <v/>
      </c>
      <c r="J20" s="570" t="str">
        <f t="shared" si="3"/>
        <v/>
      </c>
      <c r="K20" s="578" t="str">
        <f t="shared" si="3"/>
        <v/>
      </c>
      <c r="L20" s="570" t="str">
        <f t="shared" si="3"/>
        <v/>
      </c>
      <c r="M20" s="578" t="str">
        <f t="shared" si="3"/>
        <v/>
      </c>
      <c r="N20" s="570" t="str">
        <f t="shared" si="3"/>
        <v/>
      </c>
      <c r="O20" s="578" t="str">
        <f t="shared" si="3"/>
        <v/>
      </c>
      <c r="P20" s="570" t="str">
        <f t="shared" si="3"/>
        <v/>
      </c>
      <c r="Q20" s="578" t="str">
        <f t="shared" si="4"/>
        <v/>
      </c>
      <c r="R20" s="570" t="str">
        <f t="shared" si="4"/>
        <v/>
      </c>
      <c r="S20" s="578" t="str">
        <f t="shared" si="4"/>
        <v/>
      </c>
      <c r="T20" s="570" t="str">
        <f t="shared" si="4"/>
        <v/>
      </c>
      <c r="U20" s="578" t="str">
        <f t="shared" si="4"/>
        <v/>
      </c>
      <c r="V20" s="570" t="str">
        <f t="shared" si="4"/>
        <v/>
      </c>
      <c r="W20" s="578" t="str">
        <f t="shared" si="4"/>
        <v/>
      </c>
      <c r="X20" s="570" t="str">
        <f t="shared" si="4"/>
        <v/>
      </c>
      <c r="Y20" s="578" t="str">
        <f t="shared" si="4"/>
        <v/>
      </c>
      <c r="Z20" s="570" t="str">
        <f t="shared" si="4"/>
        <v/>
      </c>
      <c r="AA20" s="578" t="str">
        <f t="shared" si="5"/>
        <v/>
      </c>
      <c r="AB20" s="570" t="str">
        <f t="shared" si="5"/>
        <v/>
      </c>
      <c r="AC20" s="578" t="str">
        <f t="shared" si="5"/>
        <v/>
      </c>
      <c r="AD20" s="570" t="str">
        <f t="shared" si="5"/>
        <v/>
      </c>
      <c r="AE20" s="578" t="str">
        <f t="shared" si="5"/>
        <v/>
      </c>
      <c r="AF20" s="570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78" t="str">
        <f t="shared" si="3"/>
        <v/>
      </c>
      <c r="H21" s="570" t="str">
        <f t="shared" si="3"/>
        <v/>
      </c>
      <c r="I21" s="578" t="str">
        <f t="shared" si="3"/>
        <v/>
      </c>
      <c r="J21" s="570" t="str">
        <f t="shared" si="3"/>
        <v/>
      </c>
      <c r="K21" s="578" t="str">
        <f t="shared" si="3"/>
        <v/>
      </c>
      <c r="L21" s="570" t="str">
        <f t="shared" si="3"/>
        <v/>
      </c>
      <c r="M21" s="578" t="str">
        <f t="shared" si="3"/>
        <v/>
      </c>
      <c r="N21" s="570" t="str">
        <f t="shared" si="3"/>
        <v/>
      </c>
      <c r="O21" s="578" t="str">
        <f t="shared" si="3"/>
        <v/>
      </c>
      <c r="P21" s="570" t="str">
        <f t="shared" si="3"/>
        <v/>
      </c>
      <c r="Q21" s="578" t="str">
        <f t="shared" si="4"/>
        <v/>
      </c>
      <c r="R21" s="570" t="str">
        <f t="shared" si="4"/>
        <v/>
      </c>
      <c r="S21" s="578" t="str">
        <f t="shared" si="4"/>
        <v/>
      </c>
      <c r="T21" s="570" t="str">
        <f t="shared" si="4"/>
        <v/>
      </c>
      <c r="U21" s="578" t="str">
        <f t="shared" si="4"/>
        <v/>
      </c>
      <c r="V21" s="570" t="str">
        <f t="shared" si="4"/>
        <v/>
      </c>
      <c r="W21" s="578" t="str">
        <f t="shared" si="4"/>
        <v/>
      </c>
      <c r="X21" s="570" t="str">
        <f t="shared" si="4"/>
        <v/>
      </c>
      <c r="Y21" s="578" t="str">
        <f t="shared" si="4"/>
        <v/>
      </c>
      <c r="Z21" s="570" t="str">
        <f t="shared" si="4"/>
        <v/>
      </c>
      <c r="AA21" s="578" t="str">
        <f t="shared" si="5"/>
        <v/>
      </c>
      <c r="AB21" s="570" t="str">
        <f t="shared" si="5"/>
        <v/>
      </c>
      <c r="AC21" s="578" t="str">
        <f t="shared" si="5"/>
        <v/>
      </c>
      <c r="AD21" s="570" t="str">
        <f t="shared" si="5"/>
        <v/>
      </c>
      <c r="AE21" s="578" t="str">
        <f t="shared" si="5"/>
        <v/>
      </c>
      <c r="AF21" s="570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78" t="str">
        <f t="shared" si="3"/>
        <v/>
      </c>
      <c r="H22" s="570" t="str">
        <f t="shared" si="3"/>
        <v/>
      </c>
      <c r="I22" s="578" t="str">
        <f t="shared" si="3"/>
        <v/>
      </c>
      <c r="J22" s="570" t="str">
        <f t="shared" si="3"/>
        <v/>
      </c>
      <c r="K22" s="578" t="str">
        <f t="shared" si="3"/>
        <v/>
      </c>
      <c r="L22" s="570" t="str">
        <f t="shared" si="3"/>
        <v/>
      </c>
      <c r="M22" s="578" t="str">
        <f t="shared" si="3"/>
        <v/>
      </c>
      <c r="N22" s="570" t="str">
        <f t="shared" si="3"/>
        <v/>
      </c>
      <c r="O22" s="578" t="str">
        <f t="shared" si="3"/>
        <v/>
      </c>
      <c r="P22" s="570" t="str">
        <f t="shared" si="3"/>
        <v/>
      </c>
      <c r="Q22" s="578" t="str">
        <f t="shared" si="4"/>
        <v/>
      </c>
      <c r="R22" s="570" t="str">
        <f t="shared" si="4"/>
        <v/>
      </c>
      <c r="S22" s="578" t="str">
        <f t="shared" si="4"/>
        <v/>
      </c>
      <c r="T22" s="570" t="str">
        <f t="shared" si="4"/>
        <v/>
      </c>
      <c r="U22" s="578" t="str">
        <f t="shared" si="4"/>
        <v/>
      </c>
      <c r="V22" s="570" t="str">
        <f t="shared" si="4"/>
        <v/>
      </c>
      <c r="W22" s="578" t="str">
        <f t="shared" si="4"/>
        <v/>
      </c>
      <c r="X22" s="570" t="str">
        <f t="shared" si="4"/>
        <v/>
      </c>
      <c r="Y22" s="578" t="str">
        <f t="shared" si="4"/>
        <v/>
      </c>
      <c r="Z22" s="570" t="str">
        <f t="shared" si="4"/>
        <v/>
      </c>
      <c r="AA22" s="578" t="str">
        <f t="shared" si="5"/>
        <v/>
      </c>
      <c r="AB22" s="570" t="str">
        <f t="shared" si="5"/>
        <v/>
      </c>
      <c r="AC22" s="578" t="str">
        <f t="shared" si="5"/>
        <v/>
      </c>
      <c r="AD22" s="570" t="str">
        <f t="shared" si="5"/>
        <v/>
      </c>
      <c r="AE22" s="578" t="str">
        <f t="shared" si="5"/>
        <v/>
      </c>
      <c r="AF22" s="570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78" t="str">
        <f t="shared" si="3"/>
        <v/>
      </c>
      <c r="H23" s="570" t="str">
        <f t="shared" si="3"/>
        <v/>
      </c>
      <c r="I23" s="578" t="str">
        <f t="shared" si="3"/>
        <v/>
      </c>
      <c r="J23" s="570" t="str">
        <f t="shared" si="3"/>
        <v/>
      </c>
      <c r="K23" s="578" t="str">
        <f t="shared" si="3"/>
        <v/>
      </c>
      <c r="L23" s="570" t="str">
        <f t="shared" si="3"/>
        <v/>
      </c>
      <c r="M23" s="578" t="str">
        <f t="shared" si="3"/>
        <v/>
      </c>
      <c r="N23" s="570" t="str">
        <f t="shared" si="3"/>
        <v/>
      </c>
      <c r="O23" s="578" t="str">
        <f t="shared" si="3"/>
        <v/>
      </c>
      <c r="P23" s="570" t="str">
        <f t="shared" si="3"/>
        <v/>
      </c>
      <c r="Q23" s="578" t="str">
        <f t="shared" si="4"/>
        <v/>
      </c>
      <c r="R23" s="570" t="str">
        <f t="shared" si="4"/>
        <v/>
      </c>
      <c r="S23" s="578" t="str">
        <f t="shared" si="4"/>
        <v/>
      </c>
      <c r="T23" s="570" t="str">
        <f t="shared" si="4"/>
        <v/>
      </c>
      <c r="U23" s="578" t="str">
        <f t="shared" si="4"/>
        <v/>
      </c>
      <c r="V23" s="570" t="str">
        <f t="shared" si="4"/>
        <v/>
      </c>
      <c r="W23" s="578" t="str">
        <f t="shared" si="4"/>
        <v/>
      </c>
      <c r="X23" s="570" t="str">
        <f t="shared" si="4"/>
        <v/>
      </c>
      <c r="Y23" s="578" t="str">
        <f t="shared" si="4"/>
        <v/>
      </c>
      <c r="Z23" s="570" t="str">
        <f t="shared" si="4"/>
        <v/>
      </c>
      <c r="AA23" s="578" t="str">
        <f t="shared" si="5"/>
        <v/>
      </c>
      <c r="AB23" s="570" t="str">
        <f t="shared" si="5"/>
        <v/>
      </c>
      <c r="AC23" s="578" t="str">
        <f t="shared" si="5"/>
        <v/>
      </c>
      <c r="AD23" s="570" t="str">
        <f t="shared" si="5"/>
        <v/>
      </c>
      <c r="AE23" s="578" t="str">
        <f t="shared" si="5"/>
        <v/>
      </c>
      <c r="AF23" s="570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78" t="str">
        <f t="shared" si="3"/>
        <v/>
      </c>
      <c r="H24" s="570" t="str">
        <f t="shared" si="3"/>
        <v/>
      </c>
      <c r="I24" s="578" t="str">
        <f t="shared" si="3"/>
        <v/>
      </c>
      <c r="J24" s="570" t="str">
        <f t="shared" si="3"/>
        <v/>
      </c>
      <c r="K24" s="578" t="str">
        <f t="shared" si="3"/>
        <v/>
      </c>
      <c r="L24" s="570" t="str">
        <f t="shared" si="3"/>
        <v/>
      </c>
      <c r="M24" s="578" t="str">
        <f t="shared" si="3"/>
        <v/>
      </c>
      <c r="N24" s="570" t="str">
        <f t="shared" si="3"/>
        <v/>
      </c>
      <c r="O24" s="578" t="str">
        <f t="shared" si="3"/>
        <v/>
      </c>
      <c r="P24" s="570" t="str">
        <f t="shared" si="3"/>
        <v/>
      </c>
      <c r="Q24" s="578" t="str">
        <f t="shared" si="4"/>
        <v/>
      </c>
      <c r="R24" s="570" t="str">
        <f t="shared" si="4"/>
        <v/>
      </c>
      <c r="S24" s="578" t="str">
        <f t="shared" si="4"/>
        <v/>
      </c>
      <c r="T24" s="570" t="str">
        <f t="shared" si="4"/>
        <v/>
      </c>
      <c r="U24" s="578" t="str">
        <f t="shared" si="4"/>
        <v/>
      </c>
      <c r="V24" s="570" t="str">
        <f t="shared" si="4"/>
        <v/>
      </c>
      <c r="W24" s="578" t="str">
        <f t="shared" si="4"/>
        <v/>
      </c>
      <c r="X24" s="570" t="str">
        <f t="shared" si="4"/>
        <v/>
      </c>
      <c r="Y24" s="578" t="str">
        <f t="shared" si="4"/>
        <v/>
      </c>
      <c r="Z24" s="570" t="str">
        <f t="shared" si="4"/>
        <v/>
      </c>
      <c r="AA24" s="578" t="str">
        <f t="shared" si="5"/>
        <v/>
      </c>
      <c r="AB24" s="570" t="str">
        <f t="shared" si="5"/>
        <v/>
      </c>
      <c r="AC24" s="578" t="str">
        <f t="shared" si="5"/>
        <v/>
      </c>
      <c r="AD24" s="570" t="str">
        <f t="shared" si="5"/>
        <v/>
      </c>
      <c r="AE24" s="578" t="str">
        <f t="shared" si="5"/>
        <v/>
      </c>
      <c r="AF24" s="570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61">
        <f ca="1">TODAY()</f>
        <v>42999</v>
      </c>
      <c r="AB25" s="861"/>
      <c r="AC25" s="861"/>
      <c r="AD25" s="861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75">
        <v>10</v>
      </c>
      <c r="H26" s="575">
        <v>11</v>
      </c>
      <c r="I26" s="575">
        <v>12</v>
      </c>
      <c r="J26" s="575">
        <v>13</v>
      </c>
      <c r="K26" s="575">
        <v>14</v>
      </c>
      <c r="L26" s="575">
        <v>15</v>
      </c>
      <c r="M26" s="575">
        <v>16</v>
      </c>
      <c r="N26" s="575">
        <v>17</v>
      </c>
      <c r="O26" s="575">
        <v>18</v>
      </c>
      <c r="P26" s="575">
        <v>19</v>
      </c>
      <c r="Q26" s="576">
        <v>20</v>
      </c>
      <c r="R26" s="576">
        <v>21</v>
      </c>
      <c r="S26" s="576">
        <v>22</v>
      </c>
      <c r="T26" s="576">
        <v>23</v>
      </c>
      <c r="U26" s="576">
        <v>24</v>
      </c>
      <c r="V26" s="576">
        <v>1</v>
      </c>
      <c r="W26" s="575">
        <v>2</v>
      </c>
      <c r="X26" s="575">
        <v>3</v>
      </c>
      <c r="Y26" s="575">
        <v>4</v>
      </c>
      <c r="Z26" s="575">
        <v>5</v>
      </c>
      <c r="AA26" s="575">
        <v>6</v>
      </c>
      <c r="AB26" s="575">
        <v>7</v>
      </c>
      <c r="AC26" s="575">
        <v>8</v>
      </c>
      <c r="AD26" s="577"/>
      <c r="AE26" s="577"/>
      <c r="AF26" s="577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78" t="str">
        <f t="shared" ref="G27:P35" si="6">IF($C27="","",IF(VLOOKUP($C27,Tbl_Glob_MedFreq,G$1,FALSE)=0,"",VLOOKUP($C27,Tbl_Glob_MedFreq,G$1,FALSE)))</f>
        <v/>
      </c>
      <c r="H27" s="570" t="str">
        <f t="shared" si="6"/>
        <v/>
      </c>
      <c r="I27" s="578" t="str">
        <f t="shared" si="6"/>
        <v/>
      </c>
      <c r="J27" s="570" t="str">
        <f t="shared" si="6"/>
        <v/>
      </c>
      <c r="K27" s="578" t="str">
        <f t="shared" si="6"/>
        <v/>
      </c>
      <c r="L27" s="570" t="str">
        <f t="shared" si="6"/>
        <v/>
      </c>
      <c r="M27" s="578" t="str">
        <f t="shared" si="6"/>
        <v/>
      </c>
      <c r="N27" s="570" t="str">
        <f t="shared" si="6"/>
        <v/>
      </c>
      <c r="O27" s="578" t="str">
        <f t="shared" si="6"/>
        <v/>
      </c>
      <c r="P27" s="570" t="str">
        <f t="shared" si="6"/>
        <v/>
      </c>
      <c r="Q27" s="578" t="str">
        <f t="shared" ref="Q27:Z35" si="7">IF($C27="","",IF(VLOOKUP($C27,Tbl_Glob_MedFreq,Q$1,FALSE)=0,"",VLOOKUP($C27,Tbl_Glob_MedFreq,Q$1,FALSE)))</f>
        <v/>
      </c>
      <c r="R27" s="570" t="str">
        <f t="shared" si="7"/>
        <v/>
      </c>
      <c r="S27" s="578" t="str">
        <f t="shared" si="7"/>
        <v/>
      </c>
      <c r="T27" s="570" t="str">
        <f t="shared" si="7"/>
        <v/>
      </c>
      <c r="U27" s="578" t="str">
        <f t="shared" si="7"/>
        <v/>
      </c>
      <c r="V27" s="570" t="str">
        <f t="shared" si="7"/>
        <v/>
      </c>
      <c r="W27" s="578" t="str">
        <f t="shared" si="7"/>
        <v/>
      </c>
      <c r="X27" s="570" t="str">
        <f t="shared" si="7"/>
        <v/>
      </c>
      <c r="Y27" s="578" t="str">
        <f t="shared" si="7"/>
        <v/>
      </c>
      <c r="Z27" s="570" t="str">
        <f t="shared" si="7"/>
        <v/>
      </c>
      <c r="AA27" s="578" t="str">
        <f t="shared" ref="AA27:AF35" si="8">IF($C27="","",IF(VLOOKUP($C27,Tbl_Glob_MedFreq,AA$1,FALSE)=0,"",VLOOKUP($C27,Tbl_Glob_MedFreq,AA$1,FALSE)))</f>
        <v/>
      </c>
      <c r="AB27" s="570" t="str">
        <f t="shared" si="8"/>
        <v/>
      </c>
      <c r="AC27" s="578" t="str">
        <f t="shared" si="8"/>
        <v/>
      </c>
      <c r="AD27" s="570" t="str">
        <f t="shared" si="8"/>
        <v/>
      </c>
      <c r="AE27" s="578" t="str">
        <f t="shared" si="8"/>
        <v/>
      </c>
      <c r="AF27" s="570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78" t="str">
        <f t="shared" si="6"/>
        <v/>
      </c>
      <c r="H28" s="570" t="str">
        <f t="shared" si="6"/>
        <v/>
      </c>
      <c r="I28" s="578" t="str">
        <f t="shared" si="6"/>
        <v/>
      </c>
      <c r="J28" s="570" t="str">
        <f t="shared" si="6"/>
        <v/>
      </c>
      <c r="K28" s="578" t="str">
        <f t="shared" si="6"/>
        <v/>
      </c>
      <c r="L28" s="570" t="str">
        <f t="shared" si="6"/>
        <v/>
      </c>
      <c r="M28" s="578" t="str">
        <f t="shared" si="6"/>
        <v/>
      </c>
      <c r="N28" s="570" t="str">
        <f t="shared" si="6"/>
        <v/>
      </c>
      <c r="O28" s="578" t="str">
        <f t="shared" si="6"/>
        <v/>
      </c>
      <c r="P28" s="570" t="str">
        <f t="shared" si="6"/>
        <v/>
      </c>
      <c r="Q28" s="578" t="str">
        <f t="shared" si="7"/>
        <v/>
      </c>
      <c r="R28" s="570" t="str">
        <f t="shared" si="7"/>
        <v/>
      </c>
      <c r="S28" s="578" t="str">
        <f t="shared" si="7"/>
        <v/>
      </c>
      <c r="T28" s="570" t="str">
        <f t="shared" si="7"/>
        <v/>
      </c>
      <c r="U28" s="578" t="str">
        <f t="shared" si="7"/>
        <v/>
      </c>
      <c r="V28" s="570" t="str">
        <f t="shared" si="7"/>
        <v/>
      </c>
      <c r="W28" s="578" t="str">
        <f t="shared" si="7"/>
        <v/>
      </c>
      <c r="X28" s="570" t="str">
        <f t="shared" si="7"/>
        <v/>
      </c>
      <c r="Y28" s="578" t="str">
        <f t="shared" si="7"/>
        <v/>
      </c>
      <c r="Z28" s="570" t="str">
        <f t="shared" si="7"/>
        <v/>
      </c>
      <c r="AA28" s="578" t="str">
        <f t="shared" si="8"/>
        <v/>
      </c>
      <c r="AB28" s="570" t="str">
        <f t="shared" si="8"/>
        <v/>
      </c>
      <c r="AC28" s="578" t="str">
        <f t="shared" si="8"/>
        <v/>
      </c>
      <c r="AD28" s="570" t="str">
        <f t="shared" si="8"/>
        <v/>
      </c>
      <c r="AE28" s="578" t="str">
        <f t="shared" si="8"/>
        <v/>
      </c>
      <c r="AF28" s="570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78" t="str">
        <f t="shared" si="6"/>
        <v/>
      </c>
      <c r="H29" s="570" t="str">
        <f t="shared" si="6"/>
        <v/>
      </c>
      <c r="I29" s="578" t="str">
        <f t="shared" si="6"/>
        <v/>
      </c>
      <c r="J29" s="570" t="str">
        <f t="shared" si="6"/>
        <v/>
      </c>
      <c r="K29" s="578" t="str">
        <f t="shared" si="6"/>
        <v/>
      </c>
      <c r="L29" s="570" t="str">
        <f t="shared" si="6"/>
        <v/>
      </c>
      <c r="M29" s="578" t="str">
        <f t="shared" si="6"/>
        <v/>
      </c>
      <c r="N29" s="570" t="str">
        <f t="shared" si="6"/>
        <v/>
      </c>
      <c r="O29" s="578" t="str">
        <f t="shared" si="6"/>
        <v/>
      </c>
      <c r="P29" s="570" t="str">
        <f t="shared" si="6"/>
        <v/>
      </c>
      <c r="Q29" s="578" t="str">
        <f t="shared" si="7"/>
        <v/>
      </c>
      <c r="R29" s="570" t="str">
        <f t="shared" si="7"/>
        <v/>
      </c>
      <c r="S29" s="578" t="str">
        <f t="shared" si="7"/>
        <v/>
      </c>
      <c r="T29" s="570" t="str">
        <f t="shared" si="7"/>
        <v/>
      </c>
      <c r="U29" s="578" t="str">
        <f t="shared" si="7"/>
        <v/>
      </c>
      <c r="V29" s="570" t="str">
        <f t="shared" si="7"/>
        <v/>
      </c>
      <c r="W29" s="578" t="str">
        <f t="shared" si="7"/>
        <v/>
      </c>
      <c r="X29" s="570" t="str">
        <f t="shared" si="7"/>
        <v/>
      </c>
      <c r="Y29" s="578" t="str">
        <f t="shared" si="7"/>
        <v/>
      </c>
      <c r="Z29" s="570" t="str">
        <f t="shared" si="7"/>
        <v/>
      </c>
      <c r="AA29" s="578" t="str">
        <f t="shared" si="8"/>
        <v/>
      </c>
      <c r="AB29" s="570" t="str">
        <f t="shared" si="8"/>
        <v/>
      </c>
      <c r="AC29" s="578" t="str">
        <f t="shared" si="8"/>
        <v/>
      </c>
      <c r="AD29" s="570" t="str">
        <f t="shared" si="8"/>
        <v/>
      </c>
      <c r="AE29" s="578" t="str">
        <f t="shared" si="8"/>
        <v/>
      </c>
      <c r="AF29" s="570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78" t="str">
        <f t="shared" si="6"/>
        <v/>
      </c>
      <c r="H30" s="570" t="str">
        <f t="shared" si="6"/>
        <v/>
      </c>
      <c r="I30" s="578" t="str">
        <f t="shared" si="6"/>
        <v/>
      </c>
      <c r="J30" s="570" t="str">
        <f t="shared" si="6"/>
        <v/>
      </c>
      <c r="K30" s="578" t="str">
        <f t="shared" si="6"/>
        <v/>
      </c>
      <c r="L30" s="570" t="str">
        <f t="shared" si="6"/>
        <v/>
      </c>
      <c r="M30" s="578" t="str">
        <f t="shared" si="6"/>
        <v/>
      </c>
      <c r="N30" s="570" t="str">
        <f t="shared" si="6"/>
        <v/>
      </c>
      <c r="O30" s="578" t="str">
        <f t="shared" si="6"/>
        <v/>
      </c>
      <c r="P30" s="570" t="str">
        <f t="shared" si="6"/>
        <v/>
      </c>
      <c r="Q30" s="578" t="str">
        <f t="shared" si="7"/>
        <v/>
      </c>
      <c r="R30" s="570" t="str">
        <f t="shared" si="7"/>
        <v/>
      </c>
      <c r="S30" s="578" t="str">
        <f t="shared" si="7"/>
        <v/>
      </c>
      <c r="T30" s="570" t="str">
        <f t="shared" si="7"/>
        <v/>
      </c>
      <c r="U30" s="578" t="str">
        <f t="shared" si="7"/>
        <v/>
      </c>
      <c r="V30" s="570" t="str">
        <f t="shared" si="7"/>
        <v/>
      </c>
      <c r="W30" s="578" t="str">
        <f t="shared" si="7"/>
        <v/>
      </c>
      <c r="X30" s="570" t="str">
        <f t="shared" si="7"/>
        <v/>
      </c>
      <c r="Y30" s="578" t="str">
        <f t="shared" si="7"/>
        <v/>
      </c>
      <c r="Z30" s="570" t="str">
        <f t="shared" si="7"/>
        <v/>
      </c>
      <c r="AA30" s="578" t="str">
        <f t="shared" si="8"/>
        <v/>
      </c>
      <c r="AB30" s="570" t="str">
        <f t="shared" si="8"/>
        <v/>
      </c>
      <c r="AC30" s="578" t="str">
        <f t="shared" si="8"/>
        <v/>
      </c>
      <c r="AD30" s="570" t="str">
        <f t="shared" si="8"/>
        <v/>
      </c>
      <c r="AE30" s="578" t="str">
        <f t="shared" si="8"/>
        <v/>
      </c>
      <c r="AF30" s="570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78" t="str">
        <f t="shared" si="6"/>
        <v/>
      </c>
      <c r="H31" s="570" t="str">
        <f t="shared" si="6"/>
        <v/>
      </c>
      <c r="I31" s="578" t="str">
        <f t="shared" si="6"/>
        <v/>
      </c>
      <c r="J31" s="570" t="str">
        <f t="shared" si="6"/>
        <v/>
      </c>
      <c r="K31" s="578" t="str">
        <f t="shared" si="6"/>
        <v/>
      </c>
      <c r="L31" s="570" t="str">
        <f t="shared" si="6"/>
        <v/>
      </c>
      <c r="M31" s="578" t="str">
        <f t="shared" si="6"/>
        <v/>
      </c>
      <c r="N31" s="570" t="str">
        <f t="shared" si="6"/>
        <v/>
      </c>
      <c r="O31" s="578" t="str">
        <f t="shared" si="6"/>
        <v/>
      </c>
      <c r="P31" s="570" t="str">
        <f t="shared" si="6"/>
        <v/>
      </c>
      <c r="Q31" s="578" t="str">
        <f t="shared" si="7"/>
        <v/>
      </c>
      <c r="R31" s="570" t="str">
        <f t="shared" si="7"/>
        <v/>
      </c>
      <c r="S31" s="578" t="str">
        <f t="shared" si="7"/>
        <v/>
      </c>
      <c r="T31" s="570" t="str">
        <f t="shared" si="7"/>
        <v/>
      </c>
      <c r="U31" s="578" t="str">
        <f t="shared" si="7"/>
        <v/>
      </c>
      <c r="V31" s="570" t="str">
        <f t="shared" si="7"/>
        <v/>
      </c>
      <c r="W31" s="578" t="str">
        <f t="shared" si="7"/>
        <v/>
      </c>
      <c r="X31" s="570" t="str">
        <f t="shared" si="7"/>
        <v/>
      </c>
      <c r="Y31" s="578" t="str">
        <f t="shared" si="7"/>
        <v/>
      </c>
      <c r="Z31" s="570" t="str">
        <f t="shared" si="7"/>
        <v/>
      </c>
      <c r="AA31" s="578" t="str">
        <f t="shared" si="8"/>
        <v/>
      </c>
      <c r="AB31" s="570" t="str">
        <f t="shared" si="8"/>
        <v/>
      </c>
      <c r="AC31" s="578" t="str">
        <f t="shared" si="8"/>
        <v/>
      </c>
      <c r="AD31" s="570" t="str">
        <f t="shared" si="8"/>
        <v/>
      </c>
      <c r="AE31" s="578" t="str">
        <f t="shared" si="8"/>
        <v/>
      </c>
      <c r="AF31" s="570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78" t="str">
        <f t="shared" si="6"/>
        <v/>
      </c>
      <c r="H32" s="570" t="str">
        <f t="shared" si="6"/>
        <v/>
      </c>
      <c r="I32" s="578" t="str">
        <f t="shared" si="6"/>
        <v/>
      </c>
      <c r="J32" s="570" t="str">
        <f t="shared" si="6"/>
        <v/>
      </c>
      <c r="K32" s="578" t="str">
        <f t="shared" si="6"/>
        <v/>
      </c>
      <c r="L32" s="570" t="str">
        <f t="shared" si="6"/>
        <v/>
      </c>
      <c r="M32" s="578" t="str">
        <f t="shared" si="6"/>
        <v/>
      </c>
      <c r="N32" s="570" t="str">
        <f t="shared" si="6"/>
        <v/>
      </c>
      <c r="O32" s="578" t="str">
        <f t="shared" si="6"/>
        <v/>
      </c>
      <c r="P32" s="570" t="str">
        <f t="shared" si="6"/>
        <v/>
      </c>
      <c r="Q32" s="578" t="str">
        <f t="shared" si="7"/>
        <v/>
      </c>
      <c r="R32" s="570" t="str">
        <f t="shared" si="7"/>
        <v/>
      </c>
      <c r="S32" s="578" t="str">
        <f t="shared" si="7"/>
        <v/>
      </c>
      <c r="T32" s="570" t="str">
        <f t="shared" si="7"/>
        <v/>
      </c>
      <c r="U32" s="578" t="str">
        <f t="shared" si="7"/>
        <v/>
      </c>
      <c r="V32" s="570" t="str">
        <f t="shared" si="7"/>
        <v/>
      </c>
      <c r="W32" s="578" t="str">
        <f t="shared" si="7"/>
        <v/>
      </c>
      <c r="X32" s="570" t="str">
        <f t="shared" si="7"/>
        <v/>
      </c>
      <c r="Y32" s="578" t="str">
        <f t="shared" si="7"/>
        <v/>
      </c>
      <c r="Z32" s="570" t="str">
        <f t="shared" si="7"/>
        <v/>
      </c>
      <c r="AA32" s="578" t="str">
        <f t="shared" si="8"/>
        <v/>
      </c>
      <c r="AB32" s="570" t="str">
        <f t="shared" si="8"/>
        <v/>
      </c>
      <c r="AC32" s="578" t="str">
        <f t="shared" si="8"/>
        <v/>
      </c>
      <c r="AD32" s="570" t="str">
        <f t="shared" si="8"/>
        <v/>
      </c>
      <c r="AE32" s="578" t="str">
        <f t="shared" si="8"/>
        <v/>
      </c>
      <c r="AF32" s="570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78" t="str">
        <f t="shared" si="6"/>
        <v/>
      </c>
      <c r="H33" s="570" t="str">
        <f t="shared" si="6"/>
        <v/>
      </c>
      <c r="I33" s="578" t="str">
        <f t="shared" si="6"/>
        <v/>
      </c>
      <c r="J33" s="570" t="str">
        <f t="shared" si="6"/>
        <v/>
      </c>
      <c r="K33" s="578" t="str">
        <f t="shared" si="6"/>
        <v/>
      </c>
      <c r="L33" s="570" t="str">
        <f t="shared" si="6"/>
        <v/>
      </c>
      <c r="M33" s="578" t="str">
        <f t="shared" si="6"/>
        <v/>
      </c>
      <c r="N33" s="570" t="str">
        <f t="shared" si="6"/>
        <v/>
      </c>
      <c r="O33" s="578" t="str">
        <f t="shared" si="6"/>
        <v/>
      </c>
      <c r="P33" s="570" t="str">
        <f t="shared" si="6"/>
        <v/>
      </c>
      <c r="Q33" s="578" t="str">
        <f t="shared" si="7"/>
        <v/>
      </c>
      <c r="R33" s="570" t="str">
        <f t="shared" si="7"/>
        <v/>
      </c>
      <c r="S33" s="578" t="str">
        <f t="shared" si="7"/>
        <v/>
      </c>
      <c r="T33" s="570" t="str">
        <f t="shared" si="7"/>
        <v/>
      </c>
      <c r="U33" s="578" t="str">
        <f t="shared" si="7"/>
        <v/>
      </c>
      <c r="V33" s="570" t="str">
        <f t="shared" si="7"/>
        <v/>
      </c>
      <c r="W33" s="578" t="str">
        <f t="shared" si="7"/>
        <v/>
      </c>
      <c r="X33" s="570" t="str">
        <f t="shared" si="7"/>
        <v/>
      </c>
      <c r="Y33" s="578" t="str">
        <f t="shared" si="7"/>
        <v/>
      </c>
      <c r="Z33" s="570" t="str">
        <f t="shared" si="7"/>
        <v/>
      </c>
      <c r="AA33" s="578" t="str">
        <f t="shared" si="8"/>
        <v/>
      </c>
      <c r="AB33" s="570" t="str">
        <f t="shared" si="8"/>
        <v/>
      </c>
      <c r="AC33" s="578" t="str">
        <f t="shared" si="8"/>
        <v/>
      </c>
      <c r="AD33" s="570" t="str">
        <f t="shared" si="8"/>
        <v/>
      </c>
      <c r="AE33" s="578" t="str">
        <f t="shared" si="8"/>
        <v/>
      </c>
      <c r="AF33" s="570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78" t="str">
        <f t="shared" si="6"/>
        <v/>
      </c>
      <c r="H34" s="570" t="str">
        <f t="shared" si="6"/>
        <v/>
      </c>
      <c r="I34" s="578" t="str">
        <f t="shared" si="6"/>
        <v/>
      </c>
      <c r="J34" s="570" t="str">
        <f t="shared" si="6"/>
        <v/>
      </c>
      <c r="K34" s="578" t="str">
        <f t="shared" si="6"/>
        <v/>
      </c>
      <c r="L34" s="570" t="str">
        <f t="shared" si="6"/>
        <v/>
      </c>
      <c r="M34" s="578" t="str">
        <f t="shared" si="6"/>
        <v/>
      </c>
      <c r="N34" s="570" t="str">
        <f t="shared" si="6"/>
        <v/>
      </c>
      <c r="O34" s="578" t="str">
        <f t="shared" si="6"/>
        <v/>
      </c>
      <c r="P34" s="570" t="str">
        <f t="shared" si="6"/>
        <v/>
      </c>
      <c r="Q34" s="578" t="str">
        <f t="shared" si="7"/>
        <v/>
      </c>
      <c r="R34" s="570" t="str">
        <f t="shared" si="7"/>
        <v/>
      </c>
      <c r="S34" s="578" t="str">
        <f t="shared" si="7"/>
        <v/>
      </c>
      <c r="T34" s="570" t="str">
        <f t="shared" si="7"/>
        <v/>
      </c>
      <c r="U34" s="578" t="str">
        <f t="shared" si="7"/>
        <v/>
      </c>
      <c r="V34" s="570" t="str">
        <f t="shared" si="7"/>
        <v/>
      </c>
      <c r="W34" s="578" t="str">
        <f t="shared" si="7"/>
        <v/>
      </c>
      <c r="X34" s="570" t="str">
        <f t="shared" si="7"/>
        <v/>
      </c>
      <c r="Y34" s="578" t="str">
        <f t="shared" si="7"/>
        <v/>
      </c>
      <c r="Z34" s="570" t="str">
        <f t="shared" si="7"/>
        <v/>
      </c>
      <c r="AA34" s="578" t="str">
        <f t="shared" si="8"/>
        <v/>
      </c>
      <c r="AB34" s="570" t="str">
        <f t="shared" si="8"/>
        <v/>
      </c>
      <c r="AC34" s="578" t="str">
        <f t="shared" si="8"/>
        <v/>
      </c>
      <c r="AD34" s="570" t="str">
        <f t="shared" si="8"/>
        <v/>
      </c>
      <c r="AE34" s="578" t="str">
        <f t="shared" si="8"/>
        <v/>
      </c>
      <c r="AF34" s="570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78" t="str">
        <f t="shared" si="6"/>
        <v/>
      </c>
      <c r="H35" s="570" t="str">
        <f t="shared" si="6"/>
        <v/>
      </c>
      <c r="I35" s="578" t="str">
        <f t="shared" si="6"/>
        <v/>
      </c>
      <c r="J35" s="570" t="str">
        <f t="shared" si="6"/>
        <v/>
      </c>
      <c r="K35" s="578" t="str">
        <f t="shared" si="6"/>
        <v/>
      </c>
      <c r="L35" s="570" t="str">
        <f t="shared" si="6"/>
        <v/>
      </c>
      <c r="M35" s="578" t="str">
        <f t="shared" si="6"/>
        <v/>
      </c>
      <c r="N35" s="570" t="str">
        <f t="shared" si="6"/>
        <v/>
      </c>
      <c r="O35" s="578" t="str">
        <f t="shared" si="6"/>
        <v/>
      </c>
      <c r="P35" s="570" t="str">
        <f t="shared" si="6"/>
        <v/>
      </c>
      <c r="Q35" s="578" t="str">
        <f t="shared" si="7"/>
        <v/>
      </c>
      <c r="R35" s="570" t="str">
        <f t="shared" si="7"/>
        <v/>
      </c>
      <c r="S35" s="578" t="str">
        <f t="shared" si="7"/>
        <v/>
      </c>
      <c r="T35" s="570" t="str">
        <f t="shared" si="7"/>
        <v/>
      </c>
      <c r="U35" s="578" t="str">
        <f t="shared" si="7"/>
        <v/>
      </c>
      <c r="V35" s="570" t="str">
        <f t="shared" si="7"/>
        <v/>
      </c>
      <c r="W35" s="578" t="str">
        <f t="shared" si="7"/>
        <v/>
      </c>
      <c r="X35" s="570" t="str">
        <f t="shared" si="7"/>
        <v/>
      </c>
      <c r="Y35" s="578" t="str">
        <f t="shared" si="7"/>
        <v/>
      </c>
      <c r="Z35" s="570" t="str">
        <f t="shared" si="7"/>
        <v/>
      </c>
      <c r="AA35" s="578" t="str">
        <f t="shared" si="8"/>
        <v/>
      </c>
      <c r="AB35" s="570" t="str">
        <f t="shared" si="8"/>
        <v/>
      </c>
      <c r="AC35" s="578" t="str">
        <f t="shared" si="8"/>
        <v/>
      </c>
      <c r="AD35" s="570" t="str">
        <f t="shared" si="8"/>
        <v/>
      </c>
      <c r="AE35" s="578" t="str">
        <f t="shared" si="8"/>
        <v/>
      </c>
      <c r="AF35" s="570" t="str">
        <f t="shared" si="8"/>
        <v/>
      </c>
    </row>
  </sheetData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4900</v>
      </c>
    </row>
    <row r="3" spans="1:8" x14ac:dyDescent="0.2">
      <c r="A3" s="3" t="s">
        <v>192</v>
      </c>
      <c r="B3" s="23">
        <f ca="1">TODAY()</f>
        <v>42999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76" t="s">
        <v>16</v>
      </c>
      <c r="B11" s="877"/>
      <c r="C11" s="877"/>
      <c r="D11" s="877"/>
      <c r="E11" s="877"/>
      <c r="F11" s="877"/>
      <c r="G11" s="877"/>
      <c r="H11" s="878"/>
    </row>
    <row r="12" spans="1:8" ht="25.5" x14ac:dyDescent="0.2">
      <c r="A12" s="12" t="s">
        <v>238</v>
      </c>
      <c r="B12" s="879" t="s">
        <v>127</v>
      </c>
      <c r="C12" s="881"/>
      <c r="D12" s="883" t="s">
        <v>128</v>
      </c>
      <c r="E12" s="883" t="s">
        <v>129</v>
      </c>
      <c r="F12" s="883" t="s">
        <v>130</v>
      </c>
      <c r="G12" s="13"/>
      <c r="H12" s="13" t="s">
        <v>131</v>
      </c>
    </row>
    <row r="13" spans="1:8" x14ac:dyDescent="0.2">
      <c r="A13" s="14" t="s">
        <v>132</v>
      </c>
      <c r="B13" s="880"/>
      <c r="C13" s="882"/>
      <c r="D13" s="884"/>
      <c r="E13" s="884"/>
      <c r="F13" s="884"/>
      <c r="G13" s="13" t="s">
        <v>133</v>
      </c>
      <c r="H13" s="15" t="s">
        <v>134</v>
      </c>
    </row>
    <row r="14" spans="1:8" ht="20.100000000000001" customHeight="1" x14ac:dyDescent="0.2">
      <c r="A14" s="865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66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4876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4092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69" t="s">
        <v>164</v>
      </c>
      <c r="F21" s="869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65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66"/>
      <c r="B24" s="50" t="s">
        <v>151</v>
      </c>
      <c r="C24" s="51"/>
      <c r="D24" s="51"/>
      <c r="E24" s="870" t="s">
        <v>224</v>
      </c>
      <c r="F24" s="871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70"/>
      <c r="F25" s="871"/>
      <c r="G25" s="53"/>
      <c r="H25" s="13"/>
    </row>
    <row r="26" spans="1:8" ht="15.95" customHeight="1" x14ac:dyDescent="0.2">
      <c r="A26" s="12"/>
      <c r="B26" s="39"/>
      <c r="C26" s="39"/>
      <c r="D26" s="39"/>
      <c r="E26" s="872" t="s">
        <v>164</v>
      </c>
      <c r="F26" s="87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67" t="s">
        <v>88</v>
      </c>
      <c r="C28" s="868"/>
      <c r="D28" s="868"/>
      <c r="E28" s="868"/>
      <c r="F28" s="868"/>
      <c r="G28" s="37"/>
      <c r="H28" s="20"/>
    </row>
    <row r="29" spans="1:8" ht="20.100000000000001" customHeight="1" x14ac:dyDescent="0.2">
      <c r="A29" s="865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66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72" t="s">
        <v>165</v>
      </c>
      <c r="F35" s="87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73" t="s">
        <v>185</v>
      </c>
      <c r="C37" s="874"/>
      <c r="D37" s="874"/>
      <c r="E37" s="874"/>
      <c r="F37" s="875"/>
      <c r="G37" s="20" t="s">
        <v>186</v>
      </c>
      <c r="H37" s="20"/>
    </row>
    <row r="38" spans="1:8" ht="15.95" customHeight="1" x14ac:dyDescent="0.2">
      <c r="A38" s="21"/>
      <c r="B38" s="862" t="s">
        <v>187</v>
      </c>
      <c r="C38" s="863"/>
      <c r="D38" s="863"/>
      <c r="E38" s="863"/>
      <c r="F38" s="864"/>
      <c r="G38" s="15" t="s">
        <v>188</v>
      </c>
      <c r="H38" s="13"/>
    </row>
    <row r="39" spans="1:8" ht="15.95" customHeight="1" x14ac:dyDescent="0.2">
      <c r="A39" s="21"/>
      <c r="B39" s="862" t="s">
        <v>189</v>
      </c>
      <c r="C39" s="863"/>
      <c r="D39" s="863"/>
      <c r="E39" s="863"/>
      <c r="F39" s="86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A11:H11"/>
    <mergeCell ref="B12:B13"/>
    <mergeCell ref="C12:C13"/>
    <mergeCell ref="D12:D13"/>
    <mergeCell ref="E12:E13"/>
    <mergeCell ref="F12:F13"/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4901</v>
      </c>
    </row>
    <row r="3" spans="1:8" x14ac:dyDescent="0.2">
      <c r="A3" s="209" t="s">
        <v>192</v>
      </c>
      <c r="B3" s="581">
        <f ca="1">TODAY()</f>
        <v>42999</v>
      </c>
      <c r="F3" s="582" t="str">
        <f>Txt_Pat_PatNo</f>
        <v/>
      </c>
      <c r="G3" s="583"/>
      <c r="H3" s="584"/>
    </row>
    <row r="4" spans="1:8" x14ac:dyDescent="0.2">
      <c r="A4" s="209" t="s">
        <v>193</v>
      </c>
      <c r="B4" s="209" t="s">
        <v>302</v>
      </c>
      <c r="F4" s="585" t="str">
        <f>Txt_Pat_FullName</f>
        <v/>
      </c>
      <c r="G4" s="221"/>
      <c r="H4" s="586"/>
    </row>
    <row r="5" spans="1:8" x14ac:dyDescent="0.2">
      <c r="A5" s="240" t="s">
        <v>398</v>
      </c>
      <c r="B5" s="209">
        <f>__1_Bed</f>
        <v>0</v>
      </c>
      <c r="F5" s="587" t="str">
        <f ca="1">Txt_Pat_GeboorteDat</f>
        <v/>
      </c>
      <c r="G5" s="221"/>
      <c r="H5" s="586"/>
    </row>
    <row r="6" spans="1:8" x14ac:dyDescent="0.2">
      <c r="A6" s="209" t="s">
        <v>251</v>
      </c>
      <c r="B6" s="209" t="s">
        <v>194</v>
      </c>
      <c r="F6" s="585" t="str">
        <f>Txt_Pat_Gewicht</f>
        <v>Gewicht:</v>
      </c>
      <c r="G6" s="221"/>
      <c r="H6" s="586"/>
    </row>
    <row r="7" spans="1:8" x14ac:dyDescent="0.2">
      <c r="A7" s="209" t="s">
        <v>223</v>
      </c>
      <c r="B7" s="209" t="s">
        <v>194</v>
      </c>
      <c r="F7" s="588"/>
      <c r="G7" s="589"/>
      <c r="H7" s="590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94" t="s">
        <v>16</v>
      </c>
      <c r="B10" s="895"/>
      <c r="C10" s="895"/>
      <c r="D10" s="895"/>
      <c r="E10" s="895"/>
      <c r="F10" s="895"/>
      <c r="G10" s="895"/>
      <c r="H10" s="896"/>
    </row>
    <row r="11" spans="1:8" ht="25.5" x14ac:dyDescent="0.2">
      <c r="A11" s="591" t="s">
        <v>238</v>
      </c>
      <c r="B11" s="897" t="s">
        <v>127</v>
      </c>
      <c r="C11" s="899"/>
      <c r="D11" s="883" t="s">
        <v>128</v>
      </c>
      <c r="E11" s="883" t="s">
        <v>129</v>
      </c>
      <c r="F11" s="883" t="s">
        <v>130</v>
      </c>
      <c r="G11" s="592"/>
      <c r="H11" s="592" t="s">
        <v>131</v>
      </c>
    </row>
    <row r="12" spans="1:8" ht="15" customHeight="1" x14ac:dyDescent="0.2">
      <c r="A12" s="593" t="s">
        <v>132</v>
      </c>
      <c r="B12" s="898"/>
      <c r="C12" s="900"/>
      <c r="D12" s="884"/>
      <c r="E12" s="884"/>
      <c r="F12" s="884"/>
      <c r="G12" s="592" t="s">
        <v>133</v>
      </c>
      <c r="H12" s="594" t="s">
        <v>134</v>
      </c>
    </row>
    <row r="13" spans="1:8" ht="20.100000000000001" customHeight="1" x14ac:dyDescent="0.2">
      <c r="A13" s="885" t="str">
        <f>IF(PedBerTPN!G5=0,"",PedBerTPN!V3)</f>
        <v/>
      </c>
      <c r="B13" s="595" t="s">
        <v>32</v>
      </c>
      <c r="C13" s="596"/>
      <c r="D13" s="596" t="s">
        <v>135</v>
      </c>
      <c r="E13" s="596" t="s">
        <v>135</v>
      </c>
      <c r="F13" s="597" t="s">
        <v>135</v>
      </c>
      <c r="G13" s="598" t="str">
        <f>IF(A13="","",PedBerTPN!W9)</f>
        <v/>
      </c>
      <c r="H13" s="592"/>
    </row>
    <row r="14" spans="1:8" ht="20.100000000000001" customHeight="1" x14ac:dyDescent="0.2">
      <c r="A14" s="886"/>
      <c r="B14" s="599" t="s">
        <v>320</v>
      </c>
      <c r="C14" s="600"/>
      <c r="D14" s="600" t="s">
        <v>323</v>
      </c>
      <c r="E14" s="600" t="s">
        <v>37</v>
      </c>
      <c r="F14" s="601" t="s">
        <v>37</v>
      </c>
      <c r="G14" s="598" t="str">
        <f>IF(A13="","",PedBerTPN!W10)</f>
        <v/>
      </c>
      <c r="H14" s="592"/>
    </row>
    <row r="15" spans="1:8" ht="20.100000000000001" customHeight="1" x14ac:dyDescent="0.2">
      <c r="A15" s="591"/>
      <c r="B15" s="599" t="s">
        <v>324</v>
      </c>
      <c r="C15" s="600"/>
      <c r="D15" s="600" t="s">
        <v>308</v>
      </c>
      <c r="E15" s="600" t="s">
        <v>325</v>
      </c>
      <c r="F15" s="601" t="s">
        <v>38</v>
      </c>
      <c r="G15" s="602" t="str">
        <f>PedBerTPN!W5</f>
        <v/>
      </c>
      <c r="H15" s="592"/>
    </row>
    <row r="16" spans="1:8" ht="20.100000000000001" customHeight="1" x14ac:dyDescent="0.2">
      <c r="A16" s="591"/>
      <c r="B16" s="599" t="s">
        <v>470</v>
      </c>
      <c r="C16" s="600"/>
      <c r="D16" s="600" t="s">
        <v>326</v>
      </c>
      <c r="E16" s="600"/>
      <c r="F16" s="601"/>
      <c r="G16" s="602" t="str">
        <f>IF(B16=PedBerTPN!$H$8,PedBerTPN!$W$8,"")</f>
        <v/>
      </c>
      <c r="H16" s="592"/>
    </row>
    <row r="17" spans="1:8" ht="20.100000000000001" customHeight="1" x14ac:dyDescent="0.2">
      <c r="A17" s="591"/>
      <c r="B17" s="599" t="s">
        <v>473</v>
      </c>
      <c r="C17" s="600"/>
      <c r="D17" s="600"/>
      <c r="E17" s="600" t="s">
        <v>327</v>
      </c>
      <c r="F17" s="601"/>
      <c r="G17" s="602" t="str">
        <f>IF(B17=PedBerTPN!$H$8,PedBerTPN!$W$8,"")</f>
        <v/>
      </c>
      <c r="H17" s="592"/>
    </row>
    <row r="18" spans="1:8" ht="20.100000000000001" customHeight="1" x14ac:dyDescent="0.2">
      <c r="A18" s="591"/>
      <c r="B18" s="599" t="s">
        <v>475</v>
      </c>
      <c r="C18" s="600" t="s">
        <v>4898</v>
      </c>
      <c r="D18" s="600"/>
      <c r="E18" s="600"/>
      <c r="F18" s="601" t="s">
        <v>328</v>
      </c>
      <c r="G18" s="602" t="str">
        <f>IF(AND(B18=PedBerTPN!$H$8, _Pat_Gewicht&gt;=70,_Pat_Gewicht&lt;100),PedBerTPN!$W$8,"")</f>
        <v/>
      </c>
      <c r="H18" s="592"/>
    </row>
    <row r="19" spans="1:8" ht="20.100000000000001" customHeight="1" x14ac:dyDescent="0.2">
      <c r="A19" s="591"/>
      <c r="B19" s="599" t="s">
        <v>475</v>
      </c>
      <c r="C19" s="600" t="s">
        <v>4899</v>
      </c>
      <c r="D19" s="600"/>
      <c r="E19" s="600"/>
      <c r="F19" s="601" t="s">
        <v>329</v>
      </c>
      <c r="G19" s="602" t="str">
        <f>IF(AND(B19=PedBerTPN!$H$8,_Pat_Gewicht&gt;=11),PedBerTPN!$W$8,"")</f>
        <v/>
      </c>
      <c r="H19" s="592"/>
    </row>
    <row r="20" spans="1:8" ht="20.100000000000001" customHeight="1" x14ac:dyDescent="0.2">
      <c r="A20" s="591"/>
      <c r="B20" s="599" t="str">
        <f>IF($A$13="","",PedBerTPN!$H$8)</f>
        <v/>
      </c>
      <c r="C20" s="600"/>
      <c r="D20" s="600"/>
      <c r="E20" s="600"/>
      <c r="F20" s="601"/>
      <c r="G20" s="602" t="str">
        <f>IF(AND(G$16="",G$17="",G$18="",$G$19="",$A$13&lt;&gt;""),PedBerTPN!$W$8,"")</f>
        <v/>
      </c>
      <c r="H20" s="592"/>
    </row>
    <row r="21" spans="1:8" ht="15.95" customHeight="1" x14ac:dyDescent="0.2">
      <c r="A21" s="591"/>
      <c r="B21" s="603"/>
      <c r="C21" s="603"/>
      <c r="D21" s="603"/>
      <c r="E21" s="891" t="s">
        <v>164</v>
      </c>
      <c r="F21" s="891"/>
      <c r="G21" s="604" t="str">
        <f>IF($A$13="","",PedBerTPN!$W$3)</f>
        <v/>
      </c>
      <c r="H21" s="605"/>
    </row>
    <row r="22" spans="1:8" ht="15.95" customHeight="1" x14ac:dyDescent="0.2">
      <c r="A22" s="591"/>
      <c r="B22" s="606"/>
      <c r="C22" s="606"/>
      <c r="D22" s="606"/>
      <c r="E22" s="606"/>
      <c r="F22" s="606"/>
      <c r="G22" s="607"/>
      <c r="H22" s="592"/>
    </row>
    <row r="23" spans="1:8" ht="20.100000000000001" customHeight="1" x14ac:dyDescent="0.2">
      <c r="A23" s="887" t="str">
        <f>PedBerTPN!$V$16</f>
        <v/>
      </c>
      <c r="B23" s="595" t="s">
        <v>150</v>
      </c>
      <c r="C23" s="596"/>
      <c r="D23" s="596" t="s">
        <v>307</v>
      </c>
      <c r="E23" s="596" t="s">
        <v>308</v>
      </c>
      <c r="F23" s="597" t="s">
        <v>136</v>
      </c>
      <c r="G23" s="598" t="str">
        <f>PedBerTPN!$W$17</f>
        <v/>
      </c>
      <c r="H23" s="608"/>
    </row>
    <row r="24" spans="1:8" ht="20.100000000000001" customHeight="1" x14ac:dyDescent="0.2">
      <c r="A24" s="888"/>
      <c r="B24" s="599" t="s">
        <v>151</v>
      </c>
      <c r="C24" s="600"/>
      <c r="D24" s="600"/>
      <c r="E24" s="892" t="s">
        <v>295</v>
      </c>
      <c r="F24" s="893"/>
      <c r="G24" s="598" t="str">
        <f>PedBerTPN!$W$18</f>
        <v/>
      </c>
      <c r="H24" s="592"/>
    </row>
    <row r="25" spans="1:8" ht="20.100000000000001" customHeight="1" x14ac:dyDescent="0.2">
      <c r="A25" s="591"/>
      <c r="B25" s="599" t="s">
        <v>163</v>
      </c>
      <c r="C25" s="600"/>
      <c r="D25" s="600"/>
      <c r="E25" s="892" t="s">
        <v>295</v>
      </c>
      <c r="F25" s="893"/>
      <c r="G25" s="598" t="str">
        <f>PedBerTPN!$W$19</f>
        <v/>
      </c>
      <c r="H25" s="592"/>
    </row>
    <row r="26" spans="1:8" ht="15.95" customHeight="1" x14ac:dyDescent="0.2">
      <c r="A26" s="591"/>
      <c r="B26" s="606"/>
      <c r="C26" s="606"/>
      <c r="D26" s="606"/>
      <c r="E26" s="891" t="s">
        <v>164</v>
      </c>
      <c r="F26" s="891"/>
      <c r="G26" s="607" t="str">
        <f>PedBerTPN!$W$16</f>
        <v/>
      </c>
      <c r="H26" s="605"/>
    </row>
    <row r="27" spans="1:8" ht="15.95" customHeight="1" thickBot="1" x14ac:dyDescent="0.25">
      <c r="A27" s="591"/>
      <c r="B27" s="606"/>
      <c r="C27" s="606"/>
      <c r="D27" s="606"/>
      <c r="E27" s="606"/>
      <c r="F27" s="606"/>
      <c r="G27" s="607"/>
      <c r="H27" s="592"/>
    </row>
    <row r="28" spans="1:8" ht="15.95" customHeight="1" thickTop="1" x14ac:dyDescent="0.2">
      <c r="A28" s="609"/>
      <c r="B28" s="889" t="s">
        <v>88</v>
      </c>
      <c r="C28" s="890"/>
      <c r="D28" s="890"/>
      <c r="E28" s="890"/>
      <c r="F28" s="890"/>
      <c r="G28" s="610"/>
      <c r="H28" s="611"/>
    </row>
    <row r="29" spans="1:8" ht="20.100000000000001" customHeight="1" x14ac:dyDescent="0.2">
      <c r="A29" s="887" t="str">
        <f>IF(PedBerTPN!$V$11="",PedBerTPN!$V$3,PedBerTPN!$V$12)</f>
        <v/>
      </c>
      <c r="B29" s="612" t="s">
        <v>32</v>
      </c>
      <c r="C29" s="613"/>
      <c r="D29" s="613"/>
      <c r="E29" s="613"/>
      <c r="F29" s="614"/>
      <c r="G29" s="615" t="str">
        <f>IF(G14="",PedBerTPN!$W$9,"")</f>
        <v/>
      </c>
      <c r="H29" s="592"/>
    </row>
    <row r="30" spans="1:8" ht="20.100000000000001" customHeight="1" x14ac:dyDescent="0.2">
      <c r="A30" s="888"/>
      <c r="B30" s="616" t="s">
        <v>322</v>
      </c>
      <c r="C30" s="617"/>
      <c r="D30" s="617"/>
      <c r="E30" s="617"/>
      <c r="F30" s="618"/>
      <c r="G30" s="619" t="str">
        <f>IF($G$14="",PedBerTPN!$W$10,"")</f>
        <v/>
      </c>
      <c r="H30" s="592"/>
    </row>
    <row r="31" spans="1:8" ht="20.100000000000001" customHeight="1" x14ac:dyDescent="0.2">
      <c r="A31" s="620"/>
      <c r="B31" s="616" t="s">
        <v>338</v>
      </c>
      <c r="C31" s="617"/>
      <c r="D31" s="617"/>
      <c r="E31" s="617"/>
      <c r="F31" s="618"/>
      <c r="G31" s="619" t="str">
        <f>PedBerTPN!$W$12</f>
        <v/>
      </c>
      <c r="H31" s="592"/>
    </row>
    <row r="32" spans="1:8" ht="20.100000000000001" customHeight="1" x14ac:dyDescent="0.2">
      <c r="A32" s="620"/>
      <c r="B32" s="616" t="s">
        <v>339</v>
      </c>
      <c r="C32" s="617"/>
      <c r="D32" s="617"/>
      <c r="E32" s="617"/>
      <c r="F32" s="618"/>
      <c r="G32" s="619" t="str">
        <f>PedBerTPN!$W$13</f>
        <v/>
      </c>
      <c r="H32" s="592"/>
    </row>
    <row r="33" spans="1:8" ht="20.100000000000001" customHeight="1" x14ac:dyDescent="0.2">
      <c r="A33" s="620"/>
      <c r="B33" s="616" t="s">
        <v>470</v>
      </c>
      <c r="C33" s="617"/>
      <c r="D33" s="617"/>
      <c r="E33" s="617"/>
      <c r="F33" s="618"/>
      <c r="G33" s="619" t="str">
        <f>IF($G$16="",PedBerTPN!$W$11,"")</f>
        <v/>
      </c>
      <c r="H33" s="592"/>
    </row>
    <row r="34" spans="1:8" ht="20.100000000000001" customHeight="1" x14ac:dyDescent="0.2">
      <c r="A34" s="591"/>
      <c r="B34" s="616" t="str">
        <f>IF(B20="",PedBerTPN!$H$8,"")</f>
        <v/>
      </c>
      <c r="C34" s="617"/>
      <c r="D34" s="617"/>
      <c r="E34" s="617"/>
      <c r="F34" s="618"/>
      <c r="G34" s="619" t="str">
        <f>IF(AND(G17="",G18="",G19="",G20=""),PedBerTPN!$W$8,"")</f>
        <v/>
      </c>
      <c r="H34" s="592"/>
    </row>
    <row r="35" spans="1:8" ht="15.95" customHeight="1" x14ac:dyDescent="0.2">
      <c r="A35" s="591"/>
      <c r="B35" s="606"/>
      <c r="C35" s="606"/>
      <c r="D35" s="606"/>
      <c r="E35" s="891" t="s">
        <v>165</v>
      </c>
      <c r="F35" s="891"/>
      <c r="G35" s="621" t="str">
        <f>IF(G21="",PedBerTPN!$W$3,SUM(PedBerTPN!$G$12:$G$13,PedBerTPN!$G$11)&amp;" ml")</f>
        <v/>
      </c>
      <c r="H35" s="592"/>
    </row>
    <row r="36" spans="1:8" ht="15.95" customHeight="1" thickBot="1" x14ac:dyDescent="0.25">
      <c r="A36" s="591"/>
      <c r="B36" s="606"/>
      <c r="C36" s="606"/>
      <c r="D36" s="606"/>
      <c r="E36" s="606"/>
      <c r="F36" s="606"/>
      <c r="G36" s="606"/>
      <c r="H36" s="592"/>
    </row>
    <row r="37" spans="1:8" ht="15.95" customHeight="1" thickTop="1" x14ac:dyDescent="0.2">
      <c r="A37" s="609"/>
      <c r="B37" s="901" t="s">
        <v>185</v>
      </c>
      <c r="C37" s="902"/>
      <c r="D37" s="902"/>
      <c r="E37" s="902"/>
      <c r="F37" s="903"/>
      <c r="G37" s="611" t="s">
        <v>186</v>
      </c>
      <c r="H37" s="611"/>
    </row>
    <row r="38" spans="1:8" ht="15.95" customHeight="1" x14ac:dyDescent="0.2">
      <c r="A38" s="622"/>
      <c r="B38" s="904" t="s">
        <v>187</v>
      </c>
      <c r="C38" s="905"/>
      <c r="D38" s="905"/>
      <c r="E38" s="905"/>
      <c r="F38" s="906"/>
      <c r="G38" s="594" t="s">
        <v>188</v>
      </c>
      <c r="H38" s="592"/>
    </row>
    <row r="39" spans="1:8" ht="15.95" customHeight="1" x14ac:dyDescent="0.2">
      <c r="A39" s="622"/>
      <c r="B39" s="904" t="s">
        <v>189</v>
      </c>
      <c r="C39" s="905"/>
      <c r="D39" s="905"/>
      <c r="E39" s="905"/>
      <c r="F39" s="906"/>
      <c r="G39" s="594" t="s">
        <v>186</v>
      </c>
      <c r="H39" s="623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E35:F35"/>
    <mergeCell ref="B37:F37"/>
    <mergeCell ref="B38:F38"/>
    <mergeCell ref="B39:F39"/>
    <mergeCell ref="A29:A30"/>
    <mergeCell ref="A10:H10"/>
    <mergeCell ref="B11:B12"/>
    <mergeCell ref="C11:C12"/>
    <mergeCell ref="D11:D12"/>
    <mergeCell ref="E11:E12"/>
    <mergeCell ref="F11:F12"/>
    <mergeCell ref="A13:A14"/>
    <mergeCell ref="A23:A24"/>
    <mergeCell ref="B28:F28"/>
    <mergeCell ref="E21:F21"/>
    <mergeCell ref="E24:F24"/>
    <mergeCell ref="E25:F25"/>
    <mergeCell ref="E26:F26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4902</v>
      </c>
    </row>
    <row r="3" spans="1:8" x14ac:dyDescent="0.2">
      <c r="A3" s="3" t="s">
        <v>192</v>
      </c>
      <c r="B3" s="23">
        <f ca="1">TODAY()</f>
        <v>42999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76" t="s">
        <v>16</v>
      </c>
      <c r="B10" s="877"/>
      <c r="C10" s="877"/>
      <c r="D10" s="877"/>
      <c r="E10" s="877"/>
      <c r="F10" s="877"/>
      <c r="G10" s="877"/>
      <c r="H10" s="878"/>
    </row>
    <row r="11" spans="1:8" ht="25.5" x14ac:dyDescent="0.2">
      <c r="A11" s="12" t="s">
        <v>238</v>
      </c>
      <c r="B11" s="879" t="s">
        <v>127</v>
      </c>
      <c r="C11" s="881"/>
      <c r="D11" s="883" t="s">
        <v>128</v>
      </c>
      <c r="E11" s="883" t="s">
        <v>129</v>
      </c>
      <c r="F11" s="883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0"/>
      <c r="C12" s="882"/>
      <c r="D12" s="884"/>
      <c r="E12" s="884"/>
      <c r="F12" s="884"/>
      <c r="G12" s="13" t="s">
        <v>133</v>
      </c>
      <c r="H12" s="15" t="s">
        <v>134</v>
      </c>
    </row>
    <row r="13" spans="1:8" ht="20.100000000000001" customHeight="1" x14ac:dyDescent="0.2">
      <c r="A13" s="907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8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9" t="s">
        <v>97</v>
      </c>
      <c r="F16" s="910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72" t="s">
        <v>164</v>
      </c>
      <c r="F21" s="872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07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08"/>
      <c r="B24" s="50" t="s">
        <v>151</v>
      </c>
      <c r="C24" s="51"/>
      <c r="D24" s="51"/>
      <c r="E24" s="909" t="s">
        <v>295</v>
      </c>
      <c r="F24" s="910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09" t="s">
        <v>295</v>
      </c>
      <c r="F25" s="910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72" t="s">
        <v>164</v>
      </c>
      <c r="F26" s="87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67" t="s">
        <v>88</v>
      </c>
      <c r="C28" s="868"/>
      <c r="D28" s="868"/>
      <c r="E28" s="868"/>
      <c r="F28" s="868"/>
      <c r="G28" s="37"/>
      <c r="H28" s="20"/>
    </row>
    <row r="29" spans="1:8" ht="20.100000000000001" customHeight="1" x14ac:dyDescent="0.2">
      <c r="A29" s="907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08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72" t="s">
        <v>165</v>
      </c>
      <c r="F35" s="87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73" t="s">
        <v>185</v>
      </c>
      <c r="C37" s="874"/>
      <c r="D37" s="874"/>
      <c r="E37" s="874"/>
      <c r="F37" s="875"/>
      <c r="G37" s="20" t="s">
        <v>186</v>
      </c>
      <c r="H37" s="20"/>
    </row>
    <row r="38" spans="1:8" ht="15.95" customHeight="1" x14ac:dyDescent="0.2">
      <c r="A38" s="21"/>
      <c r="B38" s="862" t="s">
        <v>187</v>
      </c>
      <c r="C38" s="863"/>
      <c r="D38" s="863"/>
      <c r="E38" s="863"/>
      <c r="F38" s="864"/>
      <c r="G38" s="15" t="s">
        <v>188</v>
      </c>
      <c r="H38" s="13"/>
    </row>
    <row r="39" spans="1:8" ht="15.95" customHeight="1" x14ac:dyDescent="0.2">
      <c r="A39" s="21"/>
      <c r="B39" s="862" t="s">
        <v>189</v>
      </c>
      <c r="C39" s="863"/>
      <c r="D39" s="863"/>
      <c r="E39" s="863"/>
      <c r="F39" s="86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16:F16"/>
    <mergeCell ref="A23:A24"/>
    <mergeCell ref="B28:F28"/>
    <mergeCell ref="E21:F21"/>
    <mergeCell ref="E24:F24"/>
    <mergeCell ref="E25:F25"/>
    <mergeCell ref="E26:F26"/>
    <mergeCell ref="A13:A14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4903</v>
      </c>
    </row>
    <row r="3" spans="1:8" x14ac:dyDescent="0.2">
      <c r="A3" s="3" t="s">
        <v>192</v>
      </c>
      <c r="B3" s="23">
        <f ca="1">TODAY()</f>
        <v>42999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76" t="s">
        <v>16</v>
      </c>
      <c r="B10" s="877"/>
      <c r="C10" s="877"/>
      <c r="D10" s="877"/>
      <c r="E10" s="877"/>
      <c r="F10" s="877"/>
      <c r="G10" s="877"/>
      <c r="H10" s="878"/>
    </row>
    <row r="11" spans="1:8" ht="25.5" x14ac:dyDescent="0.2">
      <c r="A11" s="12" t="s">
        <v>238</v>
      </c>
      <c r="B11" s="879" t="s">
        <v>127</v>
      </c>
      <c r="C11" s="881"/>
      <c r="D11" s="883" t="s">
        <v>128</v>
      </c>
      <c r="E11" s="883" t="s">
        <v>129</v>
      </c>
      <c r="F11" s="883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80"/>
      <c r="C12" s="882"/>
      <c r="D12" s="884"/>
      <c r="E12" s="884"/>
      <c r="F12" s="884"/>
      <c r="G12" s="13" t="s">
        <v>133</v>
      </c>
      <c r="H12" s="15" t="s">
        <v>134</v>
      </c>
    </row>
    <row r="13" spans="1:8" ht="20.100000000000001" customHeight="1" x14ac:dyDescent="0.2">
      <c r="A13" s="907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08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9" t="s">
        <v>97</v>
      </c>
      <c r="F16" s="910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4904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4905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72" t="s">
        <v>164</v>
      </c>
      <c r="F22" s="872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07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08"/>
      <c r="B25" s="50" t="s">
        <v>151</v>
      </c>
      <c r="C25" s="51"/>
      <c r="D25" s="51"/>
      <c r="E25" s="909" t="s">
        <v>295</v>
      </c>
      <c r="F25" s="910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09" t="s">
        <v>295</v>
      </c>
      <c r="F26" s="910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72" t="s">
        <v>164</v>
      </c>
      <c r="F27" s="872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11" t="s">
        <v>88</v>
      </c>
      <c r="C29" s="912"/>
      <c r="D29" s="912"/>
      <c r="E29" s="912"/>
      <c r="F29" s="912"/>
      <c r="G29" s="37"/>
      <c r="H29" s="20"/>
    </row>
    <row r="30" spans="1:8" ht="20.100000000000001" customHeight="1" x14ac:dyDescent="0.2">
      <c r="A30" s="907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08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69" t="s">
        <v>165</v>
      </c>
      <c r="F36" s="869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73" t="s">
        <v>185</v>
      </c>
      <c r="C38" s="874"/>
      <c r="D38" s="874"/>
      <c r="E38" s="874"/>
      <c r="F38" s="875"/>
      <c r="G38" s="20" t="s">
        <v>186</v>
      </c>
      <c r="H38" s="20"/>
    </row>
    <row r="39" spans="1:8" ht="15.95" customHeight="1" x14ac:dyDescent="0.2">
      <c r="A39" s="21"/>
      <c r="B39" s="862" t="s">
        <v>187</v>
      </c>
      <c r="C39" s="863"/>
      <c r="D39" s="863"/>
      <c r="E39" s="863"/>
      <c r="F39" s="864"/>
      <c r="G39" s="15" t="s">
        <v>188</v>
      </c>
      <c r="H39" s="13"/>
    </row>
    <row r="40" spans="1:8" ht="15.95" customHeight="1" x14ac:dyDescent="0.2">
      <c r="A40" s="21"/>
      <c r="B40" s="862" t="s">
        <v>189</v>
      </c>
      <c r="C40" s="863"/>
      <c r="D40" s="863"/>
      <c r="E40" s="863"/>
      <c r="F40" s="864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36:F36"/>
    <mergeCell ref="B38:F38"/>
    <mergeCell ref="B39:F39"/>
    <mergeCell ref="B40:F40"/>
    <mergeCell ref="A30:A31"/>
    <mergeCell ref="A13:A14"/>
    <mergeCell ref="A10:H10"/>
    <mergeCell ref="B11:B12"/>
    <mergeCell ref="C11:C12"/>
    <mergeCell ref="D11:D12"/>
    <mergeCell ref="E11:E12"/>
    <mergeCell ref="F11:F12"/>
    <mergeCell ref="E16:F16"/>
    <mergeCell ref="A24:A25"/>
    <mergeCell ref="B29:F29"/>
    <mergeCell ref="E22:F22"/>
    <mergeCell ref="E25:F25"/>
    <mergeCell ref="E26:F26"/>
    <mergeCell ref="E27:F27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4906</v>
      </c>
    </row>
    <row r="3" spans="1:8" x14ac:dyDescent="0.2">
      <c r="A3" s="3" t="s">
        <v>192</v>
      </c>
      <c r="B3" s="23">
        <f ca="1">TODAY()</f>
        <v>42999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76" t="s">
        <v>16</v>
      </c>
      <c r="B10" s="877"/>
      <c r="C10" s="877"/>
      <c r="D10" s="877"/>
      <c r="E10" s="877"/>
      <c r="F10" s="877"/>
      <c r="G10" s="877"/>
      <c r="H10" s="878"/>
    </row>
    <row r="11" spans="1:8" ht="25.5" x14ac:dyDescent="0.2">
      <c r="A11" s="12" t="s">
        <v>238</v>
      </c>
      <c r="B11" s="879" t="s">
        <v>127</v>
      </c>
      <c r="C11" s="881"/>
      <c r="D11" s="883" t="s">
        <v>128</v>
      </c>
      <c r="E11" s="883" t="s">
        <v>129</v>
      </c>
      <c r="F11" s="883" t="s">
        <v>130</v>
      </c>
      <c r="G11" s="13"/>
      <c r="H11" s="13" t="s">
        <v>131</v>
      </c>
    </row>
    <row r="12" spans="1:8" x14ac:dyDescent="0.2">
      <c r="A12" s="14" t="s">
        <v>132</v>
      </c>
      <c r="B12" s="880"/>
      <c r="C12" s="882"/>
      <c r="D12" s="884"/>
      <c r="E12" s="884"/>
      <c r="F12" s="884"/>
      <c r="G12" s="13" t="s">
        <v>133</v>
      </c>
      <c r="H12" s="15" t="s">
        <v>134</v>
      </c>
    </row>
    <row r="13" spans="1:8" ht="20.100000000000001" customHeight="1" x14ac:dyDescent="0.2">
      <c r="A13" s="907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08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08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08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72" t="s">
        <v>164</v>
      </c>
      <c r="F19" s="872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08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08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72" t="s">
        <v>164</v>
      </c>
      <c r="F24" s="872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11" t="s">
        <v>88</v>
      </c>
      <c r="C26" s="912"/>
      <c r="D26" s="912"/>
      <c r="E26" s="912"/>
      <c r="F26" s="912"/>
      <c r="G26" s="37"/>
      <c r="H26" s="20"/>
    </row>
    <row r="27" spans="1:8" ht="20.100000000000001" customHeight="1" x14ac:dyDescent="0.2">
      <c r="A27" s="907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08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69" t="s">
        <v>165</v>
      </c>
      <c r="F33" s="869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73" t="s">
        <v>185</v>
      </c>
      <c r="C35" s="874"/>
      <c r="D35" s="874"/>
      <c r="E35" s="874"/>
      <c r="F35" s="875"/>
      <c r="G35" s="20" t="s">
        <v>186</v>
      </c>
      <c r="H35" s="20"/>
    </row>
    <row r="36" spans="1:8" ht="20.100000000000001" customHeight="1" x14ac:dyDescent="0.2">
      <c r="A36" s="21"/>
      <c r="B36" s="862" t="s">
        <v>187</v>
      </c>
      <c r="C36" s="863"/>
      <c r="D36" s="863"/>
      <c r="E36" s="863"/>
      <c r="F36" s="864"/>
      <c r="G36" s="15" t="s">
        <v>188</v>
      </c>
      <c r="H36" s="13"/>
    </row>
    <row r="37" spans="1:8" ht="20.100000000000001" customHeight="1" x14ac:dyDescent="0.2">
      <c r="A37" s="21"/>
      <c r="B37" s="862" t="s">
        <v>189</v>
      </c>
      <c r="C37" s="863"/>
      <c r="D37" s="863"/>
      <c r="E37" s="863"/>
      <c r="F37" s="864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26:F26"/>
    <mergeCell ref="E19:F19"/>
    <mergeCell ref="E24:F24"/>
    <mergeCell ref="A13:A14"/>
    <mergeCell ref="A17:A18"/>
    <mergeCell ref="A21:A22"/>
    <mergeCell ref="A10:H10"/>
    <mergeCell ref="B11:B12"/>
    <mergeCell ref="C11:C12"/>
    <mergeCell ref="D11:D12"/>
    <mergeCell ref="E11:E12"/>
    <mergeCell ref="F11:F12"/>
    <mergeCell ref="B35:F35"/>
    <mergeCell ref="B36:F36"/>
    <mergeCell ref="B37:F37"/>
    <mergeCell ref="E33:F33"/>
    <mergeCell ref="A27:A28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22" activePane="bottomLeft" state="frozen"/>
      <selection pane="bottomLeft" activeCell="N10" sqref="N10"/>
    </sheetView>
  </sheetViews>
  <sheetFormatPr defaultColWidth="9.140625" defaultRowHeight="15.95" customHeight="1" x14ac:dyDescent="0.2"/>
  <cols>
    <col min="1" max="2" width="5.85546875" style="467" customWidth="1"/>
    <col min="3" max="3" width="3.7109375" style="466" customWidth="1"/>
    <col min="4" max="4" width="12.7109375" style="466" customWidth="1"/>
    <col min="5" max="8" width="14.28515625" style="466" customWidth="1"/>
    <col min="9" max="9" width="12.7109375" style="466" customWidth="1"/>
    <col min="10" max="13" width="14.28515625" style="466" customWidth="1"/>
    <col min="14" max="14" width="12.7109375" style="466" customWidth="1"/>
    <col min="15" max="18" width="14.28515625" style="466" customWidth="1"/>
    <col min="19" max="21" width="12.42578125" style="466" customWidth="1"/>
    <col min="22" max="16384" width="9.140625" style="466"/>
  </cols>
  <sheetData>
    <row r="1" spans="1:18" ht="20.100000000000001" customHeight="1" x14ac:dyDescent="0.2">
      <c r="C1" s="465"/>
      <c r="D1" s="470" t="str">
        <f>IF(K59&lt;0,"Te weinig volume voor TPN!","")</f>
        <v/>
      </c>
    </row>
    <row r="2" spans="1:18" ht="20.100000000000001" customHeight="1" x14ac:dyDescent="0.2">
      <c r="C2" s="737"/>
      <c r="D2" s="738" t="s">
        <v>282</v>
      </c>
      <c r="E2" s="738" t="s">
        <v>428</v>
      </c>
      <c r="F2" s="738" t="s">
        <v>429</v>
      </c>
      <c r="G2" s="738" t="s">
        <v>86</v>
      </c>
      <c r="H2" s="743" t="s">
        <v>89</v>
      </c>
      <c r="I2" s="738"/>
      <c r="J2" s="738" t="s">
        <v>428</v>
      </c>
      <c r="K2" s="738" t="s">
        <v>429</v>
      </c>
      <c r="L2" s="738" t="s">
        <v>86</v>
      </c>
      <c r="M2" s="743" t="s">
        <v>89</v>
      </c>
      <c r="N2" s="738"/>
      <c r="O2" s="738" t="s">
        <v>428</v>
      </c>
      <c r="P2" s="738" t="s">
        <v>429</v>
      </c>
      <c r="Q2" s="738" t="s">
        <v>86</v>
      </c>
      <c r="R2" s="743" t="s">
        <v>89</v>
      </c>
    </row>
    <row r="3" spans="1:18" ht="20.100000000000001" customHeight="1" x14ac:dyDescent="0.2">
      <c r="C3" s="737"/>
      <c r="D3" s="737" t="s">
        <v>241</v>
      </c>
      <c r="E3" s="740" t="str">
        <f>NeoBerInfB!$AL$57</f>
        <v/>
      </c>
      <c r="F3" s="740" t="str">
        <f>NeoBerInfB!$AL$56</f>
        <v/>
      </c>
      <c r="G3" s="740" t="str">
        <f>NeoBerInfB!$AL$58</f>
        <v/>
      </c>
      <c r="H3" s="740"/>
      <c r="I3" s="737"/>
      <c r="J3" s="740"/>
      <c r="K3" s="740"/>
      <c r="L3" s="740"/>
      <c r="M3" s="740"/>
      <c r="N3" s="737"/>
      <c r="O3" s="740"/>
      <c r="P3" s="740"/>
      <c r="Q3" s="740"/>
      <c r="R3" s="740"/>
    </row>
    <row r="4" spans="1:18" ht="20.100000000000001" customHeight="1" x14ac:dyDescent="0.2">
      <c r="C4" s="737"/>
      <c r="D4" s="737" t="s">
        <v>167</v>
      </c>
      <c r="E4" s="740" t="str">
        <f>NeoBerInfB!$AR$57</f>
        <v/>
      </c>
      <c r="F4" s="740" t="str">
        <f>NeoBerInfB!$AR$56</f>
        <v/>
      </c>
      <c r="G4" s="740" t="str">
        <f>NeoBerInfB!$AR$58</f>
        <v/>
      </c>
      <c r="H4" s="740"/>
      <c r="I4" s="737" t="s">
        <v>125</v>
      </c>
      <c r="J4" s="740" t="str">
        <f>NeoBerInfB!$AM$57</f>
        <v/>
      </c>
      <c r="K4" s="740" t="str">
        <f>NeoBerInfB!$AM$56</f>
        <v/>
      </c>
      <c r="L4" s="740" t="str">
        <f>NeoBerInfB!$AM$58</f>
        <v/>
      </c>
      <c r="M4" s="740" t="str">
        <f>IF(_Glob_Lab_Natrium&gt;0,_Glob_Lab_Natrium,"")</f>
        <v/>
      </c>
      <c r="N4" s="737" t="s">
        <v>431</v>
      </c>
      <c r="O4" s="740" t="str">
        <f>NeoBerInfB!$AV$57</f>
        <v/>
      </c>
      <c r="P4" s="740" t="str">
        <f>NeoBerInfB!$AV$56</f>
        <v/>
      </c>
      <c r="Q4" s="740" t="str">
        <f>NeoBerInfB!$AV$58</f>
        <v/>
      </c>
      <c r="R4" s="740" t="str">
        <f>IF(_Glob_Lab_Chloride&gt;0,_Glob_Lab_Chloride,"")</f>
        <v/>
      </c>
    </row>
    <row r="5" spans="1:18" ht="20.100000000000001" customHeight="1" x14ac:dyDescent="0.2">
      <c r="C5" s="737"/>
      <c r="D5" s="737" t="s">
        <v>168</v>
      </c>
      <c r="E5" s="740" t="str">
        <f>NeoBerInfB!$AT$57</f>
        <v/>
      </c>
      <c r="F5" s="740" t="str">
        <f>NeoBerInfB!$AT$56</f>
        <v/>
      </c>
      <c r="G5" s="740" t="str">
        <f>NeoBerInfB!$AT$58</f>
        <v/>
      </c>
      <c r="H5" s="740" t="str">
        <f>IF(_Glob_Lab_Triglyceriden&gt;0,_Glob_Lab_Triglyceriden,"")</f>
        <v/>
      </c>
      <c r="I5" s="737" t="s">
        <v>214</v>
      </c>
      <c r="J5" s="740" t="str">
        <f>NeoBerInfB!$AN$57</f>
        <v/>
      </c>
      <c r="K5" s="740" t="str">
        <f>NeoBerInfB!$AN$56</f>
        <v/>
      </c>
      <c r="L5" s="740" t="str">
        <f>NeoBerInfB!$AN$58</f>
        <v/>
      </c>
      <c r="M5" s="740" t="str">
        <f>IF(_Glob_Lab_Kalium&gt;0,_Glob_Lab_Kalium,"")</f>
        <v/>
      </c>
      <c r="N5" s="737" t="s">
        <v>170</v>
      </c>
      <c r="O5" s="740" t="str">
        <f>NeoBerInfB!$AQ$57</f>
        <v/>
      </c>
      <c r="P5" s="740" t="str">
        <f>NeoBerInfB!$AQ$56</f>
        <v/>
      </c>
      <c r="Q5" s="740" t="str">
        <f>NeoBerInfB!$AQ$58</f>
        <v/>
      </c>
      <c r="R5" s="740" t="str">
        <f>IF(_Glob_Lab_Fosfaat&gt;0,_Glob_Lab_Fosfaat,"")</f>
        <v/>
      </c>
    </row>
    <row r="6" spans="1:18" ht="20.100000000000001" customHeight="1" x14ac:dyDescent="0.2">
      <c r="C6" s="739"/>
      <c r="D6" s="737" t="s">
        <v>430</v>
      </c>
      <c r="E6" s="740" t="str">
        <f>NeoBerInfB!$AS$57</f>
        <v/>
      </c>
      <c r="F6" s="740" t="str">
        <f>NeoBerInfB!$AS$56</f>
        <v/>
      </c>
      <c r="G6" s="740" t="str">
        <f>NeoBerInfB!$AS$58</f>
        <v/>
      </c>
      <c r="H6" s="740" t="str">
        <f>IF(_Glob_Lab_Glucose&gt;0,_Glob_Lab_Glucose,"")</f>
        <v/>
      </c>
      <c r="I6" s="737" t="s">
        <v>169</v>
      </c>
      <c r="J6" s="740" t="str">
        <f>NeoBerInfB!$AO$57</f>
        <v/>
      </c>
      <c r="K6" s="740" t="str">
        <f>NeoBerInfB!$AO$56</f>
        <v/>
      </c>
      <c r="L6" s="740" t="str">
        <f>NeoBerInfB!$AO$58</f>
        <v/>
      </c>
      <c r="M6" s="740" t="str">
        <f>IF(_Glob_Lab_Calcium&gt;0,_Glob_Lab_Calcium,"")</f>
        <v/>
      </c>
      <c r="N6" s="740" t="s">
        <v>432</v>
      </c>
      <c r="O6" s="740" t="str">
        <f>NeoBerInfB!$AW$57</f>
        <v/>
      </c>
      <c r="P6" s="740" t="str">
        <f>NeoBerInfB!$AW$56</f>
        <v/>
      </c>
      <c r="Q6" s="740" t="str">
        <f>NeoBerInfB!$AW$58</f>
        <v/>
      </c>
      <c r="R6" s="740"/>
    </row>
    <row r="7" spans="1:18" ht="20.100000000000001" customHeight="1" x14ac:dyDescent="0.2">
      <c r="C7" s="737"/>
      <c r="D7" s="737" t="s">
        <v>424</v>
      </c>
      <c r="E7" s="740" t="str">
        <f>NeoBerInfB!$AU$57</f>
        <v/>
      </c>
      <c r="F7" s="740" t="str">
        <f>NeoBerInfB!$AU$56</f>
        <v/>
      </c>
      <c r="G7" s="740" t="str">
        <f>NeoBerInfB!$AU$58</f>
        <v/>
      </c>
      <c r="H7" s="740"/>
      <c r="I7" s="737" t="s">
        <v>246</v>
      </c>
      <c r="J7" s="740" t="str">
        <f>NeoBerInfB!$AP$57</f>
        <v/>
      </c>
      <c r="K7" s="740" t="str">
        <f>NeoBerInfB!$AP$56</f>
        <v/>
      </c>
      <c r="L7" s="740" t="str">
        <f>NeoBerInfB!$AP$58</f>
        <v/>
      </c>
      <c r="M7" s="740" t="str">
        <f>IF(_Glob_Lab_Magnesium&gt;0,_Glob_Lab_Magnesium,"")</f>
        <v/>
      </c>
      <c r="N7" s="737" t="s">
        <v>741</v>
      </c>
      <c r="O7" s="740" t="str">
        <f>NeoBerInfB!$AX$57</f>
        <v/>
      </c>
      <c r="P7" s="740" t="str">
        <f>NeoBerInfB!$AX$56</f>
        <v/>
      </c>
      <c r="Q7" s="740" t="str">
        <f>NeoBerInfB!$AX$58</f>
        <v/>
      </c>
      <c r="R7" s="740" t="str">
        <f>IF(_Glob_Lab_Ijzer&gt;0,_Glob_Lab_Ijzer,"")</f>
        <v/>
      </c>
    </row>
    <row r="8" spans="1:18" ht="8.1" customHeight="1" x14ac:dyDescent="0.2">
      <c r="C8" s="465"/>
      <c r="E8" s="471"/>
      <c r="F8" s="471"/>
      <c r="G8" s="471"/>
      <c r="J8" s="471"/>
      <c r="K8" s="471"/>
      <c r="L8" s="471"/>
    </row>
    <row r="9" spans="1:18" ht="20.100000000000001" customHeight="1" x14ac:dyDescent="0.2">
      <c r="C9" s="915" t="str">
        <f>NeoBerInfB!B3</f>
        <v>Actuele Afspraken</v>
      </c>
      <c r="D9" s="915"/>
      <c r="E9" s="915"/>
      <c r="F9" s="915"/>
      <c r="G9" s="915"/>
      <c r="H9" s="724" t="s">
        <v>4545</v>
      </c>
      <c r="I9" s="725" t="str">
        <f>Txt_Pat_PatNo</f>
        <v/>
      </c>
      <c r="J9" s="725"/>
      <c r="K9" s="724"/>
      <c r="L9" s="724"/>
      <c r="M9" s="724" t="s">
        <v>213</v>
      </c>
      <c r="N9" s="724" t="str">
        <f ca="1">Txt_Pat_Leeftijd</f>
        <v/>
      </c>
      <c r="O9" s="726"/>
      <c r="P9" s="724" t="s">
        <v>4547</v>
      </c>
      <c r="Q9" s="725" t="str">
        <f ca="1">Txt_Pat_GeboorteDat</f>
        <v/>
      </c>
      <c r="R9" s="724"/>
    </row>
    <row r="10" spans="1:18" ht="20.100000000000001" customHeight="1" x14ac:dyDescent="0.2">
      <c r="C10" s="915"/>
      <c r="D10" s="915"/>
      <c r="E10" s="915"/>
      <c r="F10" s="915"/>
      <c r="G10" s="915"/>
      <c r="H10" s="724" t="s">
        <v>27</v>
      </c>
      <c r="I10" s="724" t="str">
        <f>Txt_Pat_FullName</f>
        <v/>
      </c>
      <c r="J10" s="724"/>
      <c r="K10" s="727"/>
      <c r="L10" s="728"/>
      <c r="M10" s="724" t="s">
        <v>410</v>
      </c>
      <c r="N10" s="724" t="str">
        <f>IF(_Pat_Gewicht&gt;0,FixPrecision((_Pat_Gewicht/10),4)&amp;" kg","")</f>
        <v/>
      </c>
      <c r="O10" s="724"/>
      <c r="P10" s="724" t="s">
        <v>4548</v>
      </c>
      <c r="Q10" s="725" t="str">
        <f>Txt_Pat_GestAge</f>
        <v/>
      </c>
      <c r="R10" s="724"/>
    </row>
    <row r="11" spans="1:18" ht="20.100000000000001" customHeight="1" x14ac:dyDescent="0.2">
      <c r="C11" s="915"/>
      <c r="D11" s="915"/>
      <c r="E11" s="915"/>
      <c r="F11" s="915"/>
      <c r="G11" s="915"/>
      <c r="H11" s="724" t="s">
        <v>235</v>
      </c>
      <c r="I11" s="724" t="str">
        <f ca="1">Txt_Pat_AfspraakDat</f>
        <v>21-sep-2017</v>
      </c>
      <c r="J11" s="729"/>
      <c r="K11" s="724"/>
      <c r="L11" s="724"/>
      <c r="M11" s="724" t="s">
        <v>570</v>
      </c>
      <c r="N11" s="724" t="str">
        <f>Txt_Pat_OpnameDat</f>
        <v/>
      </c>
      <c r="O11" s="724"/>
      <c r="P11" s="729" t="s">
        <v>4926</v>
      </c>
      <c r="Q11" s="725" t="str">
        <f>Txt_Pat_GebGew</f>
        <v/>
      </c>
      <c r="R11" s="724"/>
    </row>
    <row r="12" spans="1:18" ht="20.100000000000001" customHeight="1" x14ac:dyDescent="0.2">
      <c r="C12" s="915"/>
      <c r="D12" s="915"/>
      <c r="E12" s="915"/>
      <c r="F12" s="915"/>
      <c r="G12" s="915"/>
      <c r="H12" s="724" t="s">
        <v>399</v>
      </c>
      <c r="I12" s="724" t="str">
        <f>Txt_Pat_Bed</f>
        <v/>
      </c>
      <c r="J12" s="728"/>
      <c r="K12" s="724"/>
      <c r="L12" s="724"/>
      <c r="M12" s="724" t="s">
        <v>5391</v>
      </c>
      <c r="N12" s="724" t="str">
        <f>Txt_Pat_Geslacht</f>
        <v>onbekend</v>
      </c>
      <c r="O12" s="730"/>
      <c r="P12" s="725"/>
      <c r="Q12" s="730"/>
      <c r="R12" s="725"/>
    </row>
    <row r="13" spans="1:18" ht="8.1" customHeight="1" x14ac:dyDescent="0.2"/>
    <row r="14" spans="1:18" ht="20.100000000000001" customHeight="1" x14ac:dyDescent="0.2">
      <c r="C14" s="731" t="s">
        <v>4299</v>
      </c>
      <c r="D14" s="732"/>
      <c r="E14" s="732"/>
      <c r="F14" s="732"/>
      <c r="G14" s="732"/>
      <c r="H14" s="732"/>
      <c r="I14" s="732"/>
      <c r="J14" s="732"/>
      <c r="K14" s="732"/>
      <c r="L14" s="732"/>
      <c r="M14" s="732"/>
      <c r="N14" s="732"/>
      <c r="O14" s="732"/>
      <c r="P14" s="732"/>
      <c r="Q14" s="732"/>
      <c r="R14" s="732"/>
    </row>
    <row r="15" spans="1:18" ht="20.100000000000001" customHeight="1" x14ac:dyDescent="0.2">
      <c r="A15" s="467" t="str">
        <f>NeoBerInfB!AI7</f>
        <v>verw</v>
      </c>
      <c r="C15" s="716"/>
      <c r="D15" s="716" t="s">
        <v>434</v>
      </c>
      <c r="E15" s="716"/>
      <c r="F15" s="639" t="str">
        <f>NeoBerInfB!Q7</f>
        <v/>
      </c>
      <c r="G15" s="466" t="s">
        <v>435</v>
      </c>
      <c r="I15" s="717" t="s">
        <v>436</v>
      </c>
      <c r="L15" s="779" t="s">
        <v>433</v>
      </c>
      <c r="M15" s="464" t="str">
        <f ca="1">ROUND(NeoBerInfB!B7,0)&amp;" ml/ kg/ 24 uur"</f>
        <v>160 ml/ kg/ 24 uur</v>
      </c>
    </row>
    <row r="16" spans="1:18" ht="8.1" customHeight="1" x14ac:dyDescent="0.2">
      <c r="M16" s="464"/>
      <c r="N16" s="464"/>
    </row>
    <row r="17" spans="1:18" ht="20.100000000000001" customHeight="1" thickBot="1" x14ac:dyDescent="0.25">
      <c r="A17" s="467" t="str">
        <f>NeoBerInfB!AI9</f>
        <v/>
      </c>
      <c r="C17" s="718" t="s">
        <v>439</v>
      </c>
      <c r="D17" s="716"/>
      <c r="G17" s="716" t="s">
        <v>437</v>
      </c>
      <c r="H17" s="550" t="str">
        <f>IF(Var_Neo_InfB_Ent_Voeding&gt;1,NeoBerInfB!F9,"")</f>
        <v/>
      </c>
      <c r="I17" s="719" t="s">
        <v>438</v>
      </c>
      <c r="J17" s="639" t="str">
        <f>IF(Var_Neo_InfB_Ent_Voeding&gt;1,NeoBerInfB!G9/10&amp;" ml","")</f>
        <v/>
      </c>
      <c r="L17" s="716" t="s">
        <v>727</v>
      </c>
      <c r="M17" s="716"/>
      <c r="N17" s="716"/>
      <c r="P17" s="716" t="s">
        <v>728</v>
      </c>
      <c r="Q17" s="716"/>
      <c r="R17" s="716"/>
    </row>
    <row r="18" spans="1:18" ht="20.100000000000001" customHeight="1" thickTop="1" thickBot="1" x14ac:dyDescent="0.25">
      <c r="E18" s="467"/>
      <c r="G18" s="716" t="s">
        <v>440</v>
      </c>
      <c r="H18" s="545" t="str">
        <f>IF(Var_Neo_InfB_Ent_Voeding&gt;1,NeoBerInfB!F10,"")</f>
        <v/>
      </c>
      <c r="I18" s="719" t="s">
        <v>438</v>
      </c>
      <c r="J18" s="641" t="str">
        <f>IF(Var_Neo_InfB_Ent_Voeding&gt;1,NeoBerInfB!G10/10&amp;" ml","")</f>
        <v/>
      </c>
      <c r="L18" s="716" t="s">
        <v>739</v>
      </c>
      <c r="M18" s="716"/>
      <c r="N18" s="551" t="str">
        <f>NeoBerInfB!M11</f>
        <v/>
      </c>
    </row>
    <row r="19" spans="1:18" ht="20.100000000000001" customHeight="1" thickTop="1" thickBot="1" x14ac:dyDescent="0.25">
      <c r="E19" s="467"/>
      <c r="N19" s="546" t="str">
        <f>NeoBerInfB!M12</f>
        <v/>
      </c>
      <c r="R19" s="551" t="str">
        <f>NeoBerInfB!M16</f>
        <v/>
      </c>
    </row>
    <row r="20" spans="1:18" ht="20.100000000000001" customHeight="1" thickTop="1" thickBot="1" x14ac:dyDescent="0.25">
      <c r="N20" s="546" t="str">
        <f>NeoBerInfB!M13</f>
        <v/>
      </c>
      <c r="R20" s="546" t="str">
        <f>NeoBerInfB!M17</f>
        <v/>
      </c>
    </row>
    <row r="21" spans="1:18" ht="20.100000000000001" customHeight="1" thickTop="1" thickBot="1" x14ac:dyDescent="0.25">
      <c r="N21" s="546" t="str">
        <f>NeoBerInfB!M14</f>
        <v/>
      </c>
      <c r="R21" s="546" t="str">
        <f>NeoBerInfB!M18</f>
        <v/>
      </c>
    </row>
    <row r="22" spans="1:18" ht="20.100000000000001" customHeight="1" thickTop="1" thickBot="1" x14ac:dyDescent="0.25">
      <c r="F22" s="466" t="s">
        <v>441</v>
      </c>
      <c r="H22" s="466">
        <f ca="1">IF(NeoBerInfB!B21,NeoBerInfB!C21,NeoBerInfB!AX53)</f>
        <v>0</v>
      </c>
      <c r="I22" s="466" t="s">
        <v>442</v>
      </c>
      <c r="N22" s="547" t="str">
        <f>NeoBerInfB!M15</f>
        <v/>
      </c>
      <c r="R22" s="547" t="str">
        <f>NeoBerInfB!M19</f>
        <v/>
      </c>
    </row>
    <row r="23" spans="1:18" ht="8.1" customHeight="1" thickTop="1" x14ac:dyDescent="0.2">
      <c r="N23" s="473"/>
      <c r="R23" s="473"/>
    </row>
    <row r="24" spans="1:18" ht="20.100000000000001" customHeight="1" x14ac:dyDescent="0.2">
      <c r="C24" s="731" t="s">
        <v>4300</v>
      </c>
      <c r="D24" s="732"/>
      <c r="E24" s="732"/>
      <c r="F24" s="732"/>
      <c r="G24" s="732"/>
      <c r="H24" s="732"/>
      <c r="I24" s="732"/>
      <c r="J24" s="732"/>
      <c r="K24" s="732"/>
      <c r="L24" s="732"/>
      <c r="M24" s="732"/>
      <c r="N24" s="732"/>
      <c r="O24" s="732"/>
      <c r="P24" s="732"/>
      <c r="Q24" s="732"/>
      <c r="R24" s="732"/>
    </row>
    <row r="25" spans="1:18" ht="20.100000000000001" customHeight="1" x14ac:dyDescent="0.2">
      <c r="C25" s="475"/>
      <c r="D25" s="475"/>
      <c r="E25" s="475"/>
      <c r="F25" s="475"/>
      <c r="G25" s="475"/>
      <c r="H25" s="475"/>
      <c r="I25" s="475"/>
      <c r="J25" s="475"/>
      <c r="K25" s="475"/>
      <c r="L25" s="716" t="s">
        <v>4974</v>
      </c>
      <c r="M25" s="716"/>
      <c r="N25" s="719" t="s">
        <v>405</v>
      </c>
      <c r="O25" s="716" t="s">
        <v>443</v>
      </c>
      <c r="P25" s="716"/>
      <c r="Q25" s="716"/>
      <c r="R25" s="716" t="s">
        <v>444</v>
      </c>
    </row>
    <row r="26" spans="1:18" ht="20.100000000000001" customHeight="1" x14ac:dyDescent="0.2">
      <c r="A26" s="467" t="str">
        <f>NeoBerInfB!AI22</f>
        <v/>
      </c>
      <c r="C26" s="716"/>
      <c r="D26" s="716" t="s">
        <v>581</v>
      </c>
      <c r="E26" s="716"/>
      <c r="F26" s="716"/>
      <c r="G26" s="716"/>
      <c r="H26" s="475"/>
      <c r="I26" s="475"/>
      <c r="J26" s="475"/>
      <c r="K26" s="639" t="str">
        <f>NeoBerInfB!Q22</f>
        <v/>
      </c>
    </row>
    <row r="27" spans="1:18" ht="7.5" customHeight="1" x14ac:dyDescent="0.2">
      <c r="C27" s="475"/>
      <c r="K27" s="464"/>
    </row>
    <row r="28" spans="1:18" ht="20.100000000000001" customHeight="1" thickBot="1" x14ac:dyDescent="0.25">
      <c r="A28" s="476" t="str">
        <f>NeoBerInfB!AI23</f>
        <v/>
      </c>
      <c r="B28" s="476" t="str">
        <f>NeoBerInfB!AJ23</f>
        <v/>
      </c>
      <c r="C28" s="716">
        <v>1</v>
      </c>
      <c r="G28" s="552" t="str">
        <f>NeoBerInfB!M23</f>
        <v/>
      </c>
      <c r="H28" s="552" t="str">
        <f>NeoBerInfB!O23</f>
        <v/>
      </c>
      <c r="K28" s="639" t="str">
        <f>NeoBerInfB!Q23</f>
        <v/>
      </c>
      <c r="L28" s="472" t="str">
        <f>IF(NeoBerInfB!G23&gt;0,NeoBerInfB!G23,"")</f>
        <v/>
      </c>
      <c r="M28" s="472" t="str">
        <f>NeoBerInfB!R23</f>
        <v/>
      </c>
      <c r="O28" s="464" t="str">
        <f>NeoBerInfB!S23</f>
        <v/>
      </c>
      <c r="P28" s="464"/>
      <c r="Q28" s="474"/>
      <c r="R28" s="464" t="str">
        <f>NeoBerInfB!Z23</f>
        <v/>
      </c>
    </row>
    <row r="29" spans="1:18" ht="20.100000000000001" customHeight="1" thickTop="1" thickBot="1" x14ac:dyDescent="0.25">
      <c r="A29" s="476" t="str">
        <f>NeoBerInfB!AI24</f>
        <v/>
      </c>
      <c r="B29" s="476" t="str">
        <f>NeoBerInfB!AJ24</f>
        <v/>
      </c>
      <c r="C29" s="716">
        <v>2</v>
      </c>
      <c r="G29" s="548" t="str">
        <f>NeoBerInfB!M24</f>
        <v/>
      </c>
      <c r="H29" s="548" t="str">
        <f>NeoBerInfB!O24</f>
        <v/>
      </c>
      <c r="K29" s="640" t="str">
        <f>NeoBerInfB!Q24</f>
        <v/>
      </c>
      <c r="L29" s="472" t="str">
        <f>IF(NeoBerInfB!G24&gt;0,NeoBerInfB!G24,"")</f>
        <v/>
      </c>
      <c r="M29" s="472" t="str">
        <f>NeoBerInfB!R24</f>
        <v/>
      </c>
      <c r="O29" s="464" t="str">
        <f>NeoBerInfB!S24</f>
        <v/>
      </c>
      <c r="P29" s="464"/>
      <c r="Q29" s="474"/>
      <c r="R29" s="464" t="str">
        <f>NeoBerInfB!Z24</f>
        <v/>
      </c>
    </row>
    <row r="30" spans="1:18" ht="20.100000000000001" customHeight="1" thickTop="1" thickBot="1" x14ac:dyDescent="0.25">
      <c r="A30" s="476" t="str">
        <f>NeoBerInfB!AI25</f>
        <v/>
      </c>
      <c r="B30" s="476" t="str">
        <f>NeoBerInfB!AJ25</f>
        <v/>
      </c>
      <c r="C30" s="716">
        <v>3</v>
      </c>
      <c r="G30" s="548" t="str">
        <f>NeoBerInfB!M25</f>
        <v/>
      </c>
      <c r="H30" s="548" t="str">
        <f>NeoBerInfB!O25</f>
        <v/>
      </c>
      <c r="K30" s="640" t="str">
        <f>NeoBerInfB!Q25</f>
        <v/>
      </c>
      <c r="L30" s="472" t="str">
        <f>IF(NeoBerInfB!G25&gt;0,NeoBerInfB!G25,"")</f>
        <v/>
      </c>
      <c r="M30" s="472" t="str">
        <f>NeoBerInfB!R25</f>
        <v/>
      </c>
      <c r="O30" s="464" t="str">
        <f>NeoBerInfB!S25</f>
        <v/>
      </c>
      <c r="P30" s="464"/>
      <c r="Q30" s="474"/>
      <c r="R30" s="464" t="str">
        <f>NeoBerInfB!Z25</f>
        <v/>
      </c>
    </row>
    <row r="31" spans="1:18" ht="20.100000000000001" customHeight="1" thickTop="1" thickBot="1" x14ac:dyDescent="0.25">
      <c r="A31" s="476" t="str">
        <f>NeoBerInfB!AI26</f>
        <v/>
      </c>
      <c r="B31" s="476" t="str">
        <f>NeoBerInfB!AJ26</f>
        <v/>
      </c>
      <c r="C31" s="716">
        <v>4</v>
      </c>
      <c r="G31" s="548" t="str">
        <f>NeoBerInfB!M26</f>
        <v/>
      </c>
      <c r="H31" s="548" t="str">
        <f>NeoBerInfB!O26</f>
        <v/>
      </c>
      <c r="K31" s="640" t="str">
        <f>NeoBerInfB!Q26</f>
        <v/>
      </c>
      <c r="L31" s="472" t="str">
        <f>IF(NeoBerInfB!G26&gt;0,NeoBerInfB!G26,"")</f>
        <v/>
      </c>
      <c r="M31" s="472" t="str">
        <f>NeoBerInfB!R26</f>
        <v/>
      </c>
      <c r="O31" s="464" t="str">
        <f>NeoBerInfB!S26</f>
        <v/>
      </c>
      <c r="P31" s="464"/>
      <c r="Q31" s="474"/>
      <c r="R31" s="464" t="str">
        <f>NeoBerInfB!Z26</f>
        <v/>
      </c>
    </row>
    <row r="32" spans="1:18" ht="20.100000000000001" customHeight="1" thickTop="1" thickBot="1" x14ac:dyDescent="0.25">
      <c r="A32" s="476" t="str">
        <f>NeoBerInfB!AI27</f>
        <v/>
      </c>
      <c r="B32" s="476" t="str">
        <f>NeoBerInfB!AJ27</f>
        <v/>
      </c>
      <c r="C32" s="716">
        <v>5</v>
      </c>
      <c r="G32" s="548" t="str">
        <f>NeoBerInfB!M27</f>
        <v/>
      </c>
      <c r="H32" s="548" t="str">
        <f>NeoBerInfB!O27</f>
        <v/>
      </c>
      <c r="K32" s="640" t="str">
        <f>NeoBerInfB!Q27</f>
        <v/>
      </c>
      <c r="L32" s="472" t="str">
        <f>IF(NeoBerInfB!G27&gt;0,NeoBerInfB!G27,"")</f>
        <v/>
      </c>
      <c r="M32" s="472" t="str">
        <f>NeoBerInfB!R27</f>
        <v/>
      </c>
      <c r="O32" s="464" t="str">
        <f>NeoBerInfB!S27</f>
        <v/>
      </c>
      <c r="P32" s="464"/>
      <c r="Q32" s="474"/>
      <c r="R32" s="464" t="str">
        <f>NeoBerInfB!Z27</f>
        <v/>
      </c>
    </row>
    <row r="33" spans="1:18" ht="20.100000000000001" customHeight="1" thickTop="1" thickBot="1" x14ac:dyDescent="0.25">
      <c r="A33" s="476" t="str">
        <f>NeoBerInfB!AI28</f>
        <v/>
      </c>
      <c r="B33" s="476" t="str">
        <f>NeoBerInfB!AJ28</f>
        <v/>
      </c>
      <c r="C33" s="716">
        <v>6</v>
      </c>
      <c r="G33" s="548" t="str">
        <f>NeoBerInfB!M28</f>
        <v/>
      </c>
      <c r="H33" s="548" t="str">
        <f>NeoBerInfB!O28</f>
        <v/>
      </c>
      <c r="K33" s="640" t="str">
        <f>NeoBerInfB!Q28</f>
        <v/>
      </c>
      <c r="L33" s="472" t="str">
        <f>IF(NeoBerInfB!G28&gt;0,NeoBerInfB!G28,"")</f>
        <v/>
      </c>
      <c r="M33" s="472" t="str">
        <f>NeoBerInfB!R28</f>
        <v/>
      </c>
      <c r="O33" s="464" t="str">
        <f>NeoBerInfB!S28</f>
        <v/>
      </c>
      <c r="P33" s="464"/>
      <c r="Q33" s="474"/>
      <c r="R33" s="464" t="str">
        <f>NeoBerInfB!Z28</f>
        <v/>
      </c>
    </row>
    <row r="34" spans="1:18" ht="20.100000000000001" customHeight="1" thickTop="1" thickBot="1" x14ac:dyDescent="0.25">
      <c r="A34" s="476" t="str">
        <f>NeoBerInfB!AI29</f>
        <v/>
      </c>
      <c r="B34" s="476" t="str">
        <f>NeoBerInfB!AJ29</f>
        <v/>
      </c>
      <c r="C34" s="716">
        <v>7</v>
      </c>
      <c r="G34" s="548" t="str">
        <f>NeoBerInfB!M29</f>
        <v/>
      </c>
      <c r="H34" s="548" t="str">
        <f>NeoBerInfB!O29</f>
        <v/>
      </c>
      <c r="K34" s="640" t="str">
        <f>NeoBerInfB!Q29</f>
        <v/>
      </c>
      <c r="L34" s="472" t="str">
        <f>IF(NeoBerInfB!G29&gt;0,NeoBerInfB!G29,"")</f>
        <v/>
      </c>
      <c r="M34" s="472" t="str">
        <f>NeoBerInfB!R29</f>
        <v/>
      </c>
      <c r="O34" s="464" t="str">
        <f>NeoBerInfB!S29</f>
        <v/>
      </c>
      <c r="P34" s="464"/>
      <c r="Q34" s="474"/>
      <c r="R34" s="464" t="str">
        <f>NeoBerInfB!Z29</f>
        <v/>
      </c>
    </row>
    <row r="35" spans="1:18" ht="20.100000000000001" customHeight="1" thickTop="1" thickBot="1" x14ac:dyDescent="0.25">
      <c r="A35" s="476" t="str">
        <f>NeoBerInfB!AI30</f>
        <v/>
      </c>
      <c r="B35" s="476" t="str">
        <f>NeoBerInfB!AJ30</f>
        <v/>
      </c>
      <c r="C35" s="716">
        <v>8</v>
      </c>
      <c r="G35" s="548" t="str">
        <f>NeoBerInfB!M30</f>
        <v/>
      </c>
      <c r="H35" s="548" t="str">
        <f>NeoBerInfB!O30</f>
        <v/>
      </c>
      <c r="K35" s="640" t="str">
        <f>NeoBerInfB!Q30</f>
        <v/>
      </c>
      <c r="L35" s="472" t="str">
        <f>IF(NeoBerInfB!G30&gt;0,NeoBerInfB!G30,"")</f>
        <v/>
      </c>
      <c r="M35" s="472" t="str">
        <f>NeoBerInfB!R30</f>
        <v/>
      </c>
      <c r="O35" s="464" t="str">
        <f>NeoBerInfB!S30</f>
        <v/>
      </c>
      <c r="P35" s="464"/>
      <c r="Q35" s="474"/>
      <c r="R35" s="464" t="str">
        <f>NeoBerInfB!Z30</f>
        <v/>
      </c>
    </row>
    <row r="36" spans="1:18" ht="20.100000000000001" customHeight="1" thickTop="1" thickBot="1" x14ac:dyDescent="0.25">
      <c r="A36" s="476" t="str">
        <f>NeoBerInfB!AI31</f>
        <v/>
      </c>
      <c r="B36" s="476" t="str">
        <f>NeoBerInfB!AJ31</f>
        <v/>
      </c>
      <c r="C36" s="716">
        <v>9</v>
      </c>
      <c r="G36" s="548" t="str">
        <f>NeoBerInfB!M31</f>
        <v/>
      </c>
      <c r="H36" s="548" t="str">
        <f>NeoBerInfB!O31</f>
        <v/>
      </c>
      <c r="K36" s="640" t="str">
        <f>NeoBerInfB!Q31</f>
        <v/>
      </c>
      <c r="L36" s="472" t="str">
        <f>IF(NeoBerInfB!G31&gt;0,NeoBerInfB!G31,"")</f>
        <v/>
      </c>
      <c r="M36" s="472" t="str">
        <f>NeoBerInfB!R31</f>
        <v/>
      </c>
      <c r="O36" s="464" t="str">
        <f>NeoBerInfB!S31</f>
        <v/>
      </c>
      <c r="P36" s="464"/>
      <c r="Q36" s="474"/>
      <c r="R36" s="464" t="str">
        <f>NeoBerInfB!Z31</f>
        <v/>
      </c>
    </row>
    <row r="37" spans="1:18" ht="20.100000000000001" customHeight="1" thickTop="1" thickBot="1" x14ac:dyDescent="0.25">
      <c r="A37" s="476" t="str">
        <f>NeoBerInfB!AI32</f>
        <v/>
      </c>
      <c r="B37" s="476" t="str">
        <f>NeoBerInfB!AJ32</f>
        <v/>
      </c>
      <c r="C37" s="716">
        <v>10</v>
      </c>
      <c r="G37" s="549" t="str">
        <f>NeoBerInfB!M32</f>
        <v/>
      </c>
      <c r="H37" s="549" t="str">
        <f>NeoBerInfB!O32</f>
        <v/>
      </c>
      <c r="K37" s="641" t="str">
        <f>NeoBerInfB!Q32</f>
        <v/>
      </c>
      <c r="L37" s="472" t="str">
        <f>IF(NeoBerInfB!G32&gt;0,NeoBerInfB!G32,"")</f>
        <v/>
      </c>
      <c r="M37" s="472" t="str">
        <f>NeoBerInfB!R32</f>
        <v/>
      </c>
      <c r="O37" s="464" t="str">
        <f>NeoBerInfB!S32</f>
        <v/>
      </c>
      <c r="P37" s="464"/>
      <c r="Q37" s="474"/>
      <c r="R37" s="464" t="str">
        <f>NeoBerInfB!Z32</f>
        <v/>
      </c>
    </row>
    <row r="38" spans="1:18" ht="9.75" customHeight="1" thickTop="1" x14ac:dyDescent="0.2">
      <c r="E38" s="472"/>
      <c r="F38" s="472"/>
      <c r="I38" s="464"/>
      <c r="J38" s="472"/>
      <c r="M38" s="464"/>
      <c r="N38" s="464"/>
      <c r="O38" s="474"/>
      <c r="P38" s="464"/>
    </row>
    <row r="39" spans="1:18" ht="20.100000000000001" customHeight="1" thickBot="1" x14ac:dyDescent="0.25">
      <c r="A39" s="467" t="str">
        <f>NeoBerInfB!AI33</f>
        <v/>
      </c>
      <c r="C39" s="716">
        <v>11</v>
      </c>
      <c r="D39" s="718" t="s">
        <v>445</v>
      </c>
      <c r="E39" s="472"/>
      <c r="F39" s="472"/>
      <c r="I39" s="472"/>
      <c r="J39" s="472"/>
      <c r="K39" s="639" t="str">
        <f>IF(NeoBerInfB!F33/10&gt;0,NeoBerInfB!F33/10&amp;" ml/uur","")</f>
        <v/>
      </c>
      <c r="L39" s="472" t="str">
        <f>IF(NeoBerInfB!G36&gt;0,"= "&amp;ROUND(NeoBerInfB!G36,2),"")</f>
        <v/>
      </c>
      <c r="M39" s="472"/>
      <c r="O39" s="474"/>
      <c r="P39" s="464"/>
    </row>
    <row r="40" spans="1:18" ht="20.100000000000001" customHeight="1" thickTop="1" thickBot="1" x14ac:dyDescent="0.25">
      <c r="A40" s="467" t="str">
        <f>NeoBerInfB!AI34</f>
        <v/>
      </c>
      <c r="C40" s="716">
        <v>12</v>
      </c>
      <c r="D40" s="718" t="s">
        <v>446</v>
      </c>
      <c r="E40" s="472"/>
      <c r="F40" s="472"/>
      <c r="I40" s="472"/>
      <c r="J40" s="472"/>
      <c r="K40" s="640" t="str">
        <f>IF(NeoBerInfB!F34/10&gt;0,NeoBerInfB!F34/10&amp;" ml/uur","")</f>
        <v/>
      </c>
      <c r="L40" s="472" t="str">
        <f>IF(NeoBerInfB!G37&gt;0,"= "&amp;ROUND(NeoBerInfB!G37,2),"")</f>
        <v/>
      </c>
      <c r="M40" s="472"/>
      <c r="O40" s="474"/>
      <c r="P40" s="464"/>
    </row>
    <row r="41" spans="1:18" ht="20.100000000000001" customHeight="1" thickTop="1" thickBot="1" x14ac:dyDescent="0.25">
      <c r="A41" s="467" t="str">
        <f>NeoBerInfB!AI35</f>
        <v/>
      </c>
      <c r="C41" s="716">
        <v>13</v>
      </c>
      <c r="D41" s="718" t="s">
        <v>447</v>
      </c>
      <c r="E41" s="472"/>
      <c r="F41" s="472"/>
      <c r="I41" s="472"/>
      <c r="J41" s="472"/>
      <c r="K41" s="640" t="str">
        <f>IF(NeoBerInfB!F35/10&gt;0,NeoBerInfB!F35/10&amp;" ml/uur","")</f>
        <v/>
      </c>
      <c r="L41" s="472" t="str">
        <f>IF(NeoBerInfB!G39&gt;0,"= "&amp;ROUND(NeoBerInfB!G39,2),"")</f>
        <v/>
      </c>
      <c r="M41" s="472"/>
      <c r="O41" s="474"/>
      <c r="P41" s="464"/>
    </row>
    <row r="42" spans="1:18" ht="20.100000000000001" customHeight="1" thickTop="1" thickBot="1" x14ac:dyDescent="0.25">
      <c r="A42" s="467" t="str">
        <f>NeoBerInfB!AI36</f>
        <v/>
      </c>
      <c r="C42" s="716">
        <v>14</v>
      </c>
      <c r="D42" s="916" t="str">
        <f>IF(Var_Neo_InfB_Cont_MedTekst_1="","",Var_Neo_InfB_Cont_MedTekst_1)</f>
        <v/>
      </c>
      <c r="E42" s="916"/>
      <c r="F42" s="916"/>
      <c r="G42" s="916"/>
      <c r="H42" s="916"/>
      <c r="I42" s="916"/>
      <c r="J42" s="916"/>
      <c r="K42" s="917"/>
      <c r="L42" s="916"/>
      <c r="M42" s="916"/>
      <c r="N42" s="498"/>
      <c r="O42" s="498"/>
      <c r="P42" s="498"/>
      <c r="Q42" s="498"/>
      <c r="R42" s="498"/>
    </row>
    <row r="43" spans="1:18" ht="20.100000000000001" customHeight="1" thickTop="1" thickBot="1" x14ac:dyDescent="0.25">
      <c r="A43" s="467" t="str">
        <f>NeoBerInfB!AI37</f>
        <v/>
      </c>
      <c r="C43" s="716">
        <v>15</v>
      </c>
      <c r="D43" s="918" t="str">
        <f>IF(Var_Neo_InfB_Cont_MedTekst_2="","",Var_Neo_InfB_Cont_MedTekst_2)</f>
        <v/>
      </c>
      <c r="E43" s="918"/>
      <c r="F43" s="918"/>
      <c r="G43" s="918"/>
      <c r="H43" s="918"/>
      <c r="I43" s="918"/>
      <c r="J43" s="918"/>
      <c r="K43" s="918"/>
      <c r="L43" s="918"/>
      <c r="M43" s="918"/>
      <c r="N43" s="498"/>
      <c r="O43" s="498"/>
      <c r="P43" s="498"/>
      <c r="Q43" s="498"/>
      <c r="R43" s="498"/>
    </row>
    <row r="44" spans="1:18" ht="8.1" customHeight="1" thickTop="1" x14ac:dyDescent="0.2">
      <c r="D44" s="464"/>
      <c r="E44" s="472"/>
      <c r="F44" s="472"/>
      <c r="I44" s="472"/>
      <c r="J44" s="472"/>
      <c r="K44" s="472"/>
      <c r="L44" s="472"/>
      <c r="M44" s="472"/>
      <c r="O44" s="474"/>
      <c r="P44" s="464"/>
    </row>
    <row r="45" spans="1:18" ht="20.100000000000001" customHeight="1" x14ac:dyDescent="0.2">
      <c r="C45" s="732" t="s">
        <v>4301</v>
      </c>
      <c r="D45" s="733"/>
      <c r="E45" s="734"/>
      <c r="F45" s="734"/>
      <c r="G45" s="732"/>
      <c r="H45" s="732"/>
      <c r="I45" s="734"/>
      <c r="J45" s="734"/>
      <c r="K45" s="734"/>
      <c r="L45" s="734"/>
      <c r="M45" s="734"/>
      <c r="N45" s="732"/>
      <c r="O45" s="735"/>
      <c r="P45" s="733"/>
      <c r="Q45" s="732"/>
      <c r="R45" s="732"/>
    </row>
    <row r="46" spans="1:18" ht="8.1" customHeight="1" x14ac:dyDescent="0.2">
      <c r="H46" s="464"/>
    </row>
    <row r="47" spans="1:18" ht="20.100000000000001" customHeight="1" x14ac:dyDescent="0.2">
      <c r="A47" s="476" t="str">
        <f ca="1">NeoBerInfB!AI40</f>
        <v/>
      </c>
      <c r="B47" s="476" t="str">
        <f>NeoBerInfB!AJ40</f>
        <v>stand</v>
      </c>
      <c r="C47" s="716"/>
      <c r="F47" s="717"/>
      <c r="G47" s="639" t="str">
        <f ca="1">IF(NeoBerInfB!C40&gt;0,NeoBerInfB!C40&amp;" ml","")</f>
        <v/>
      </c>
      <c r="H47" s="472" t="str">
        <f ca="1">IF(G47&lt;&gt;"",ROUND(NeoBerInfB!C40/(_Pat_Gewicht/10),0)&amp;" ml/ kg","")</f>
        <v/>
      </c>
      <c r="L47" s="716" t="s">
        <v>433</v>
      </c>
      <c r="M47" s="464" t="str">
        <f ca="1">IF(NeoBerInfB!B40&gt;0,NeoBerInfB!B40&amp;" ml","")</f>
        <v/>
      </c>
      <c r="N47" s="464"/>
    </row>
    <row r="48" spans="1:18" ht="20.100000000000001" customHeight="1" x14ac:dyDescent="0.2">
      <c r="C48" s="475"/>
      <c r="D48" s="475"/>
      <c r="E48" s="475"/>
      <c r="F48" s="472"/>
      <c r="G48" s="464"/>
    </row>
    <row r="49" spans="1:18" ht="20.100000000000001" customHeight="1" x14ac:dyDescent="0.2">
      <c r="A49" s="476" t="str">
        <f ca="1">NeoBerInfB!AI39</f>
        <v/>
      </c>
      <c r="B49" s="467" t="str">
        <f>NeoBerInfB!AJ39</f>
        <v>stand</v>
      </c>
      <c r="C49" s="716"/>
      <c r="D49" s="716" t="s">
        <v>4303</v>
      </c>
      <c r="E49" s="716"/>
    </row>
    <row r="50" spans="1:18" ht="20.100000000000001" customHeight="1" x14ac:dyDescent="0.2">
      <c r="C50" s="716"/>
      <c r="D50" s="716"/>
      <c r="E50" s="716"/>
    </row>
    <row r="51" spans="1:18" ht="20.100000000000001" customHeight="1" thickBot="1" x14ac:dyDescent="0.25">
      <c r="C51" s="716"/>
      <c r="D51" s="716" t="s">
        <v>265</v>
      </c>
      <c r="E51" s="716"/>
      <c r="I51" s="639" t="str">
        <f>IF(NeoBerInfB!$D$41=2,NeoBerInfB!C42&amp;" ml","")</f>
        <v/>
      </c>
      <c r="K51" s="639" t="str">
        <f>IF(NeoBerInfB!$D$41=3,NeoBerInfB!C42&amp;" ml","")</f>
        <v/>
      </c>
      <c r="M51" s="464" t="str">
        <f ca="1">IF(NeoBerInfB!B42&gt;0,NeoBerInfB!B42&amp;" ml","")</f>
        <v/>
      </c>
      <c r="N51" s="464"/>
    </row>
    <row r="52" spans="1:18" ht="20.100000000000001" customHeight="1" thickTop="1" thickBot="1" x14ac:dyDescent="0.25">
      <c r="C52" s="716"/>
      <c r="D52" s="716" t="s">
        <v>449</v>
      </c>
      <c r="E52" s="716"/>
      <c r="I52" s="641" t="str">
        <f>IF(NeoBerInfB!$D$41=2,NeoBerInfB!C43&amp;" ml","")</f>
        <v/>
      </c>
      <c r="K52" s="640" t="str">
        <f>IF(NeoBerInfB!$D$41=3,NeoBerInfB!C43&amp;" ml","")</f>
        <v/>
      </c>
      <c r="M52" s="464" t="str">
        <f ca="1">IF(NeoBerInfB!B43&gt;0,NeoBerInfB!B43&amp;" ml","")</f>
        <v/>
      </c>
      <c r="N52" s="464"/>
    </row>
    <row r="53" spans="1:18" ht="20.100000000000001" customHeight="1" thickTop="1" thickBot="1" x14ac:dyDescent="0.25">
      <c r="C53" s="716"/>
      <c r="D53" s="716" t="s">
        <v>450</v>
      </c>
      <c r="E53" s="716"/>
      <c r="K53" s="640" t="str">
        <f>IF(NeoBerInfB!$D$41=3,NeoBerInfB!C44&amp;" ml","")</f>
        <v/>
      </c>
      <c r="M53" s="464" t="str">
        <f ca="1">IF(NeoBerInfB!B44&gt;0,NeoBerInfB!B44&amp;" ml","")</f>
        <v/>
      </c>
      <c r="N53" s="464"/>
    </row>
    <row r="54" spans="1:18" ht="20.100000000000001" customHeight="1" thickTop="1" thickBot="1" x14ac:dyDescent="0.25">
      <c r="C54" s="716"/>
      <c r="D54" s="716" t="s">
        <v>451</v>
      </c>
      <c r="E54" s="716"/>
      <c r="K54" s="640" t="str">
        <f>IF(NeoBerInfB!$D$41=3,NeoBerInfB!C45&amp;" ml","")</f>
        <v/>
      </c>
      <c r="M54" s="464" t="str">
        <f ca="1">IF(NeoBerInfB!B45&gt;0,NeoBerInfB!B45&amp;" ml","")</f>
        <v/>
      </c>
      <c r="N54" s="464"/>
    </row>
    <row r="55" spans="1:18" ht="20.100000000000001" customHeight="1" thickTop="1" thickBot="1" x14ac:dyDescent="0.25">
      <c r="C55" s="716"/>
      <c r="D55" s="716" t="s">
        <v>152</v>
      </c>
      <c r="E55" s="716"/>
      <c r="K55" s="640" t="str">
        <f>IF(NeoBerInfB!$D$41=3,NeoBerInfB!C46&amp;" ml","")</f>
        <v/>
      </c>
      <c r="M55" s="464" t="str">
        <f ca="1">IF(NeoBerInfB!B46&gt;0,NeoBerInfB!B46&amp;" ml","")</f>
        <v/>
      </c>
      <c r="N55" s="464"/>
    </row>
    <row r="56" spans="1:18" ht="20.100000000000001" customHeight="1" thickTop="1" thickBot="1" x14ac:dyDescent="0.25">
      <c r="C56" s="716"/>
      <c r="D56" s="716" t="s">
        <v>416</v>
      </c>
      <c r="E56" s="716"/>
      <c r="G56" s="796" t="str">
        <f ca="1">IF(NeoBerInfB!D41=1,NeoBerInfB!C47&amp;" ml","")</f>
        <v>0 ml</v>
      </c>
      <c r="I56" s="796" t="str">
        <f>IF(NeoBerInfB!$D$41=2,NeoBerInfB!C47&amp;" ml","")</f>
        <v/>
      </c>
      <c r="K56" s="641" t="str">
        <f>IF(NeoBerInfB!$D$41=3,NeoBerInfB!C47&amp;" ml","")</f>
        <v/>
      </c>
      <c r="M56" s="464" t="str">
        <f ca="1">IF(NeoBerInfB!B47&gt;0,NeoBerInfB!B47&amp;" ml","")</f>
        <v/>
      </c>
      <c r="N56" s="464"/>
    </row>
    <row r="57" spans="1:18" ht="20.100000000000001" customHeight="1" thickTop="1" x14ac:dyDescent="0.2">
      <c r="C57" s="716"/>
      <c r="D57" s="716" t="s">
        <v>417</v>
      </c>
      <c r="E57" s="716"/>
      <c r="G57" s="639" t="str">
        <f ca="1">IF(NeoBerInfB!D41=1,NeoBerInfB!C48&amp;" ml","")</f>
        <v>0 ml</v>
      </c>
      <c r="H57" s="469" t="e">
        <f ca="1">IF(G57&lt;&gt;"","("&amp;ROUND(NeoBerInfB!C48/(_Pat_Gewicht/10),0)&amp;" ml/kg)","")</f>
        <v>#DIV/0!</v>
      </c>
      <c r="M57" s="464" t="str">
        <f ca="1">IF(NeoBerInfB!B48&gt;0,NeoBerInfB!B48&amp;" ml","")</f>
        <v/>
      </c>
      <c r="N57" s="464"/>
    </row>
    <row r="58" spans="1:18" ht="20.100000000000001" customHeight="1" x14ac:dyDescent="0.2">
      <c r="C58" s="716"/>
      <c r="D58" s="716" t="s">
        <v>263</v>
      </c>
      <c r="E58" s="716"/>
      <c r="I58" s="639" t="str">
        <f>IF(NeoBerInfB!$D$41=2,NeoBerInfB!C49&amp;" ml","")</f>
        <v/>
      </c>
      <c r="J58" s="472" t="str">
        <f>IF(I58&lt;&gt;"","("&amp;ROUND(NeoBerInfB!C49/(_Pat_Gewicht/10),0)&amp;" ml/kg)","")</f>
        <v/>
      </c>
      <c r="M58" s="464" t="str">
        <f ca="1">IF(NeoBerInfB!B49&gt;0,NeoBerInfB!B49&amp;" ml","")</f>
        <v/>
      </c>
      <c r="N58" s="464"/>
    </row>
    <row r="59" spans="1:18" ht="20.100000000000001" customHeight="1" x14ac:dyDescent="0.2">
      <c r="C59" s="716"/>
      <c r="G59" s="469">
        <f>IF(NeoBerInfB!D41=1,NeoBerInfB!AL50,"")</f>
        <v>0</v>
      </c>
      <c r="H59" s="466" t="str">
        <f>IF(G59&lt;&gt;"","ml","")</f>
        <v>ml</v>
      </c>
      <c r="I59" s="469" t="str">
        <f>IF(NeoBerInfB!D41=2,NeoBerInfB!AL50,"")</f>
        <v/>
      </c>
      <c r="J59" s="466" t="str">
        <f>IF(I59&lt;&gt;"","ml","")</f>
        <v/>
      </c>
      <c r="K59" s="469" t="str">
        <f>IF(NeoBerInfB!D41=3,NeoBerInfB!AL50,"")</f>
        <v/>
      </c>
      <c r="L59" s="466" t="str">
        <f>IF(K59&lt;&gt;"","ml","")</f>
        <v/>
      </c>
      <c r="M59" s="464"/>
      <c r="N59" s="464"/>
    </row>
    <row r="60" spans="1:18" ht="20.100000000000001" customHeight="1" x14ac:dyDescent="0.2"/>
    <row r="61" spans="1:18" ht="20.100000000000001" customHeight="1" x14ac:dyDescent="0.2">
      <c r="C61" s="732"/>
      <c r="D61" s="732" t="s">
        <v>4302</v>
      </c>
      <c r="E61" s="736"/>
      <c r="F61" s="736"/>
      <c r="G61" s="736"/>
      <c r="H61" s="736"/>
      <c r="I61" s="736"/>
      <c r="J61" s="736"/>
      <c r="K61" s="736"/>
      <c r="L61" s="736"/>
      <c r="M61" s="732"/>
      <c r="N61" s="732"/>
      <c r="O61" s="732"/>
      <c r="P61" s="732"/>
      <c r="Q61" s="732"/>
      <c r="R61" s="732"/>
    </row>
    <row r="62" spans="1:18" ht="20.100000000000001" customHeight="1" x14ac:dyDescent="0.2">
      <c r="C62" s="722"/>
      <c r="D62" s="720" t="s">
        <v>89</v>
      </c>
      <c r="E62" s="721" t="s">
        <v>301</v>
      </c>
      <c r="F62" s="4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71"/>
      <c r="H62" s="471"/>
      <c r="I62" s="471"/>
      <c r="J62" s="471"/>
      <c r="K62" s="471"/>
      <c r="L62" s="471"/>
    </row>
    <row r="63" spans="1:18" ht="20.100000000000001" customHeight="1" x14ac:dyDescent="0.2">
      <c r="C63" s="722"/>
      <c r="D63" s="722"/>
      <c r="E63" s="721" t="s">
        <v>573</v>
      </c>
      <c r="F63" s="4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71"/>
      <c r="H63" s="471"/>
      <c r="I63" s="471"/>
      <c r="J63" s="471"/>
      <c r="K63" s="471"/>
      <c r="L63" s="471"/>
    </row>
    <row r="64" spans="1:18" ht="20.100000000000001" customHeight="1" x14ac:dyDescent="0.2">
      <c r="C64" s="722"/>
      <c r="D64" s="722"/>
      <c r="E64" s="721" t="s">
        <v>574</v>
      </c>
      <c r="F64" s="4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71"/>
      <c r="H64" s="471"/>
      <c r="I64" s="471"/>
      <c r="J64" s="471"/>
      <c r="K64" s="471"/>
      <c r="L64" s="471"/>
    </row>
    <row r="65" spans="1:18" ht="20.100000000000001" customHeight="1" x14ac:dyDescent="0.2">
      <c r="C65" s="722"/>
      <c r="D65" s="722"/>
      <c r="E65" s="721" t="s">
        <v>575</v>
      </c>
      <c r="F65" s="4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71"/>
      <c r="H65" s="471"/>
      <c r="I65" s="471"/>
      <c r="J65" s="471"/>
      <c r="K65" s="471"/>
      <c r="L65" s="471"/>
    </row>
    <row r="66" spans="1:18" ht="20.100000000000001" customHeight="1" x14ac:dyDescent="0.2">
      <c r="C66" s="722"/>
      <c r="D66" s="722"/>
      <c r="E66" s="721" t="s">
        <v>111</v>
      </c>
      <c r="F66" s="4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71"/>
      <c r="H66" s="471"/>
      <c r="I66" s="471"/>
      <c r="J66" s="471"/>
      <c r="K66" s="471"/>
      <c r="L66" s="471"/>
    </row>
    <row r="67" spans="1:18" ht="20.100000000000001" customHeight="1" x14ac:dyDescent="0.2">
      <c r="C67" s="722"/>
      <c r="D67" s="722"/>
      <c r="E67" s="721" t="s">
        <v>576</v>
      </c>
      <c r="F67" s="4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71"/>
      <c r="H67" s="471"/>
      <c r="I67" s="471"/>
      <c r="J67" s="471"/>
      <c r="K67" s="471"/>
      <c r="L67" s="471"/>
    </row>
    <row r="68" spans="1:18" ht="20.100000000000001" customHeight="1" x14ac:dyDescent="0.2">
      <c r="C68" s="722"/>
      <c r="D68" s="722"/>
      <c r="E68" s="721" t="s">
        <v>4294</v>
      </c>
      <c r="F68" s="4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71"/>
      <c r="H68" s="471"/>
      <c r="I68" s="471"/>
      <c r="J68" s="471"/>
      <c r="K68" s="471"/>
      <c r="L68" s="471"/>
    </row>
    <row r="69" spans="1:18" ht="20.100000000000001" customHeight="1" x14ac:dyDescent="0.2">
      <c r="C69" s="722"/>
      <c r="D69" s="722"/>
      <c r="E69" s="721" t="s">
        <v>4295</v>
      </c>
      <c r="F69" s="471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71"/>
      <c r="H69" s="471"/>
      <c r="I69" s="471"/>
      <c r="J69" s="471"/>
      <c r="K69" s="471"/>
      <c r="L69" s="471"/>
    </row>
    <row r="70" spans="1:18" ht="20.100000000000001" customHeight="1" x14ac:dyDescent="0.2">
      <c r="C70" s="722"/>
      <c r="D70" s="722"/>
      <c r="E70" s="721" t="s">
        <v>4296</v>
      </c>
      <c r="F70" s="471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71"/>
      <c r="H70" s="471"/>
      <c r="I70" s="471"/>
      <c r="J70" s="471"/>
      <c r="K70" s="471"/>
      <c r="L70" s="471"/>
    </row>
    <row r="71" spans="1:18" ht="20.100000000000001" customHeight="1" x14ac:dyDescent="0.2">
      <c r="A71" s="467" t="s">
        <v>4297</v>
      </c>
      <c r="C71" s="722"/>
      <c r="D71" s="722"/>
      <c r="E71" s="721" t="s">
        <v>225</v>
      </c>
      <c r="F71" s="913" t="str">
        <f>IF(_Neo_Lab_Opm=0,"",_Neo_Lab_Opm)</f>
        <v/>
      </c>
      <c r="G71" s="914"/>
      <c r="H71" s="914"/>
      <c r="I71" s="914"/>
      <c r="J71" s="914"/>
      <c r="K71" s="914"/>
      <c r="L71" s="914"/>
      <c r="M71" s="914"/>
      <c r="N71" s="914"/>
      <c r="O71" s="914"/>
      <c r="P71" s="914"/>
      <c r="Q71" s="914"/>
      <c r="R71" s="914"/>
    </row>
    <row r="72" spans="1:18" ht="20.100000000000001" customHeight="1" x14ac:dyDescent="0.2">
      <c r="C72" s="722"/>
      <c r="D72" s="722"/>
      <c r="E72" s="723"/>
      <c r="F72" s="914"/>
      <c r="G72" s="914"/>
      <c r="H72" s="914"/>
      <c r="I72" s="914"/>
      <c r="J72" s="914"/>
      <c r="K72" s="914"/>
      <c r="L72" s="914"/>
      <c r="M72" s="914"/>
      <c r="N72" s="914"/>
      <c r="O72" s="914"/>
      <c r="P72" s="914"/>
      <c r="Q72" s="914"/>
      <c r="R72" s="914"/>
    </row>
    <row r="73" spans="1:18" ht="20.100000000000001" customHeight="1" x14ac:dyDescent="0.2">
      <c r="C73" s="468"/>
      <c r="D73" s="468"/>
    </row>
  </sheetData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AO3" activePane="bottomRight" state="frozenSplit"/>
      <selection activeCell="J34" sqref="J34"/>
      <selection pane="topRight" activeCell="J34" sqref="J34"/>
      <selection pane="bottomLeft" activeCell="J34" sqref="J34"/>
      <selection pane="bottomRight" activeCell="AS23" sqref="AS23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19" customWidth="1"/>
    <col min="11" max="12" width="8.5703125" style="319" customWidth="1"/>
    <col min="13" max="13" width="11.5703125" style="319" customWidth="1"/>
    <col min="14" max="14" width="5.7109375" style="319" customWidth="1"/>
    <col min="15" max="15" width="9" style="319" customWidth="1"/>
    <col min="16" max="16" width="19.5703125" style="319" customWidth="1"/>
    <col min="17" max="17" width="10" style="319" customWidth="1"/>
    <col min="18" max="18" width="14.140625" style="319" customWidth="1"/>
    <col min="19" max="19" width="20.28515625" style="319" customWidth="1"/>
    <col min="20" max="20" width="16.140625" style="319" customWidth="1"/>
    <col min="21" max="22" width="6.28515625" style="319" customWidth="1"/>
    <col min="23" max="23" width="11.5703125" style="319" customWidth="1"/>
    <col min="24" max="25" width="8.28515625" style="319" customWidth="1"/>
    <col min="26" max="26" width="8.42578125" style="319" customWidth="1"/>
    <col min="27" max="34" width="11.5703125" style="319" customWidth="1"/>
    <col min="35" max="35" width="6.5703125" style="319" customWidth="1"/>
    <col min="36" max="37" width="9.28515625" style="319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19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19" customFormat="1" x14ac:dyDescent="0.2">
      <c r="A1" s="319" t="s">
        <v>4275</v>
      </c>
      <c r="H1" s="319">
        <v>20</v>
      </c>
      <c r="J1" s="426">
        <v>1</v>
      </c>
      <c r="K1" s="626"/>
      <c r="L1" s="626"/>
      <c r="M1" s="426">
        <v>2</v>
      </c>
      <c r="N1" s="626"/>
      <c r="O1" s="426"/>
      <c r="P1" s="426"/>
      <c r="Q1" s="426"/>
      <c r="R1" s="426">
        <v>3</v>
      </c>
      <c r="S1" s="109">
        <v>19</v>
      </c>
      <c r="T1" s="319">
        <v>15</v>
      </c>
      <c r="U1" s="319">
        <v>16</v>
      </c>
      <c r="V1" s="319">
        <v>17</v>
      </c>
      <c r="W1" s="319">
        <v>18</v>
      </c>
      <c r="X1" s="319">
        <v>13</v>
      </c>
      <c r="Y1" s="319">
        <v>14</v>
      </c>
      <c r="Z1" s="109"/>
      <c r="AM1" s="426">
        <v>6</v>
      </c>
      <c r="AN1" s="426">
        <v>7</v>
      </c>
      <c r="AO1" s="426">
        <v>8</v>
      </c>
      <c r="AP1" s="426">
        <v>10</v>
      </c>
      <c r="AQ1" s="426">
        <v>9</v>
      </c>
      <c r="AR1" s="426">
        <v>3</v>
      </c>
      <c r="AS1" s="426">
        <v>4</v>
      </c>
      <c r="AT1" s="426">
        <v>5</v>
      </c>
      <c r="AU1" s="426">
        <v>2</v>
      </c>
      <c r="AV1" s="426">
        <v>13</v>
      </c>
      <c r="AW1" s="426">
        <v>12</v>
      </c>
      <c r="AX1" s="426">
        <v>11</v>
      </c>
    </row>
    <row r="2" spans="1:56" s="424" customFormat="1" ht="25.5" x14ac:dyDescent="0.2">
      <c r="A2" s="438" t="s">
        <v>27</v>
      </c>
      <c r="C2" s="424" t="s">
        <v>4122</v>
      </c>
      <c r="D2" s="424" t="s">
        <v>3322</v>
      </c>
      <c r="E2" s="424" t="s">
        <v>4105</v>
      </c>
      <c r="F2" s="424" t="s">
        <v>4279</v>
      </c>
      <c r="G2" s="424" t="s">
        <v>882</v>
      </c>
      <c r="H2" s="424" t="s">
        <v>4281</v>
      </c>
      <c r="I2" s="424" t="s">
        <v>405</v>
      </c>
      <c r="J2" s="424" t="s">
        <v>261</v>
      </c>
      <c r="K2" s="424" t="s">
        <v>3328</v>
      </c>
      <c r="L2" s="424" t="s">
        <v>4122</v>
      </c>
      <c r="M2" s="424" t="s">
        <v>156</v>
      </c>
      <c r="N2" s="424" t="s">
        <v>3321</v>
      </c>
      <c r="O2" s="424" t="s">
        <v>3322</v>
      </c>
      <c r="P2" s="424" t="s">
        <v>4280</v>
      </c>
      <c r="Q2" s="424" t="s">
        <v>4273</v>
      </c>
      <c r="R2" s="424" t="s">
        <v>4276</v>
      </c>
      <c r="S2" s="424" t="s">
        <v>433</v>
      </c>
      <c r="T2" s="424" t="s">
        <v>4927</v>
      </c>
      <c r="U2" s="424" t="s">
        <v>4956</v>
      </c>
      <c r="V2" s="424" t="s">
        <v>4930</v>
      </c>
      <c r="W2" s="424" t="s">
        <v>4957</v>
      </c>
      <c r="X2" s="424" t="s">
        <v>4972</v>
      </c>
      <c r="Y2" s="424" t="s">
        <v>4973</v>
      </c>
      <c r="Z2" s="424" t="s">
        <v>299</v>
      </c>
      <c r="AA2" s="424" t="s">
        <v>4537</v>
      </c>
      <c r="AB2" s="424" t="s">
        <v>4535</v>
      </c>
      <c r="AC2" s="424" t="s">
        <v>4536</v>
      </c>
      <c r="AD2" s="424" t="s">
        <v>4533</v>
      </c>
      <c r="AE2" s="424" t="s">
        <v>4534</v>
      </c>
      <c r="AF2" s="424" t="s">
        <v>4911</v>
      </c>
      <c r="AG2" s="424" t="s">
        <v>4912</v>
      </c>
      <c r="AH2" s="424" t="s">
        <v>4913</v>
      </c>
      <c r="AI2" s="424" t="s">
        <v>4292</v>
      </c>
      <c r="AJ2" s="424" t="s">
        <v>4293</v>
      </c>
      <c r="AK2" s="424" t="s">
        <v>5000</v>
      </c>
      <c r="AL2" s="424" t="s">
        <v>241</v>
      </c>
      <c r="AM2" s="424" t="s">
        <v>173</v>
      </c>
      <c r="AN2" s="424" t="s">
        <v>174</v>
      </c>
      <c r="AO2" s="424" t="s">
        <v>175</v>
      </c>
      <c r="AP2" s="424" t="s">
        <v>176</v>
      </c>
      <c r="AQ2" s="424" t="s">
        <v>421</v>
      </c>
      <c r="AR2" s="424" t="s">
        <v>172</v>
      </c>
      <c r="AS2" s="424" t="s">
        <v>422</v>
      </c>
      <c r="AT2" s="424" t="s">
        <v>423</v>
      </c>
      <c r="AU2" s="424" t="s">
        <v>424</v>
      </c>
      <c r="AV2" s="424" t="s">
        <v>466</v>
      </c>
      <c r="AW2" s="424" t="s">
        <v>432</v>
      </c>
      <c r="AX2" s="424" t="s">
        <v>741</v>
      </c>
      <c r="AY2" s="424" t="s">
        <v>444</v>
      </c>
      <c r="AZ2" s="424" t="s">
        <v>482</v>
      </c>
      <c r="BB2" s="424" t="s">
        <v>4283</v>
      </c>
      <c r="BC2" s="424" t="s">
        <v>7080</v>
      </c>
      <c r="BD2" s="424" t="s">
        <v>3328</v>
      </c>
    </row>
    <row r="3" spans="1:56" s="319" customFormat="1" x14ac:dyDescent="0.2">
      <c r="A3" s="235" t="s">
        <v>3747</v>
      </c>
      <c r="B3" s="319" t="s">
        <v>5185</v>
      </c>
      <c r="AJ3" s="319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41538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19" t="str">
        <f>IF(_Pat_Gewicht&gt;0,IF(B21,C7,ROUND(AL54/(_Pat_Gewicht/10),1)),"")</f>
        <v/>
      </c>
      <c r="AI7" s="319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19" customFormat="1" x14ac:dyDescent="0.2">
      <c r="BB8" s="109"/>
      <c r="BC8" s="109"/>
      <c r="BD8" s="109"/>
    </row>
    <row r="9" spans="1:56" s="319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19">
        <v>0</v>
      </c>
      <c r="I9" s="109">
        <v>2</v>
      </c>
      <c r="O9" s="319" t="str">
        <f>IF($B9&gt;1,(G9/10)&amp;" ml","")</f>
        <v/>
      </c>
      <c r="P9" s="319" t="str">
        <f>IF($B9&gt;1,INDEX(Tbl_Neo_Voed,$B9,1),"")</f>
        <v/>
      </c>
      <c r="AI9" s="319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19" customFormat="1" x14ac:dyDescent="0.2">
      <c r="B10" s="319">
        <v>1</v>
      </c>
      <c r="C10" s="109">
        <v>0</v>
      </c>
      <c r="F10" s="109">
        <v>0</v>
      </c>
      <c r="G10" s="319">
        <v>0</v>
      </c>
      <c r="O10" s="319" t="str">
        <f>IF($B9&gt;1,(G10/10)&amp;" ml","")</f>
        <v/>
      </c>
      <c r="BB10" s="109"/>
      <c r="BC10" s="109"/>
      <c r="BD10" s="109"/>
    </row>
    <row r="11" spans="1:56" s="319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19" t="str">
        <f>IF(H11&gt;0,H11&amp;" %","")</f>
        <v/>
      </c>
      <c r="O11" s="319" t="str">
        <f t="shared" ref="O11:O19" si="1">IF($B11&gt;1,ROUND(G11,2)&amp;" gram","")</f>
        <v>0 gram</v>
      </c>
      <c r="P11" s="319" t="str">
        <f>IF(B11&gt;1,INDEX(Tbl_Neo_PoedMM,$B11,1),"")</f>
        <v>Nutrilon Nenatal BMF</v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19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19">
        <f>IF(Var_Neo_InfB_Ent_Voeding&lt;=8,(H12/100)*$AL$9,0)</f>
        <v>0</v>
      </c>
      <c r="H12" s="302">
        <f t="shared" ref="H12:H19" si="4">INDEX(Tbl_Neo_NutrToevWaard,F12)</f>
        <v>0</v>
      </c>
      <c r="M12" s="319" t="str">
        <f t="shared" ref="M12:M19" si="5">IF(H12&gt;0,H12&amp;" %","")</f>
        <v/>
      </c>
      <c r="O12" s="319" t="str">
        <f t="shared" si="1"/>
        <v/>
      </c>
      <c r="P12" s="319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19" t="str">
        <f t="shared" si="3"/>
        <v/>
      </c>
      <c r="BC12" s="109"/>
      <c r="BD12" s="109"/>
    </row>
    <row r="13" spans="1:56" s="319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19">
        <f>IF(Var_Neo_InfB_Ent_Voeding&lt;=8,(H13/100)*$AL$9,0)</f>
        <v>0</v>
      </c>
      <c r="H13" s="302">
        <f t="shared" si="4"/>
        <v>0</v>
      </c>
      <c r="M13" s="319" t="str">
        <f t="shared" si="5"/>
        <v/>
      </c>
      <c r="O13" s="319" t="str">
        <f t="shared" si="1"/>
        <v/>
      </c>
      <c r="P13" s="319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19" t="str">
        <f t="shared" si="3"/>
        <v/>
      </c>
      <c r="BC13" s="109"/>
      <c r="BD13" s="109"/>
    </row>
    <row r="14" spans="1:56" s="319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19">
        <f>IF(Var_Neo_InfB_Ent_Voeding&lt;=8,(H14/100)*$AL$9,0)</f>
        <v>0</v>
      </c>
      <c r="H14" s="302">
        <f t="shared" si="4"/>
        <v>0</v>
      </c>
      <c r="M14" s="319" t="str">
        <f t="shared" si="5"/>
        <v/>
      </c>
      <c r="O14" s="319" t="str">
        <f t="shared" si="1"/>
        <v/>
      </c>
      <c r="P14" s="319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19" t="str">
        <f t="shared" si="3"/>
        <v/>
      </c>
      <c r="BC14" s="109"/>
      <c r="BD14" s="109"/>
    </row>
    <row r="15" spans="1:56" s="319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19">
        <f>IF(Var_Neo_InfB_Ent_Voeding&lt;=8,(H15/100)*$AL$9,0)</f>
        <v>0</v>
      </c>
      <c r="H15" s="302">
        <f t="shared" si="4"/>
        <v>0</v>
      </c>
      <c r="M15" s="319" t="str">
        <f t="shared" si="5"/>
        <v/>
      </c>
      <c r="O15" s="319" t="str">
        <f t="shared" si="1"/>
        <v/>
      </c>
      <c r="P15" s="319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19" t="str">
        <f t="shared" si="3"/>
        <v/>
      </c>
      <c r="BC15" s="109"/>
      <c r="BD15" s="109"/>
    </row>
    <row r="16" spans="1:56" s="319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19">
        <f>IF(Var_Neo_InfB_Ent_Voeding&gt;8,(H16/100)*$AL$9,0)</f>
        <v>0</v>
      </c>
      <c r="H16" s="302">
        <f t="shared" si="4"/>
        <v>0</v>
      </c>
      <c r="M16" s="319" t="str">
        <f t="shared" si="5"/>
        <v/>
      </c>
      <c r="O16" s="319" t="str">
        <f t="shared" si="1"/>
        <v/>
      </c>
      <c r="P16" s="319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19" t="str">
        <f t="shared" si="3"/>
        <v/>
      </c>
      <c r="BC16" s="109"/>
      <c r="BD16" s="109"/>
    </row>
    <row r="17" spans="1:56" s="319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19">
        <f>IF(Var_Neo_InfB_Ent_Voeding&gt;8,(H17/100)*$AL$9,0)</f>
        <v>0</v>
      </c>
      <c r="H17" s="302">
        <f t="shared" si="4"/>
        <v>0</v>
      </c>
      <c r="M17" s="319" t="str">
        <f t="shared" si="5"/>
        <v/>
      </c>
      <c r="O17" s="319" t="str">
        <f t="shared" si="1"/>
        <v/>
      </c>
      <c r="P17" s="319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19" t="str">
        <f t="shared" si="3"/>
        <v/>
      </c>
      <c r="BC17" s="109"/>
      <c r="BD17" s="109"/>
    </row>
    <row r="18" spans="1:56" s="319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19">
        <f>IF(Var_Neo_InfB_Ent_Voeding&gt;8,(H18/100)*$AL$9,0)</f>
        <v>0</v>
      </c>
      <c r="H18" s="302">
        <f t="shared" si="4"/>
        <v>0</v>
      </c>
      <c r="M18" s="319" t="str">
        <f t="shared" si="5"/>
        <v/>
      </c>
      <c r="O18" s="319" t="str">
        <f t="shared" si="1"/>
        <v/>
      </c>
      <c r="P18" s="319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19" t="str">
        <f t="shared" si="3"/>
        <v/>
      </c>
      <c r="BC18" s="109"/>
      <c r="BD18" s="109"/>
    </row>
    <row r="19" spans="1:56" s="319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19">
        <f>IF(Var_Neo_InfB_Ent_Voeding&gt;8,(H19/100)*$AL$9,0)</f>
        <v>0</v>
      </c>
      <c r="H19" s="302">
        <f t="shared" si="4"/>
        <v>0</v>
      </c>
      <c r="M19" s="319" t="str">
        <f t="shared" si="5"/>
        <v/>
      </c>
      <c r="O19" s="319" t="str">
        <f t="shared" si="1"/>
        <v/>
      </c>
      <c r="P19" s="319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19" t="str">
        <f t="shared" si="3"/>
        <v/>
      </c>
      <c r="BC19" s="109"/>
      <c r="BD19" s="109"/>
    </row>
    <row r="20" spans="1:56" s="319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4278</v>
      </c>
      <c r="Q22" s="319" t="str">
        <f>IF(B22&gt;0,(B22/10)&amp;" ml/uur","")</f>
        <v/>
      </c>
      <c r="R22" s="109"/>
      <c r="S22" s="109"/>
      <c r="Z22" s="109"/>
      <c r="AI22" s="319" t="str">
        <f>IF(B22&gt;0,"verw","")</f>
        <v/>
      </c>
      <c r="AL22" s="109">
        <f>IF(I22,0,B22*2.4)</f>
        <v>0</v>
      </c>
      <c r="AM22" s="319">
        <f t="shared" ref="AM22:AX22" si="7">IF($B22&gt;0,VLOOKUP($P22,Tbl_Glob_ParEnt,AM$1,FALSE),0)*$AL22</f>
        <v>0</v>
      </c>
      <c r="AN22" s="319">
        <f t="shared" si="7"/>
        <v>0</v>
      </c>
      <c r="AO22" s="319">
        <f t="shared" si="7"/>
        <v>0</v>
      </c>
      <c r="AP22" s="319">
        <f t="shared" si="7"/>
        <v>0</v>
      </c>
      <c r="AQ22" s="319">
        <f t="shared" si="7"/>
        <v>0</v>
      </c>
      <c r="AR22" s="319">
        <f t="shared" si="7"/>
        <v>0</v>
      </c>
      <c r="AS22" s="319">
        <f t="shared" si="7"/>
        <v>0</v>
      </c>
      <c r="AT22" s="319">
        <f t="shared" si="7"/>
        <v>0</v>
      </c>
      <c r="AU22" s="319">
        <f t="shared" si="7"/>
        <v>0</v>
      </c>
      <c r="AV22" s="319">
        <f t="shared" si="7"/>
        <v>0</v>
      </c>
      <c r="AW22" s="319">
        <f t="shared" si="7"/>
        <v>0</v>
      </c>
      <c r="AX22" s="319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>IF(AND(_Pat_Gewicht&gt;0,D23&gt;0),IF(IsEpiduraal(J23),F23/10,FixPrecision( ((C23/10)/D23)*(F23/10)*H23/(_Pat_Gewicht/10),2)),0)</f>
        <v>0</v>
      </c>
      <c r="H23" s="109">
        <f t="shared" ref="H23:H32" si="8">IF(B23&gt;1,INDEX(Tbl_Neo_MedIV,B23,H$1),1)</f>
        <v>1</v>
      </c>
      <c r="I23" s="109" t="b">
        <v>0</v>
      </c>
      <c r="J23" s="109" t="str">
        <f t="shared" ref="J23:J32" si="9">IF($B23&gt;1,INDEX(Tbl_Neo_MedIV,$B23,J$1),"")</f>
        <v/>
      </c>
      <c r="K23" s="319">
        <f>INDEX(Tbl_Neo_MedIV,NeoBerInfB!B23,4)</f>
        <v>0</v>
      </c>
      <c r="L23" s="319">
        <f>INDEX(Tbl_Neo_MedIV,NeoBerInfB!B23,5)</f>
        <v>0</v>
      </c>
      <c r="M23" s="109" t="str">
        <f t="shared" ref="M23:M31" si="10">IF($B23&gt;1,(C23/10)&amp;" "&amp;INDEX(Tbl_Neo_MedIV,$B23,M$1),"")</f>
        <v/>
      </c>
      <c r="N23" s="319" t="str">
        <f t="shared" ref="N23:N32" si="11">IF($B23&gt;1,INDEX(Tbl_Neo_MedIV,$B23,M$1),"")</f>
        <v/>
      </c>
      <c r="O23" s="319" t="str">
        <f t="shared" ref="O23:O32" si="12">IF($B23&gt;1,(D23)&amp;" ml","")</f>
        <v/>
      </c>
      <c r="P23" s="109" t="str">
        <f t="shared" ref="P23:P35" si="13">IF(E23&gt;1,INDEX(Tbl_Neo_OplVlst,E23,1),"")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19" t="str">
        <f t="shared" ref="T23:X32" si="17">IF($B23&gt;1,INDEX(Tbl_Neo_MedIV,$B23,T$1),"")</f>
        <v/>
      </c>
      <c r="U23" s="319" t="str">
        <f t="shared" si="17"/>
        <v/>
      </c>
      <c r="V23" s="319" t="str">
        <f t="shared" si="17"/>
        <v/>
      </c>
      <c r="W23" s="319" t="str">
        <f t="shared" si="17"/>
        <v/>
      </c>
      <c r="X23" s="319" t="str">
        <f t="shared" si="17"/>
        <v/>
      </c>
      <c r="Y23" s="319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19" t="b">
        <f>NOT(OR(B23=1,F23=10*IF(Y23&lt;&gt;"",Y23,0)))</f>
        <v>0</v>
      </c>
      <c r="AB23" s="319" t="b">
        <f>NOT(OR(B23=1,D23=IF(X23&lt;&gt;"",X23,0)))</f>
        <v>0</v>
      </c>
      <c r="AC23" s="319" t="b">
        <f t="shared" ref="AC23:AC32" si="19">NOT(OR(B23=1,E23=INDEX(Tbl_Neo_MedIV,B23,11)))</f>
        <v>0</v>
      </c>
      <c r="AD23" s="319" t="b">
        <f t="shared" ref="AD23:AD32" si="20">AND(B23&gt;1,NOT(AND(G23&gt;=INDEX(Tbl_Neo_MedIV,B23,6),G23&lt;=INDEX(Tbl_Neo_MedIV,B23,7))))</f>
        <v>0</v>
      </c>
      <c r="AE23" s="319" t="b">
        <f t="shared" ref="AE23:AE32" si="21">AND(B23&gt;1,AND(G23&gt;0,G23&gt;INDEX(Tbl_Neo_MedIV,B23,8)))</f>
        <v>0</v>
      </c>
      <c r="AF23" s="319" t="b">
        <f>OR(AG23,AH23)</f>
        <v>0</v>
      </c>
      <c r="AG23" s="319" t="b">
        <f t="shared" ref="AG23:AG32" si="22">IF(D23&gt;0,(C23/10)/D23&lt;INDEX(Tbl_Neo_MedIV,B23,9),FALSE)</f>
        <v>0</v>
      </c>
      <c r="AH23" s="319" t="b">
        <f>IF(IsEpiduraal(J23),C23&gt;_Pat_Gewicht,IF(D23&gt;0,AND(INDEX(Tbl_Neo_MedIV,B23,10)&lt;&gt;0,(C23/10)/D23&gt;INDEX(Tbl_Neo_MedIV,B23,10)),FALSE))</f>
        <v>0</v>
      </c>
      <c r="AI23" s="319" t="str">
        <f t="shared" ref="AI23:AI32" si="23">IF(B23&gt;1,"verw","")</f>
        <v/>
      </c>
      <c r="AJ23" s="319" t="str">
        <f>IF(OR(AA23,AB23,AC23,AF23),"stand","")</f>
        <v/>
      </c>
      <c r="AK23" s="125" t="str">
        <f>IF(AND(F23&gt;0,D23&gt;0), IF(StartsWith(J23,"doxapram"),8,_xlfn.FLOOR.PRECISE( 24/(D23/(F23/10)),1)),"")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19">
        <f t="shared" si="25"/>
        <v>0</v>
      </c>
      <c r="AO23" s="319">
        <f t="shared" si="25"/>
        <v>0</v>
      </c>
      <c r="AP23" s="319">
        <f t="shared" si="25"/>
        <v>0</v>
      </c>
      <c r="AQ23" s="319">
        <f t="shared" si="25"/>
        <v>0</v>
      </c>
      <c r="AR23" s="319">
        <f t="shared" si="25"/>
        <v>0</v>
      </c>
      <c r="AS23" s="319">
        <f t="shared" si="25"/>
        <v>0</v>
      </c>
      <c r="AT23" s="319">
        <f t="shared" si="25"/>
        <v>0</v>
      </c>
      <c r="AU23" s="319">
        <f t="shared" si="25"/>
        <v>0</v>
      </c>
      <c r="AV23" s="319">
        <f t="shared" si="25"/>
        <v>0</v>
      </c>
      <c r="AW23" s="319">
        <f t="shared" si="25"/>
        <v>0</v>
      </c>
      <c r="AX23" s="319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  <c r="BC23" s="109" t="b">
        <f>AND(B23&gt;1,C23/10/BD23&lt;0.1)</f>
        <v>0</v>
      </c>
      <c r="BD23" s="109">
        <f t="shared" ref="BD23:BD32" si="28">IF(B23&gt;1,INDEX(Tbl_Neo_MedIV,B23,4),1)</f>
        <v>1</v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>IF(AND(_Pat_Gewicht&gt;0,D24&gt;0),IF(IsEpiduraal(J24),F24/10,FixPrecision( ((C24/10)/D24)*(F24/10)*H24/(_Pat_Gewicht/10),2)),0)</f>
        <v>0</v>
      </c>
      <c r="H24" s="319">
        <f t="shared" si="8"/>
        <v>1</v>
      </c>
      <c r="I24" s="109" t="b">
        <v>0</v>
      </c>
      <c r="J24" s="319" t="str">
        <f t="shared" si="9"/>
        <v/>
      </c>
      <c r="K24" s="319">
        <f>INDEX(Tbl_Neo_MedIV,NeoBerInfB!B24,4)</f>
        <v>0</v>
      </c>
      <c r="L24" s="319">
        <f>INDEX(Tbl_Neo_MedIV,NeoBerInfB!B24,5)</f>
        <v>0</v>
      </c>
      <c r="M24" s="319" t="str">
        <f t="shared" si="10"/>
        <v/>
      </c>
      <c r="N24" s="319" t="str">
        <f t="shared" si="11"/>
        <v/>
      </c>
      <c r="O24" s="319" t="str">
        <f t="shared" si="12"/>
        <v/>
      </c>
      <c r="P24" s="319" t="str">
        <f t="shared" si="13"/>
        <v/>
      </c>
      <c r="Q24" s="319" t="str">
        <f t="shared" si="14"/>
        <v/>
      </c>
      <c r="R24" s="319" t="str">
        <f t="shared" si="15"/>
        <v/>
      </c>
      <c r="S24" s="319" t="str">
        <f t="shared" si="16"/>
        <v/>
      </c>
      <c r="T24" s="319" t="str">
        <f t="shared" si="17"/>
        <v/>
      </c>
      <c r="U24" s="319" t="str">
        <f t="shared" si="17"/>
        <v/>
      </c>
      <c r="V24" s="319" t="str">
        <f t="shared" si="17"/>
        <v/>
      </c>
      <c r="W24" s="319" t="str">
        <f t="shared" si="17"/>
        <v/>
      </c>
      <c r="X24" s="319" t="str">
        <f t="shared" si="17"/>
        <v/>
      </c>
      <c r="Y24" s="319" t="str">
        <f t="shared" ref="Y24:Y32" si="29">IF($B24&gt;1,INDEX(Tbl_Neo_MedIV,$B24,Y$1),"")</f>
        <v/>
      </c>
      <c r="Z24" s="319" t="str">
        <f t="shared" si="18"/>
        <v/>
      </c>
      <c r="AA24" s="319" t="b">
        <f t="shared" ref="AA24:AA32" si="30">NOT(OR(B24=1,F24=10*IF(Y24&lt;&gt;"",Y24,0)))</f>
        <v>0</v>
      </c>
      <c r="AB24" s="319" t="b">
        <f t="shared" ref="AB24:AB32" si="31">NOT(OR(B24=1,D24=IF(X24&lt;&gt;"",X24,0)))</f>
        <v>0</v>
      </c>
      <c r="AC24" s="319" t="b">
        <f t="shared" si="19"/>
        <v>0</v>
      </c>
      <c r="AD24" s="319" t="b">
        <f t="shared" si="20"/>
        <v>0</v>
      </c>
      <c r="AE24" s="319" t="b">
        <f t="shared" si="21"/>
        <v>0</v>
      </c>
      <c r="AF24" s="319" t="b">
        <f t="shared" ref="AF24:AF32" si="32">OR(AG24,AH24)</f>
        <v>0</v>
      </c>
      <c r="AG24" s="786" t="b">
        <f t="shared" si="22"/>
        <v>0</v>
      </c>
      <c r="AH24" s="777" t="b">
        <f>IF(IsEpiduraal(J24),C24&gt;_Pat_Gewicht,IF(D24&gt;0,AND(INDEX(Tbl_Neo_MedIV,B24,10)&lt;&gt;0,(C24/10)/D24&gt;INDEX(Tbl_Neo_MedIV,B24,10)),FALSE))</f>
        <v>0</v>
      </c>
      <c r="AI24" s="319" t="str">
        <f t="shared" si="23"/>
        <v/>
      </c>
      <c r="AJ24" s="319" t="str">
        <f t="shared" ref="AJ24:AJ32" si="33">IF(OR(AA24,AB24,AC24,AF24),"stand","")</f>
        <v/>
      </c>
      <c r="AK24" s="125" t="str">
        <f>IF(AND(F24&gt;0,D24&gt;0), IF(StartsWith(J24,"doxapram"),8,_xlfn.FLOOR.PRECISE( 24/(D24/(F24/10)),1)),"")</f>
        <v/>
      </c>
      <c r="AL24" s="109">
        <f t="shared" si="24"/>
        <v>0</v>
      </c>
      <c r="AM24" s="319">
        <f t="shared" si="25"/>
        <v>0</v>
      </c>
      <c r="AN24" s="319">
        <f t="shared" si="25"/>
        <v>0</v>
      </c>
      <c r="AO24" s="319">
        <f t="shared" si="25"/>
        <v>0</v>
      </c>
      <c r="AP24" s="319">
        <f t="shared" si="25"/>
        <v>0</v>
      </c>
      <c r="AQ24" s="319">
        <f t="shared" si="25"/>
        <v>0</v>
      </c>
      <c r="AR24" s="319">
        <f t="shared" si="25"/>
        <v>0</v>
      </c>
      <c r="AS24" s="319">
        <f t="shared" si="25"/>
        <v>0</v>
      </c>
      <c r="AT24" s="319">
        <f t="shared" si="25"/>
        <v>0</v>
      </c>
      <c r="AU24" s="319">
        <f t="shared" si="25"/>
        <v>0</v>
      </c>
      <c r="AV24" s="319">
        <f t="shared" si="25"/>
        <v>0</v>
      </c>
      <c r="AW24" s="319">
        <f t="shared" si="25"/>
        <v>0</v>
      </c>
      <c r="AX24" s="319">
        <f t="shared" si="25"/>
        <v>0</v>
      </c>
      <c r="AY24" s="109">
        <f t="shared" ref="AY24:AY31" si="34">ROUND(IF(AZ24*10&gt;1,AZ24*10,AZ24*600),0)</f>
        <v>0</v>
      </c>
      <c r="AZ24" s="109">
        <f t="shared" si="26"/>
        <v>0</v>
      </c>
      <c r="BB24" s="319" t="str">
        <f t="shared" si="27"/>
        <v/>
      </c>
      <c r="BC24" s="800" t="b">
        <f t="shared" ref="BC24:BC32" si="35">AND(B24&gt;1,C24/10/BD24&lt;0.1)</f>
        <v>0</v>
      </c>
      <c r="BD24" s="800">
        <f t="shared" si="28"/>
        <v>1</v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>IF(AND(_Pat_Gewicht&gt;0,D25&gt;0),IF(IsEpiduraal(J25),F25/10,FixPrecision( ((C25/10)/D25)*(F25/10)*H25/(_Pat_Gewicht/10),2)),0)</f>
        <v>0</v>
      </c>
      <c r="H25" s="319">
        <f t="shared" si="8"/>
        <v>1</v>
      </c>
      <c r="I25" s="109" t="b">
        <v>0</v>
      </c>
      <c r="J25" s="319" t="str">
        <f t="shared" si="9"/>
        <v/>
      </c>
      <c r="K25" s="319">
        <f>INDEX(Tbl_Neo_MedIV,NeoBerInfB!B25,4)</f>
        <v>0</v>
      </c>
      <c r="L25" s="319">
        <f>INDEX(Tbl_Neo_MedIV,NeoBerInfB!B25,5)</f>
        <v>0</v>
      </c>
      <c r="M25" s="319" t="str">
        <f t="shared" si="10"/>
        <v/>
      </c>
      <c r="N25" s="319" t="str">
        <f t="shared" si="11"/>
        <v/>
      </c>
      <c r="O25" s="319" t="str">
        <f t="shared" si="12"/>
        <v/>
      </c>
      <c r="P25" s="319" t="str">
        <f t="shared" si="13"/>
        <v/>
      </c>
      <c r="Q25" s="319" t="str">
        <f t="shared" si="14"/>
        <v/>
      </c>
      <c r="R25" s="319" t="str">
        <f t="shared" si="15"/>
        <v/>
      </c>
      <c r="S25" s="319" t="str">
        <f t="shared" si="16"/>
        <v/>
      </c>
      <c r="T25" s="319" t="str">
        <f t="shared" si="17"/>
        <v/>
      </c>
      <c r="U25" s="319" t="str">
        <f t="shared" si="17"/>
        <v/>
      </c>
      <c r="V25" s="319" t="str">
        <f t="shared" si="17"/>
        <v/>
      </c>
      <c r="W25" s="319" t="str">
        <f t="shared" si="17"/>
        <v/>
      </c>
      <c r="X25" s="319" t="str">
        <f t="shared" si="17"/>
        <v/>
      </c>
      <c r="Y25" s="319" t="str">
        <f t="shared" si="29"/>
        <v/>
      </c>
      <c r="Z25" s="319" t="str">
        <f t="shared" si="18"/>
        <v/>
      </c>
      <c r="AA25" s="319" t="b">
        <f t="shared" si="30"/>
        <v>0</v>
      </c>
      <c r="AB25" s="319" t="b">
        <f t="shared" si="31"/>
        <v>0</v>
      </c>
      <c r="AC25" s="319" t="b">
        <f t="shared" si="19"/>
        <v>0</v>
      </c>
      <c r="AD25" s="319" t="b">
        <f t="shared" si="20"/>
        <v>0</v>
      </c>
      <c r="AE25" s="319" t="b">
        <f t="shared" si="21"/>
        <v>0</v>
      </c>
      <c r="AF25" s="319" t="b">
        <f t="shared" si="32"/>
        <v>0</v>
      </c>
      <c r="AG25" s="786" t="b">
        <f t="shared" si="22"/>
        <v>0</v>
      </c>
      <c r="AH25" s="777" t="b">
        <f>IF(IsEpiduraal(J25),C25&gt;_Pat_Gewicht,IF(D25&gt;0,AND(INDEX(Tbl_Neo_MedIV,B25,10)&lt;&gt;0,(C25/10)/D25&gt;INDEX(Tbl_Neo_MedIV,B25,10)),FALSE))</f>
        <v>0</v>
      </c>
      <c r="AI25" s="319" t="str">
        <f t="shared" si="23"/>
        <v/>
      </c>
      <c r="AJ25" s="319" t="str">
        <f t="shared" si="33"/>
        <v/>
      </c>
      <c r="AK25" s="125" t="str">
        <f>IF(AND(F25&gt;0,D25&gt;0), IF(StartsWith(J25,"doxapram"),8,_xlfn.FLOOR.PRECISE( 24/(D25/(F25/10)),1)),"")</f>
        <v/>
      </c>
      <c r="AL25" s="109">
        <f t="shared" si="24"/>
        <v>0</v>
      </c>
      <c r="AM25" s="319">
        <f t="shared" si="25"/>
        <v>0</v>
      </c>
      <c r="AN25" s="319">
        <f t="shared" si="25"/>
        <v>0</v>
      </c>
      <c r="AO25" s="319">
        <f t="shared" si="25"/>
        <v>0</v>
      </c>
      <c r="AP25" s="319">
        <f t="shared" si="25"/>
        <v>0</v>
      </c>
      <c r="AQ25" s="319">
        <f t="shared" si="25"/>
        <v>0</v>
      </c>
      <c r="AR25" s="319">
        <f t="shared" si="25"/>
        <v>0</v>
      </c>
      <c r="AS25" s="319">
        <f t="shared" si="25"/>
        <v>0</v>
      </c>
      <c r="AT25" s="319">
        <f t="shared" si="25"/>
        <v>0</v>
      </c>
      <c r="AU25" s="319">
        <f t="shared" si="25"/>
        <v>0</v>
      </c>
      <c r="AV25" s="319">
        <f t="shared" si="25"/>
        <v>0</v>
      </c>
      <c r="AW25" s="319">
        <f t="shared" si="25"/>
        <v>0</v>
      </c>
      <c r="AX25" s="319">
        <f t="shared" si="25"/>
        <v>0</v>
      </c>
      <c r="AY25" s="109">
        <f t="shared" si="34"/>
        <v>0</v>
      </c>
      <c r="AZ25" s="109">
        <f t="shared" si="26"/>
        <v>0</v>
      </c>
      <c r="BB25" s="319" t="str">
        <f t="shared" si="27"/>
        <v/>
      </c>
      <c r="BC25" s="800" t="b">
        <f t="shared" si="35"/>
        <v>0</v>
      </c>
      <c r="BD25" s="800">
        <f t="shared" si="28"/>
        <v>1</v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>IF(AND(_Pat_Gewicht&gt;0,D26&gt;0),IF(IsEpiduraal(J26),F26/10,FixPrecision( ((C26/10)/D26)*(F26/10)*H26/(_Pat_Gewicht/10),2)),0)</f>
        <v>0</v>
      </c>
      <c r="H26" s="319">
        <f t="shared" si="8"/>
        <v>1</v>
      </c>
      <c r="I26" s="109" t="b">
        <v>0</v>
      </c>
      <c r="J26" s="319" t="str">
        <f t="shared" si="9"/>
        <v/>
      </c>
      <c r="K26" s="319">
        <f>INDEX(Tbl_Neo_MedIV,NeoBerInfB!B26,4)</f>
        <v>0</v>
      </c>
      <c r="L26" s="319">
        <f>INDEX(Tbl_Neo_MedIV,NeoBerInfB!B26,5)</f>
        <v>0</v>
      </c>
      <c r="M26" s="319" t="str">
        <f t="shared" si="10"/>
        <v/>
      </c>
      <c r="N26" s="319" t="str">
        <f t="shared" si="11"/>
        <v/>
      </c>
      <c r="O26" s="319" t="str">
        <f t="shared" si="12"/>
        <v/>
      </c>
      <c r="P26" s="319" t="str">
        <f t="shared" si="13"/>
        <v/>
      </c>
      <c r="Q26" s="319" t="str">
        <f t="shared" si="14"/>
        <v/>
      </c>
      <c r="R26" s="319" t="str">
        <f t="shared" si="15"/>
        <v/>
      </c>
      <c r="S26" s="319" t="str">
        <f t="shared" si="16"/>
        <v/>
      </c>
      <c r="T26" s="319" t="str">
        <f t="shared" si="17"/>
        <v/>
      </c>
      <c r="U26" s="319" t="str">
        <f t="shared" si="17"/>
        <v/>
      </c>
      <c r="V26" s="319" t="str">
        <f t="shared" si="17"/>
        <v/>
      </c>
      <c r="W26" s="319" t="str">
        <f t="shared" si="17"/>
        <v/>
      </c>
      <c r="X26" s="319" t="str">
        <f t="shared" si="17"/>
        <v/>
      </c>
      <c r="Y26" s="319" t="str">
        <f t="shared" si="29"/>
        <v/>
      </c>
      <c r="Z26" s="319" t="str">
        <f t="shared" si="18"/>
        <v/>
      </c>
      <c r="AA26" s="319" t="b">
        <f t="shared" si="30"/>
        <v>0</v>
      </c>
      <c r="AB26" s="319" t="b">
        <f t="shared" si="31"/>
        <v>0</v>
      </c>
      <c r="AC26" s="319" t="b">
        <f t="shared" si="19"/>
        <v>0</v>
      </c>
      <c r="AD26" s="319" t="b">
        <f t="shared" si="20"/>
        <v>0</v>
      </c>
      <c r="AE26" s="319" t="b">
        <f t="shared" si="21"/>
        <v>0</v>
      </c>
      <c r="AF26" s="319" t="b">
        <f t="shared" si="32"/>
        <v>0</v>
      </c>
      <c r="AG26" s="786" t="b">
        <f t="shared" si="22"/>
        <v>0</v>
      </c>
      <c r="AH26" s="777" t="b">
        <f>IF(IsEpiduraal(J26),C26&gt;_Pat_Gewicht,IF(D26&gt;0,AND(INDEX(Tbl_Neo_MedIV,B26,10)&lt;&gt;0,(C26/10)/D26&gt;INDEX(Tbl_Neo_MedIV,B26,10)),FALSE))</f>
        <v>0</v>
      </c>
      <c r="AI26" s="319" t="str">
        <f t="shared" si="23"/>
        <v/>
      </c>
      <c r="AJ26" s="319" t="str">
        <f t="shared" si="33"/>
        <v/>
      </c>
      <c r="AK26" s="125" t="str">
        <f>IF(AND(F26&gt;0,D26&gt;0), IF(StartsWith(J26,"doxapram"),8,_xlfn.FLOOR.PRECISE( 24/(D26/(F26/10)),1)),"")</f>
        <v/>
      </c>
      <c r="AL26" s="109">
        <f t="shared" si="24"/>
        <v>0</v>
      </c>
      <c r="AM26" s="319">
        <f t="shared" si="25"/>
        <v>0</v>
      </c>
      <c r="AN26" s="319">
        <f t="shared" si="25"/>
        <v>0</v>
      </c>
      <c r="AO26" s="319">
        <f t="shared" si="25"/>
        <v>0</v>
      </c>
      <c r="AP26" s="319">
        <f t="shared" si="25"/>
        <v>0</v>
      </c>
      <c r="AQ26" s="319">
        <f t="shared" si="25"/>
        <v>0</v>
      </c>
      <c r="AR26" s="319">
        <f t="shared" si="25"/>
        <v>0</v>
      </c>
      <c r="AS26" s="319">
        <f t="shared" si="25"/>
        <v>0</v>
      </c>
      <c r="AT26" s="319">
        <f t="shared" si="25"/>
        <v>0</v>
      </c>
      <c r="AU26" s="319">
        <f t="shared" si="25"/>
        <v>0</v>
      </c>
      <c r="AV26" s="319">
        <f t="shared" si="25"/>
        <v>0</v>
      </c>
      <c r="AW26" s="319">
        <f t="shared" si="25"/>
        <v>0</v>
      </c>
      <c r="AX26" s="319">
        <f t="shared" si="25"/>
        <v>0</v>
      </c>
      <c r="AY26" s="109">
        <f t="shared" si="34"/>
        <v>0</v>
      </c>
      <c r="AZ26" s="109">
        <f t="shared" si="26"/>
        <v>0</v>
      </c>
      <c r="BB26" s="319" t="str">
        <f t="shared" si="27"/>
        <v/>
      </c>
      <c r="BC26" s="800" t="b">
        <f t="shared" si="35"/>
        <v>0</v>
      </c>
      <c r="BD26" s="800">
        <f t="shared" si="28"/>
        <v>1</v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>IF(AND(_Pat_Gewicht&gt;0,D27&gt;0),IF(IsEpiduraal(J27),F27/10,FixPrecision( ((C27/10)/D27)*(F27/10)*H27/(_Pat_Gewicht/10),2)),0)</f>
        <v>0</v>
      </c>
      <c r="H27" s="319">
        <f t="shared" si="8"/>
        <v>1</v>
      </c>
      <c r="I27" s="109" t="b">
        <v>0</v>
      </c>
      <c r="J27" s="319" t="str">
        <f t="shared" si="9"/>
        <v/>
      </c>
      <c r="K27" s="319">
        <f>INDEX(Tbl_Neo_MedIV,NeoBerInfB!B27,4)</f>
        <v>0</v>
      </c>
      <c r="L27" s="319">
        <f>INDEX(Tbl_Neo_MedIV,NeoBerInfB!B27,5)</f>
        <v>0</v>
      </c>
      <c r="M27" s="319" t="str">
        <f t="shared" si="10"/>
        <v/>
      </c>
      <c r="N27" s="319" t="str">
        <f t="shared" si="11"/>
        <v/>
      </c>
      <c r="O27" s="319" t="str">
        <f t="shared" si="12"/>
        <v/>
      </c>
      <c r="P27" s="319" t="str">
        <f t="shared" si="13"/>
        <v/>
      </c>
      <c r="Q27" s="319" t="str">
        <f t="shared" si="14"/>
        <v/>
      </c>
      <c r="R27" s="319" t="str">
        <f t="shared" si="15"/>
        <v/>
      </c>
      <c r="S27" s="319" t="str">
        <f t="shared" si="16"/>
        <v/>
      </c>
      <c r="T27" s="319" t="str">
        <f t="shared" si="17"/>
        <v/>
      </c>
      <c r="U27" s="319" t="str">
        <f t="shared" si="17"/>
        <v/>
      </c>
      <c r="V27" s="319" t="str">
        <f t="shared" si="17"/>
        <v/>
      </c>
      <c r="W27" s="319" t="str">
        <f t="shared" si="17"/>
        <v/>
      </c>
      <c r="X27" s="319" t="str">
        <f t="shared" si="17"/>
        <v/>
      </c>
      <c r="Y27" s="319" t="str">
        <f t="shared" si="29"/>
        <v/>
      </c>
      <c r="Z27" s="319" t="str">
        <f t="shared" si="18"/>
        <v/>
      </c>
      <c r="AA27" s="319" t="b">
        <f t="shared" si="30"/>
        <v>0</v>
      </c>
      <c r="AB27" s="319" t="b">
        <f t="shared" si="31"/>
        <v>0</v>
      </c>
      <c r="AC27" s="319" t="b">
        <f t="shared" si="19"/>
        <v>0</v>
      </c>
      <c r="AD27" s="319" t="b">
        <f t="shared" si="20"/>
        <v>0</v>
      </c>
      <c r="AE27" s="319" t="b">
        <f t="shared" si="21"/>
        <v>0</v>
      </c>
      <c r="AF27" s="319" t="b">
        <f t="shared" si="32"/>
        <v>0</v>
      </c>
      <c r="AG27" s="786" t="b">
        <f t="shared" si="22"/>
        <v>0</v>
      </c>
      <c r="AH27" s="777" t="b">
        <f>IF(IsEpiduraal(J27),C27&gt;_Pat_Gewicht,IF(D27&gt;0,AND(INDEX(Tbl_Neo_MedIV,B27,10)&lt;&gt;0,(C27/10)/D27&gt;INDEX(Tbl_Neo_MedIV,B27,10)),FALSE))</f>
        <v>0</v>
      </c>
      <c r="AI27" s="319" t="str">
        <f t="shared" si="23"/>
        <v/>
      </c>
      <c r="AJ27" s="319" t="str">
        <f t="shared" si="33"/>
        <v/>
      </c>
      <c r="AK27" s="125" t="str">
        <f>IF(AND(F27&gt;0,D27&gt;0), IF(StartsWith(J27,"doxapram"),8,_xlfn.FLOOR.PRECISE( 24/(D27/(F27/10)),1)),"")</f>
        <v/>
      </c>
      <c r="AL27" s="109">
        <f t="shared" si="24"/>
        <v>0</v>
      </c>
      <c r="AM27" s="319">
        <f t="shared" si="25"/>
        <v>0</v>
      </c>
      <c r="AN27" s="319">
        <f t="shared" si="25"/>
        <v>0</v>
      </c>
      <c r="AO27" s="319">
        <f t="shared" si="25"/>
        <v>0</v>
      </c>
      <c r="AP27" s="319">
        <f t="shared" si="25"/>
        <v>0</v>
      </c>
      <c r="AQ27" s="319">
        <f t="shared" si="25"/>
        <v>0</v>
      </c>
      <c r="AR27" s="319">
        <f t="shared" si="25"/>
        <v>0</v>
      </c>
      <c r="AS27" s="319">
        <f t="shared" si="25"/>
        <v>0</v>
      </c>
      <c r="AT27" s="319">
        <f t="shared" si="25"/>
        <v>0</v>
      </c>
      <c r="AU27" s="319">
        <f t="shared" si="25"/>
        <v>0</v>
      </c>
      <c r="AV27" s="319">
        <f t="shared" si="25"/>
        <v>0</v>
      </c>
      <c r="AW27" s="319">
        <f t="shared" si="25"/>
        <v>0</v>
      </c>
      <c r="AX27" s="319">
        <f t="shared" si="25"/>
        <v>0</v>
      </c>
      <c r="AY27" s="109">
        <f t="shared" si="34"/>
        <v>0</v>
      </c>
      <c r="AZ27" s="109">
        <f t="shared" si="26"/>
        <v>0</v>
      </c>
      <c r="BB27" s="319" t="str">
        <f t="shared" si="27"/>
        <v/>
      </c>
      <c r="BC27" s="800" t="b">
        <f t="shared" si="35"/>
        <v>0</v>
      </c>
      <c r="BD27" s="800">
        <f t="shared" si="28"/>
        <v>1</v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>IF(AND(_Pat_Gewicht&gt;0,D28&gt;0),IF(IsEpiduraal(J28),F28/10,FixPrecision( ((C28/10)/D28)*(F28/10)*H28/(_Pat_Gewicht/10),2)),0)</f>
        <v>0</v>
      </c>
      <c r="H28" s="319">
        <f t="shared" si="8"/>
        <v>1</v>
      </c>
      <c r="I28" s="109" t="b">
        <v>0</v>
      </c>
      <c r="J28" s="319" t="str">
        <f t="shared" si="9"/>
        <v/>
      </c>
      <c r="K28" s="319">
        <f>INDEX(Tbl_Neo_MedIV,NeoBerInfB!B28,4)</f>
        <v>0</v>
      </c>
      <c r="L28" s="319">
        <f>INDEX(Tbl_Neo_MedIV,NeoBerInfB!B28,5)</f>
        <v>0</v>
      </c>
      <c r="M28" s="319" t="str">
        <f t="shared" si="10"/>
        <v/>
      </c>
      <c r="N28" s="319" t="str">
        <f t="shared" si="11"/>
        <v/>
      </c>
      <c r="O28" s="319" t="str">
        <f t="shared" si="12"/>
        <v/>
      </c>
      <c r="P28" s="319" t="str">
        <f t="shared" si="13"/>
        <v/>
      </c>
      <c r="Q28" s="319" t="str">
        <f t="shared" si="14"/>
        <v/>
      </c>
      <c r="R28" s="319" t="str">
        <f t="shared" si="15"/>
        <v/>
      </c>
      <c r="S28" s="319" t="str">
        <f t="shared" si="16"/>
        <v/>
      </c>
      <c r="T28" s="319" t="str">
        <f t="shared" si="17"/>
        <v/>
      </c>
      <c r="U28" s="319" t="str">
        <f t="shared" si="17"/>
        <v/>
      </c>
      <c r="V28" s="319" t="str">
        <f t="shared" si="17"/>
        <v/>
      </c>
      <c r="W28" s="319" t="str">
        <f t="shared" si="17"/>
        <v/>
      </c>
      <c r="X28" s="319" t="str">
        <f t="shared" si="17"/>
        <v/>
      </c>
      <c r="Y28" s="319" t="str">
        <f t="shared" si="29"/>
        <v/>
      </c>
      <c r="Z28" s="319" t="str">
        <f t="shared" si="18"/>
        <v/>
      </c>
      <c r="AA28" s="319" t="b">
        <f t="shared" si="30"/>
        <v>0</v>
      </c>
      <c r="AB28" s="319" t="b">
        <f t="shared" si="31"/>
        <v>0</v>
      </c>
      <c r="AC28" s="319" t="b">
        <f t="shared" si="19"/>
        <v>0</v>
      </c>
      <c r="AD28" s="319" t="b">
        <f t="shared" si="20"/>
        <v>0</v>
      </c>
      <c r="AE28" s="319" t="b">
        <f t="shared" si="21"/>
        <v>0</v>
      </c>
      <c r="AF28" s="319" t="b">
        <f t="shared" si="32"/>
        <v>0</v>
      </c>
      <c r="AG28" s="786" t="b">
        <f t="shared" si="22"/>
        <v>0</v>
      </c>
      <c r="AH28" s="777" t="b">
        <f>IF(IsEpiduraal(J28),C28&gt;_Pat_Gewicht,IF(D28&gt;0,AND(INDEX(Tbl_Neo_MedIV,B28,10)&lt;&gt;0,(C28/10)/D28&gt;INDEX(Tbl_Neo_MedIV,B28,10)),FALSE))</f>
        <v>0</v>
      </c>
      <c r="AI28" s="319" t="str">
        <f t="shared" si="23"/>
        <v/>
      </c>
      <c r="AJ28" s="319" t="str">
        <f t="shared" si="33"/>
        <v/>
      </c>
      <c r="AK28" s="125" t="str">
        <f>IF(AND(F28&gt;0,D28&gt;0), IF(StartsWith(J28,"doxapram"),8,_xlfn.FLOOR.PRECISE( 24/(D28/(F28/10)),1)),"")</f>
        <v/>
      </c>
      <c r="AL28" s="109">
        <f t="shared" si="24"/>
        <v>0</v>
      </c>
      <c r="AM28" s="319">
        <f t="shared" si="25"/>
        <v>0</v>
      </c>
      <c r="AN28" s="319">
        <f t="shared" si="25"/>
        <v>0</v>
      </c>
      <c r="AO28" s="319">
        <f t="shared" si="25"/>
        <v>0</v>
      </c>
      <c r="AP28" s="319">
        <f t="shared" si="25"/>
        <v>0</v>
      </c>
      <c r="AQ28" s="319">
        <f t="shared" si="25"/>
        <v>0</v>
      </c>
      <c r="AR28" s="319">
        <f t="shared" si="25"/>
        <v>0</v>
      </c>
      <c r="AS28" s="319">
        <f t="shared" si="25"/>
        <v>0</v>
      </c>
      <c r="AT28" s="319">
        <f t="shared" si="25"/>
        <v>0</v>
      </c>
      <c r="AU28" s="319">
        <f t="shared" si="25"/>
        <v>0</v>
      </c>
      <c r="AV28" s="319">
        <f t="shared" si="25"/>
        <v>0</v>
      </c>
      <c r="AW28" s="319">
        <f t="shared" si="25"/>
        <v>0</v>
      </c>
      <c r="AX28" s="319">
        <f t="shared" si="25"/>
        <v>0</v>
      </c>
      <c r="AY28" s="109">
        <f t="shared" si="34"/>
        <v>0</v>
      </c>
      <c r="AZ28" s="109">
        <f t="shared" si="26"/>
        <v>0</v>
      </c>
      <c r="BB28" s="319" t="str">
        <f t="shared" si="27"/>
        <v/>
      </c>
      <c r="BC28" s="800" t="b">
        <f t="shared" si="35"/>
        <v>0</v>
      </c>
      <c r="BD28" s="800">
        <f t="shared" si="28"/>
        <v>1</v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>IF(AND(_Pat_Gewicht&gt;0,D29&gt;0),IF(IsEpiduraal(J29),F29/10,FixPrecision( ((C29/10)/D29)*(F29/10)*H29/(_Pat_Gewicht/10),2)),0)</f>
        <v>0</v>
      </c>
      <c r="H29" s="319">
        <f t="shared" si="8"/>
        <v>1</v>
      </c>
      <c r="I29" s="109" t="b">
        <v>0</v>
      </c>
      <c r="J29" s="319" t="str">
        <f t="shared" si="9"/>
        <v/>
      </c>
      <c r="K29" s="319">
        <f>INDEX(Tbl_Neo_MedIV,NeoBerInfB!B29,4)</f>
        <v>0</v>
      </c>
      <c r="L29" s="319">
        <f>INDEX(Tbl_Neo_MedIV,NeoBerInfB!B29,5)</f>
        <v>0</v>
      </c>
      <c r="M29" s="319" t="str">
        <f t="shared" si="10"/>
        <v/>
      </c>
      <c r="N29" s="319" t="str">
        <f t="shared" si="11"/>
        <v/>
      </c>
      <c r="O29" s="319" t="str">
        <f t="shared" si="12"/>
        <v/>
      </c>
      <c r="P29" s="319" t="str">
        <f t="shared" si="13"/>
        <v/>
      </c>
      <c r="Q29" s="319" t="str">
        <f t="shared" si="14"/>
        <v/>
      </c>
      <c r="R29" s="319" t="str">
        <f t="shared" si="15"/>
        <v/>
      </c>
      <c r="S29" s="319" t="str">
        <f t="shared" si="16"/>
        <v/>
      </c>
      <c r="T29" s="319" t="str">
        <f t="shared" si="17"/>
        <v/>
      </c>
      <c r="U29" s="319" t="str">
        <f t="shared" si="17"/>
        <v/>
      </c>
      <c r="V29" s="319" t="str">
        <f t="shared" si="17"/>
        <v/>
      </c>
      <c r="W29" s="319" t="str">
        <f t="shared" si="17"/>
        <v/>
      </c>
      <c r="X29" s="319" t="str">
        <f t="shared" si="17"/>
        <v/>
      </c>
      <c r="Y29" s="319" t="str">
        <f t="shared" si="29"/>
        <v/>
      </c>
      <c r="Z29" s="319" t="str">
        <f t="shared" si="18"/>
        <v/>
      </c>
      <c r="AA29" s="319" t="b">
        <f t="shared" si="30"/>
        <v>0</v>
      </c>
      <c r="AB29" s="319" t="b">
        <f t="shared" si="31"/>
        <v>0</v>
      </c>
      <c r="AC29" s="319" t="b">
        <f t="shared" si="19"/>
        <v>0</v>
      </c>
      <c r="AD29" s="319" t="b">
        <f t="shared" si="20"/>
        <v>0</v>
      </c>
      <c r="AE29" s="319" t="b">
        <f t="shared" si="21"/>
        <v>0</v>
      </c>
      <c r="AF29" s="319" t="b">
        <f t="shared" si="32"/>
        <v>0</v>
      </c>
      <c r="AG29" s="786" t="b">
        <f t="shared" si="22"/>
        <v>0</v>
      </c>
      <c r="AH29" s="777" t="b">
        <f>IF(IsEpiduraal(J29),C29&gt;_Pat_Gewicht,IF(D29&gt;0,AND(INDEX(Tbl_Neo_MedIV,B29,10)&lt;&gt;0,(C29/10)/D29&gt;INDEX(Tbl_Neo_MedIV,B29,10)),FALSE))</f>
        <v>0</v>
      </c>
      <c r="AI29" s="319" t="str">
        <f t="shared" si="23"/>
        <v/>
      </c>
      <c r="AJ29" s="319" t="str">
        <f t="shared" si="33"/>
        <v/>
      </c>
      <c r="AK29" s="125" t="str">
        <f>IF(AND(F29&gt;0,D29&gt;0), IF(StartsWith(J29,"doxapram"),8,_xlfn.FLOOR.PRECISE( 24/(D29/(F29/10)),1)),"")</f>
        <v/>
      </c>
      <c r="AL29" s="109">
        <f t="shared" si="24"/>
        <v>0</v>
      </c>
      <c r="AM29" s="319">
        <f t="shared" si="25"/>
        <v>0</v>
      </c>
      <c r="AN29" s="319">
        <f t="shared" si="25"/>
        <v>0</v>
      </c>
      <c r="AO29" s="319">
        <f t="shared" si="25"/>
        <v>0</v>
      </c>
      <c r="AP29" s="319">
        <f t="shared" si="25"/>
        <v>0</v>
      </c>
      <c r="AQ29" s="319">
        <f t="shared" si="25"/>
        <v>0</v>
      </c>
      <c r="AR29" s="319">
        <f t="shared" si="25"/>
        <v>0</v>
      </c>
      <c r="AS29" s="319">
        <f t="shared" si="25"/>
        <v>0</v>
      </c>
      <c r="AT29" s="319">
        <f t="shared" si="25"/>
        <v>0</v>
      </c>
      <c r="AU29" s="319">
        <f t="shared" si="25"/>
        <v>0</v>
      </c>
      <c r="AV29" s="319">
        <f t="shared" si="25"/>
        <v>0</v>
      </c>
      <c r="AW29" s="319">
        <f t="shared" si="25"/>
        <v>0</v>
      </c>
      <c r="AX29" s="319">
        <f t="shared" si="25"/>
        <v>0</v>
      </c>
      <c r="AY29" s="109">
        <f t="shared" si="34"/>
        <v>0</v>
      </c>
      <c r="AZ29" s="109">
        <f t="shared" si="26"/>
        <v>0</v>
      </c>
      <c r="BB29" s="319" t="str">
        <f t="shared" si="27"/>
        <v/>
      </c>
      <c r="BC29" s="800" t="b">
        <f t="shared" si="35"/>
        <v>0</v>
      </c>
      <c r="BD29" s="800">
        <f t="shared" si="28"/>
        <v>1</v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>IF(AND(_Pat_Gewicht&gt;0,D30&gt;0),IF(IsEpiduraal(J30),F30/10,FixPrecision( ((C30/10)/D30)*(F30/10)*H30/(_Pat_Gewicht/10),2)),0)</f>
        <v>0</v>
      </c>
      <c r="H30" s="319">
        <f t="shared" si="8"/>
        <v>1</v>
      </c>
      <c r="I30" s="109" t="b">
        <v>0</v>
      </c>
      <c r="J30" s="319" t="str">
        <f t="shared" si="9"/>
        <v/>
      </c>
      <c r="K30" s="319">
        <f>INDEX(Tbl_Neo_MedIV,NeoBerInfB!B30,4)</f>
        <v>0</v>
      </c>
      <c r="L30" s="319">
        <f>INDEX(Tbl_Neo_MedIV,NeoBerInfB!B30,5)</f>
        <v>0</v>
      </c>
      <c r="M30" s="319" t="str">
        <f t="shared" si="10"/>
        <v/>
      </c>
      <c r="N30" s="319" t="str">
        <f t="shared" si="11"/>
        <v/>
      </c>
      <c r="O30" s="319" t="str">
        <f t="shared" si="12"/>
        <v/>
      </c>
      <c r="P30" s="319" t="str">
        <f t="shared" si="13"/>
        <v/>
      </c>
      <c r="Q30" s="319" t="str">
        <f t="shared" si="14"/>
        <v/>
      </c>
      <c r="R30" s="319" t="str">
        <f t="shared" si="15"/>
        <v/>
      </c>
      <c r="S30" s="319" t="str">
        <f t="shared" si="16"/>
        <v/>
      </c>
      <c r="T30" s="319" t="str">
        <f t="shared" si="17"/>
        <v/>
      </c>
      <c r="U30" s="319" t="str">
        <f t="shared" si="17"/>
        <v/>
      </c>
      <c r="V30" s="319" t="str">
        <f t="shared" si="17"/>
        <v/>
      </c>
      <c r="W30" s="319" t="str">
        <f t="shared" si="17"/>
        <v/>
      </c>
      <c r="X30" s="319" t="str">
        <f t="shared" si="17"/>
        <v/>
      </c>
      <c r="Y30" s="319" t="str">
        <f t="shared" si="29"/>
        <v/>
      </c>
      <c r="Z30" s="319" t="str">
        <f t="shared" si="18"/>
        <v/>
      </c>
      <c r="AA30" s="319" t="b">
        <f t="shared" si="30"/>
        <v>0</v>
      </c>
      <c r="AB30" s="319" t="b">
        <f t="shared" si="31"/>
        <v>0</v>
      </c>
      <c r="AC30" s="319" t="b">
        <f t="shared" si="19"/>
        <v>0</v>
      </c>
      <c r="AD30" s="319" t="b">
        <f t="shared" si="20"/>
        <v>0</v>
      </c>
      <c r="AE30" s="319" t="b">
        <f t="shared" si="21"/>
        <v>0</v>
      </c>
      <c r="AF30" s="319" t="b">
        <f t="shared" si="32"/>
        <v>0</v>
      </c>
      <c r="AG30" s="786" t="b">
        <f t="shared" si="22"/>
        <v>0</v>
      </c>
      <c r="AH30" s="777" t="b">
        <f>IF(IsEpiduraal(J30),C30&gt;_Pat_Gewicht,IF(D30&gt;0,AND(INDEX(Tbl_Neo_MedIV,B30,10)&lt;&gt;0,(C30/10)/D30&gt;INDEX(Tbl_Neo_MedIV,B30,10)),FALSE))</f>
        <v>0</v>
      </c>
      <c r="AI30" s="319" t="str">
        <f t="shared" si="23"/>
        <v/>
      </c>
      <c r="AJ30" s="319" t="str">
        <f t="shared" si="33"/>
        <v/>
      </c>
      <c r="AK30" s="125" t="str">
        <f>IF(AND(F30&gt;0,D30&gt;0), IF(StartsWith(J30,"doxapram"),8,_xlfn.FLOOR.PRECISE( 24/(D30/(F30/10)),1)),"")</f>
        <v/>
      </c>
      <c r="AL30" s="109">
        <f t="shared" si="24"/>
        <v>0</v>
      </c>
      <c r="AM30" s="319">
        <f t="shared" si="25"/>
        <v>0</v>
      </c>
      <c r="AN30" s="319">
        <f t="shared" si="25"/>
        <v>0</v>
      </c>
      <c r="AO30" s="319">
        <f t="shared" si="25"/>
        <v>0</v>
      </c>
      <c r="AP30" s="319">
        <f t="shared" si="25"/>
        <v>0</v>
      </c>
      <c r="AQ30" s="319">
        <f t="shared" si="25"/>
        <v>0</v>
      </c>
      <c r="AR30" s="319">
        <f t="shared" si="25"/>
        <v>0</v>
      </c>
      <c r="AS30" s="319">
        <f t="shared" si="25"/>
        <v>0</v>
      </c>
      <c r="AT30" s="319">
        <f t="shared" si="25"/>
        <v>0</v>
      </c>
      <c r="AU30" s="319">
        <f t="shared" si="25"/>
        <v>0</v>
      </c>
      <c r="AV30" s="319">
        <f t="shared" si="25"/>
        <v>0</v>
      </c>
      <c r="AW30" s="319">
        <f t="shared" si="25"/>
        <v>0</v>
      </c>
      <c r="AX30" s="319">
        <f t="shared" si="25"/>
        <v>0</v>
      </c>
      <c r="AY30" s="109">
        <f t="shared" si="34"/>
        <v>0</v>
      </c>
      <c r="AZ30" s="109">
        <f t="shared" si="26"/>
        <v>0</v>
      </c>
      <c r="BB30" s="319" t="str">
        <f t="shared" si="27"/>
        <v/>
      </c>
      <c r="BC30" s="800" t="b">
        <f t="shared" si="35"/>
        <v>0</v>
      </c>
      <c r="BD30" s="800">
        <f t="shared" si="28"/>
        <v>1</v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>IF(AND(_Pat_Gewicht&gt;0,D31&gt;0),IF(IsEpiduraal(J31),F31/10,FixPrecision( ((C31/10)/D31)*(F31/10)*H31/(_Pat_Gewicht/10),2)),0)</f>
        <v>0</v>
      </c>
      <c r="H31" s="319">
        <f t="shared" si="8"/>
        <v>1</v>
      </c>
      <c r="I31" s="109" t="b">
        <v>0</v>
      </c>
      <c r="J31" s="319" t="str">
        <f t="shared" si="9"/>
        <v/>
      </c>
      <c r="K31" s="319">
        <f>INDEX(Tbl_Neo_MedIV,NeoBerInfB!B31,4)</f>
        <v>0</v>
      </c>
      <c r="L31" s="319">
        <f>INDEX(Tbl_Neo_MedIV,NeoBerInfB!B31,5)</f>
        <v>0</v>
      </c>
      <c r="M31" s="319" t="str">
        <f t="shared" si="10"/>
        <v/>
      </c>
      <c r="N31" s="319" t="str">
        <f t="shared" si="11"/>
        <v/>
      </c>
      <c r="O31" s="319" t="str">
        <f t="shared" si="12"/>
        <v/>
      </c>
      <c r="P31" s="319" t="str">
        <f t="shared" si="13"/>
        <v/>
      </c>
      <c r="Q31" s="319" t="str">
        <f t="shared" si="14"/>
        <v/>
      </c>
      <c r="R31" s="319" t="str">
        <f t="shared" si="15"/>
        <v/>
      </c>
      <c r="S31" s="319" t="str">
        <f t="shared" si="16"/>
        <v/>
      </c>
      <c r="T31" s="319" t="str">
        <f t="shared" si="17"/>
        <v/>
      </c>
      <c r="U31" s="319" t="str">
        <f t="shared" si="17"/>
        <v/>
      </c>
      <c r="V31" s="319" t="str">
        <f t="shared" si="17"/>
        <v/>
      </c>
      <c r="W31" s="319" t="str">
        <f t="shared" si="17"/>
        <v/>
      </c>
      <c r="X31" s="319" t="str">
        <f t="shared" si="17"/>
        <v/>
      </c>
      <c r="Y31" s="319" t="str">
        <f t="shared" si="29"/>
        <v/>
      </c>
      <c r="Z31" s="319" t="str">
        <f t="shared" si="18"/>
        <v/>
      </c>
      <c r="AA31" s="319" t="b">
        <f t="shared" si="30"/>
        <v>0</v>
      </c>
      <c r="AB31" s="319" t="b">
        <f t="shared" si="31"/>
        <v>0</v>
      </c>
      <c r="AC31" s="319" t="b">
        <f t="shared" si="19"/>
        <v>0</v>
      </c>
      <c r="AD31" s="319" t="b">
        <f t="shared" si="20"/>
        <v>0</v>
      </c>
      <c r="AE31" s="319" t="b">
        <f t="shared" si="21"/>
        <v>0</v>
      </c>
      <c r="AF31" s="319" t="b">
        <f t="shared" si="32"/>
        <v>0</v>
      </c>
      <c r="AG31" s="786" t="b">
        <f t="shared" si="22"/>
        <v>0</v>
      </c>
      <c r="AH31" s="777" t="b">
        <f>IF(IsEpiduraal(J31),C31&gt;_Pat_Gewicht,IF(D31&gt;0,AND(INDEX(Tbl_Neo_MedIV,B31,10)&lt;&gt;0,(C31/10)/D31&gt;INDEX(Tbl_Neo_MedIV,B31,10)),FALSE))</f>
        <v>0</v>
      </c>
      <c r="AI31" s="319" t="str">
        <f t="shared" si="23"/>
        <v/>
      </c>
      <c r="AJ31" s="319" t="str">
        <f t="shared" si="33"/>
        <v/>
      </c>
      <c r="AK31" s="125" t="str">
        <f>IF(AND(F31&gt;0,D31&gt;0), IF(StartsWith(J31,"doxapram"),8,_xlfn.FLOOR.PRECISE( 24/(D31/(F31/10)),1)),"")</f>
        <v/>
      </c>
      <c r="AL31" s="109">
        <f t="shared" si="24"/>
        <v>0</v>
      </c>
      <c r="AM31" s="319">
        <f t="shared" si="25"/>
        <v>0</v>
      </c>
      <c r="AN31" s="319">
        <f t="shared" si="25"/>
        <v>0</v>
      </c>
      <c r="AO31" s="319">
        <f t="shared" si="25"/>
        <v>0</v>
      </c>
      <c r="AP31" s="319">
        <f t="shared" si="25"/>
        <v>0</v>
      </c>
      <c r="AQ31" s="319">
        <f t="shared" si="25"/>
        <v>0</v>
      </c>
      <c r="AR31" s="319">
        <f t="shared" si="25"/>
        <v>0</v>
      </c>
      <c r="AS31" s="319">
        <f t="shared" si="25"/>
        <v>0</v>
      </c>
      <c r="AT31" s="319">
        <f t="shared" si="25"/>
        <v>0</v>
      </c>
      <c r="AU31" s="319">
        <f t="shared" si="25"/>
        <v>0</v>
      </c>
      <c r="AV31" s="319">
        <f t="shared" si="25"/>
        <v>0</v>
      </c>
      <c r="AW31" s="319">
        <f t="shared" si="25"/>
        <v>0</v>
      </c>
      <c r="AX31" s="319">
        <f t="shared" si="25"/>
        <v>0</v>
      </c>
      <c r="AY31" s="109">
        <f t="shared" si="34"/>
        <v>0</v>
      </c>
      <c r="AZ31" s="109">
        <f t="shared" si="26"/>
        <v>0</v>
      </c>
      <c r="BB31" s="319" t="str">
        <f t="shared" si="27"/>
        <v/>
      </c>
      <c r="BC31" s="800" t="b">
        <f t="shared" si="35"/>
        <v>0</v>
      </c>
      <c r="BD31" s="800">
        <f t="shared" si="28"/>
        <v>1</v>
      </c>
    </row>
    <row r="32" spans="1:56" s="319" customFormat="1" x14ac:dyDescent="0.2">
      <c r="A32" s="319" t="s">
        <v>4304</v>
      </c>
      <c r="B32" s="319">
        <v>1</v>
      </c>
      <c r="C32" s="319">
        <v>0</v>
      </c>
      <c r="D32" s="319">
        <v>0</v>
      </c>
      <c r="E32" s="319">
        <v>1</v>
      </c>
      <c r="F32" s="319">
        <v>0</v>
      </c>
      <c r="G32" s="126">
        <f>IF(AND(_Pat_Gewicht&gt;0,D32&gt;0),IF(IsEpiduraal(J32),F32/10,FixPrecision( ((C32/10)/D32)*(F32/10)*H32/(_Pat_Gewicht/10),2)),0)</f>
        <v>0</v>
      </c>
      <c r="H32" s="319">
        <f t="shared" si="8"/>
        <v>1</v>
      </c>
      <c r="I32" s="319" t="b">
        <v>0</v>
      </c>
      <c r="J32" s="319" t="str">
        <f t="shared" si="9"/>
        <v/>
      </c>
      <c r="K32" s="319">
        <f>INDEX(Tbl_Neo_MedIV,NeoBerInfB!B32,4)</f>
        <v>0</v>
      </c>
      <c r="L32" s="319">
        <f>INDEX(Tbl_Neo_MedIV,NeoBerInfB!B32,5)</f>
        <v>0</v>
      </c>
      <c r="M32" s="319" t="str">
        <f t="shared" ref="M32" si="36">IF($B32&gt;1,(C32/10)&amp;" "&amp;INDEX(Tbl_Neo_MedIV,$B32,M$1),"")</f>
        <v/>
      </c>
      <c r="N32" s="319" t="str">
        <f t="shared" si="11"/>
        <v/>
      </c>
      <c r="O32" s="319" t="str">
        <f t="shared" si="12"/>
        <v/>
      </c>
      <c r="P32" s="319" t="str">
        <f t="shared" si="13"/>
        <v/>
      </c>
      <c r="Q32" s="319" t="str">
        <f t="shared" si="14"/>
        <v/>
      </c>
      <c r="R32" s="319" t="str">
        <f t="shared" si="15"/>
        <v/>
      </c>
      <c r="S32" s="319" t="str">
        <f t="shared" si="16"/>
        <v/>
      </c>
      <c r="T32" s="319" t="str">
        <f t="shared" si="17"/>
        <v/>
      </c>
      <c r="U32" s="319" t="str">
        <f t="shared" si="17"/>
        <v/>
      </c>
      <c r="V32" s="319" t="str">
        <f t="shared" si="17"/>
        <v/>
      </c>
      <c r="W32" s="319" t="str">
        <f t="shared" si="17"/>
        <v/>
      </c>
      <c r="X32" s="319" t="str">
        <f t="shared" si="17"/>
        <v/>
      </c>
      <c r="Y32" s="319" t="str">
        <f t="shared" si="29"/>
        <v/>
      </c>
      <c r="Z32" s="319" t="str">
        <f t="shared" si="18"/>
        <v/>
      </c>
      <c r="AA32" s="319" t="b">
        <f t="shared" si="30"/>
        <v>0</v>
      </c>
      <c r="AB32" s="319" t="b">
        <f t="shared" si="31"/>
        <v>0</v>
      </c>
      <c r="AC32" s="319" t="b">
        <f t="shared" si="19"/>
        <v>0</v>
      </c>
      <c r="AD32" s="319" t="b">
        <f t="shared" si="20"/>
        <v>0</v>
      </c>
      <c r="AE32" s="319" t="b">
        <f t="shared" si="21"/>
        <v>0</v>
      </c>
      <c r="AF32" s="319" t="b">
        <f t="shared" si="32"/>
        <v>0</v>
      </c>
      <c r="AG32" s="786" t="b">
        <f t="shared" si="22"/>
        <v>0</v>
      </c>
      <c r="AH32" s="777" t="b">
        <f>IF(IsEpiduraal(J32),C32&gt;_Pat_Gewicht,IF(D32&gt;0,AND(INDEX(Tbl_Neo_MedIV,B32,10)&lt;&gt;0,(C32/10)/D32&gt;INDEX(Tbl_Neo_MedIV,B32,10)),FALSE))</f>
        <v>0</v>
      </c>
      <c r="AI32" s="319" t="str">
        <f t="shared" si="23"/>
        <v/>
      </c>
      <c r="AJ32" s="319" t="str">
        <f t="shared" si="33"/>
        <v/>
      </c>
      <c r="AK32" s="125" t="str">
        <f>IF(AND(F32&gt;0,D32&gt;0), IF(StartsWith(J32,"doxapram"),8,_xlfn.FLOOR.PRECISE( 24/(D32/(F32/10)),1)),"")</f>
        <v/>
      </c>
      <c r="AL32" s="319">
        <f t="shared" si="24"/>
        <v>0</v>
      </c>
      <c r="AM32" s="319">
        <f t="shared" si="25"/>
        <v>0</v>
      </c>
      <c r="AN32" s="319">
        <f t="shared" si="25"/>
        <v>0</v>
      </c>
      <c r="AO32" s="319">
        <f t="shared" si="25"/>
        <v>0</v>
      </c>
      <c r="AP32" s="319">
        <f t="shared" si="25"/>
        <v>0</v>
      </c>
      <c r="AQ32" s="319">
        <f t="shared" si="25"/>
        <v>0</v>
      </c>
      <c r="AR32" s="319">
        <f t="shared" si="25"/>
        <v>0</v>
      </c>
      <c r="AS32" s="319">
        <f t="shared" si="25"/>
        <v>0</v>
      </c>
      <c r="AT32" s="319">
        <f t="shared" si="25"/>
        <v>0</v>
      </c>
      <c r="AU32" s="319">
        <f t="shared" si="25"/>
        <v>0</v>
      </c>
      <c r="AV32" s="319">
        <f t="shared" si="25"/>
        <v>0</v>
      </c>
      <c r="AW32" s="319">
        <f t="shared" si="25"/>
        <v>0</v>
      </c>
      <c r="AX32" s="319">
        <f t="shared" si="25"/>
        <v>0</v>
      </c>
      <c r="AY32" s="319">
        <f t="shared" ref="AY32" si="37">ROUND(IF(AZ32*10&gt;1,AZ32*10,AZ32*600),0)</f>
        <v>0</v>
      </c>
      <c r="AZ32" s="319">
        <f t="shared" si="26"/>
        <v>0</v>
      </c>
      <c r="BB32" s="319" t="str">
        <f t="shared" si="27"/>
        <v/>
      </c>
      <c r="BC32" s="800" t="b">
        <f t="shared" si="35"/>
        <v>0</v>
      </c>
      <c r="BD32" s="800">
        <f t="shared" si="28"/>
        <v>1</v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19" t="str">
        <f t="shared" si="13"/>
        <v/>
      </c>
      <c r="Q33" s="319" t="str">
        <f>IF(F33&gt;0,(F33/10)&amp;" ml/uur","")</f>
        <v/>
      </c>
      <c r="R33" s="109"/>
      <c r="S33" s="109"/>
      <c r="Z33" s="109"/>
      <c r="AI33" s="319" t="str">
        <f>IF(E33=1,"","verw")</f>
        <v/>
      </c>
      <c r="AL33" s="109">
        <f t="shared" si="24"/>
        <v>0</v>
      </c>
      <c r="AM33" s="319">
        <f t="shared" si="25"/>
        <v>0</v>
      </c>
      <c r="AN33" s="319">
        <f t="shared" si="25"/>
        <v>0</v>
      </c>
      <c r="AO33" s="319">
        <f t="shared" si="25"/>
        <v>0</v>
      </c>
      <c r="AP33" s="319">
        <f t="shared" si="25"/>
        <v>0</v>
      </c>
      <c r="AQ33" s="319">
        <f t="shared" si="25"/>
        <v>0</v>
      </c>
      <c r="AR33" s="319">
        <f t="shared" si="25"/>
        <v>0</v>
      </c>
      <c r="AS33" s="319">
        <f t="shared" si="25"/>
        <v>0</v>
      </c>
      <c r="AT33" s="319">
        <f t="shared" si="25"/>
        <v>0</v>
      </c>
      <c r="AU33" s="319">
        <f t="shared" si="25"/>
        <v>0</v>
      </c>
      <c r="AV33" s="319">
        <f t="shared" si="25"/>
        <v>0</v>
      </c>
      <c r="AW33" s="319">
        <f t="shared" si="25"/>
        <v>0</v>
      </c>
      <c r="AX33" s="319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19" t="str">
        <f t="shared" si="13"/>
        <v/>
      </c>
      <c r="Q34" s="319" t="str">
        <f>IF(F34&gt;0,(F34/10)&amp;" ml/uur","")</f>
        <v/>
      </c>
      <c r="R34" s="109"/>
      <c r="S34" s="109"/>
      <c r="Z34" s="109"/>
      <c r="AI34" s="319" t="str">
        <f>IF(E34=1,"","verw")</f>
        <v/>
      </c>
      <c r="AL34" s="109">
        <f t="shared" si="24"/>
        <v>0</v>
      </c>
      <c r="AM34" s="319">
        <f t="shared" si="25"/>
        <v>0</v>
      </c>
      <c r="AN34" s="319">
        <f t="shared" si="25"/>
        <v>0</v>
      </c>
      <c r="AO34" s="319">
        <f t="shared" si="25"/>
        <v>0</v>
      </c>
      <c r="AP34" s="319">
        <f t="shared" si="25"/>
        <v>0</v>
      </c>
      <c r="AQ34" s="319">
        <f t="shared" si="25"/>
        <v>0</v>
      </c>
      <c r="AR34" s="319">
        <f t="shared" si="25"/>
        <v>0</v>
      </c>
      <c r="AS34" s="319">
        <f t="shared" si="25"/>
        <v>0</v>
      </c>
      <c r="AT34" s="319">
        <f t="shared" si="25"/>
        <v>0</v>
      </c>
      <c r="AU34" s="319">
        <f t="shared" si="25"/>
        <v>0</v>
      </c>
      <c r="AV34" s="319">
        <f t="shared" si="25"/>
        <v>0</v>
      </c>
      <c r="AW34" s="319">
        <f t="shared" si="25"/>
        <v>0</v>
      </c>
      <c r="AX34" s="319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19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19" t="str">
        <f t="shared" si="13"/>
        <v/>
      </c>
      <c r="Q35" s="319" t="str">
        <f>IF(F35&gt;0,(F35/10)&amp;" ml/uur","")</f>
        <v/>
      </c>
      <c r="R35" s="109"/>
      <c r="S35" s="109"/>
      <c r="Z35" s="109"/>
      <c r="AI35" s="319" t="str">
        <f>IF(E35=1,"","verw")</f>
        <v/>
      </c>
      <c r="AL35" s="109">
        <f t="shared" si="24"/>
        <v>0</v>
      </c>
      <c r="AM35" s="319">
        <f t="shared" si="25"/>
        <v>0</v>
      </c>
      <c r="AN35" s="319">
        <f t="shared" si="25"/>
        <v>0</v>
      </c>
      <c r="AO35" s="319">
        <f t="shared" si="25"/>
        <v>0</v>
      </c>
      <c r="AP35" s="319">
        <f t="shared" si="25"/>
        <v>0</v>
      </c>
      <c r="AQ35" s="319">
        <f t="shared" si="25"/>
        <v>0</v>
      </c>
      <c r="AR35" s="319">
        <f t="shared" si="25"/>
        <v>0</v>
      </c>
      <c r="AS35" s="319">
        <f t="shared" si="25"/>
        <v>0</v>
      </c>
      <c r="AT35" s="319">
        <f t="shared" si="25"/>
        <v>0</v>
      </c>
      <c r="AU35" s="319">
        <f t="shared" si="25"/>
        <v>0</v>
      </c>
      <c r="AV35" s="319">
        <f t="shared" si="25"/>
        <v>0</v>
      </c>
      <c r="AW35" s="319">
        <f t="shared" si="25"/>
        <v>0</v>
      </c>
      <c r="AX35" s="319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19" t="str">
        <f>IF(P35="","",CONCATENATE(A35," ",P35," ",Q35))</f>
        <v/>
      </c>
    </row>
    <row r="36" spans="1:62" x14ac:dyDescent="0.2">
      <c r="A36" s="264" t="s">
        <v>863</v>
      </c>
      <c r="AI36" s="319" t="str">
        <f>IF(B36="","","verw")</f>
        <v/>
      </c>
      <c r="BB36" s="109" t="str">
        <f>IF(B36="","",B36)</f>
        <v/>
      </c>
    </row>
    <row r="37" spans="1:62" x14ac:dyDescent="0.2">
      <c r="A37" s="264" t="s">
        <v>4305</v>
      </c>
      <c r="AI37" s="319" t="str">
        <f>IF(B37="","","verw")</f>
        <v/>
      </c>
      <c r="BB37" s="302" t="str">
        <f>IF(B37="","",B37)</f>
        <v/>
      </c>
    </row>
    <row r="38" spans="1:62" s="319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4277</v>
      </c>
      <c r="F39" s="109" t="s">
        <v>870</v>
      </c>
      <c r="AI39" s="319" t="str">
        <f ca="1">IF(SUM(C42:C49)=0,"","verw")</f>
        <v/>
      </c>
      <c r="AJ39" s="319" t="str">
        <f>IF(AND(Var_Neo_InfB_TPN_Parenteraal,OR(AND(Var_Neo_InfB_TPN_DagKeuze=1,Var_Neo_InfB_TPN_NICUMix=5000),AND(Var_Neo_InfB_TPN_DagKeuze=2,Var_Neo_InfB_TPN_SSTB=5000))),"","stand")</f>
        <v>stand</v>
      </c>
      <c r="BC39" s="319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19" t="str">
        <f>INDEX(Tbl_Neo_IntralipidSmof,Var_Neo_InfB_TPN_IntralipidSmof)</f>
        <v>Intralipid 20% (incl vitintra)</v>
      </c>
      <c r="Q40" s="319" t="str">
        <f ca="1">IF(C40&gt;0,ROUND(C40/24,1)&amp;" ml/uur","")</f>
        <v/>
      </c>
      <c r="AI40" s="319" t="str">
        <f ca="1">IF(AND(Var_Neo_InfB_TPN_Parenteraal,C40&gt;0),"verw","")</f>
        <v/>
      </c>
      <c r="AJ40" s="319" t="str">
        <f>IF(AND(Var_Neo_InfB_TPN_Parenteraal,Var_Neo_InfB_TPN_IntraLipid=5000),"","stand")</f>
        <v>stand</v>
      </c>
      <c r="AL40" s="109">
        <f ca="1">C40</f>
        <v>0</v>
      </c>
      <c r="AM40" s="319">
        <f t="shared" ref="AM40:AX40" ca="1" si="38">IF($C40&gt;0,VLOOKUP($P40,Tbl_Glob_ParEnt,AM$1,FALSE),0)*$AL40</f>
        <v>0</v>
      </c>
      <c r="AN40" s="319">
        <f t="shared" ca="1" si="38"/>
        <v>0</v>
      </c>
      <c r="AO40" s="319">
        <f t="shared" ca="1" si="38"/>
        <v>0</v>
      </c>
      <c r="AP40" s="319">
        <f t="shared" ca="1" si="38"/>
        <v>0</v>
      </c>
      <c r="AQ40" s="319">
        <f t="shared" ca="1" si="38"/>
        <v>0</v>
      </c>
      <c r="AR40" s="319">
        <f t="shared" ca="1" si="38"/>
        <v>0</v>
      </c>
      <c r="AS40" s="319">
        <f t="shared" ca="1" si="38"/>
        <v>0</v>
      </c>
      <c r="AT40" s="319">
        <f t="shared" ca="1" si="38"/>
        <v>0</v>
      </c>
      <c r="AU40" s="319">
        <f t="shared" ca="1" si="38"/>
        <v>0</v>
      </c>
      <c r="AV40" s="319">
        <f t="shared" ca="1" si="38"/>
        <v>0</v>
      </c>
      <c r="AW40" s="319">
        <f t="shared" ca="1" si="38"/>
        <v>0</v>
      </c>
      <c r="AX40" s="319">
        <f t="shared" ca="1" si="38"/>
        <v>0</v>
      </c>
      <c r="BB40" s="109" t="str">
        <f ca="1">IF(C40&lt;&gt;0,CONCATENATE("Intralipid 20% (incl.vitintra) ",ROUNDUP(C40/24,1)," ml/uur"),"")</f>
        <v/>
      </c>
      <c r="BC40" s="319"/>
    </row>
    <row r="41" spans="1:62" x14ac:dyDescent="0.2">
      <c r="A41" s="109" t="s">
        <v>4282</v>
      </c>
      <c r="B41" s="204"/>
      <c r="D41" s="109">
        <v>1</v>
      </c>
      <c r="O41" s="319" t="str">
        <f>IF(Var_Neo_InfB_TPN_Parenteraal,ROUND(SUM(AL42:AL50),1)&amp;" ml","")</f>
        <v/>
      </c>
      <c r="Q41" s="319" t="str">
        <f>IF(Var_Neo_InfB_TPN_Parenteraal,ROUND(SUM(AL42:AL50)/24,1)&amp;" ml/uur","")</f>
        <v/>
      </c>
      <c r="AM41" s="319"/>
      <c r="AN41" s="319"/>
      <c r="AO41" s="319"/>
      <c r="AP41" s="319"/>
      <c r="AQ41" s="319"/>
      <c r="AR41" s="319"/>
      <c r="AS41" s="319"/>
      <c r="AT41" s="319"/>
      <c r="AU41" s="319"/>
      <c r="AV41" s="319"/>
      <c r="AW41" s="319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19" t="str">
        <f>IF(AL42&gt;0,AL42&amp;" ml","")</f>
        <v/>
      </c>
      <c r="P42" s="319" t="str">
        <f t="shared" ref="P42:P47" si="39">A42</f>
        <v>NaCl 2,9%</v>
      </c>
      <c r="AL42" s="109">
        <f>IF(OR($D$41=2,$D$41=3),C42,0)</f>
        <v>0</v>
      </c>
      <c r="AM42" s="319">
        <f t="shared" ref="AM42:AX50" ca="1" si="40">IF($C42&gt;0,VLOOKUP($P42,Tbl_Glob_ParEnt,AM$1,FALSE),0)*$AL42</f>
        <v>0</v>
      </c>
      <c r="AN42" s="319">
        <f t="shared" ca="1" si="40"/>
        <v>0</v>
      </c>
      <c r="AO42" s="319">
        <f t="shared" ca="1" si="40"/>
        <v>0</v>
      </c>
      <c r="AP42" s="319">
        <f t="shared" ca="1" si="40"/>
        <v>0</v>
      </c>
      <c r="AQ42" s="319">
        <f t="shared" ca="1" si="40"/>
        <v>0</v>
      </c>
      <c r="AR42" s="319">
        <f t="shared" ca="1" si="40"/>
        <v>0</v>
      </c>
      <c r="AS42" s="319">
        <f t="shared" ca="1" si="40"/>
        <v>0</v>
      </c>
      <c r="AT42" s="319">
        <f t="shared" ca="1" si="40"/>
        <v>0</v>
      </c>
      <c r="AU42" s="319">
        <f t="shared" ca="1" si="40"/>
        <v>0</v>
      </c>
      <c r="AV42" s="319">
        <f t="shared" ca="1" si="40"/>
        <v>0</v>
      </c>
      <c r="AW42" s="319">
        <f t="shared" ca="1" si="40"/>
        <v>0</v>
      </c>
      <c r="AX42" s="319">
        <f t="shared" ca="1" si="40"/>
        <v>0</v>
      </c>
      <c r="AZ42" s="426"/>
      <c r="BA42" s="426"/>
      <c r="BB42" s="109" t="str">
        <f>IF(O42="","",P42&amp;" "&amp;O42)</f>
        <v/>
      </c>
      <c r="BD42" s="426"/>
      <c r="BE42" s="426"/>
      <c r="BF42" s="426"/>
      <c r="BG42" s="426"/>
      <c r="BH42" s="426"/>
      <c r="BI42" s="426"/>
      <c r="BJ42" s="426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19" t="str">
        <f t="shared" ref="O43:O50" si="41">IF(AL43&gt;0,AL43&amp;" ml","")</f>
        <v/>
      </c>
      <c r="P43" s="319" t="str">
        <f t="shared" si="39"/>
        <v>Kacetaat</v>
      </c>
      <c r="AL43" s="109">
        <f>IF(OR($D$41=2,$D$41=3),C43,0)</f>
        <v>0</v>
      </c>
      <c r="AM43" s="319">
        <f t="shared" ca="1" si="40"/>
        <v>0</v>
      </c>
      <c r="AN43" s="319">
        <f t="shared" ca="1" si="40"/>
        <v>0</v>
      </c>
      <c r="AO43" s="319">
        <f t="shared" ca="1" si="40"/>
        <v>0</v>
      </c>
      <c r="AP43" s="319">
        <f t="shared" ca="1" si="40"/>
        <v>0</v>
      </c>
      <c r="AQ43" s="319">
        <f t="shared" ca="1" si="40"/>
        <v>0</v>
      </c>
      <c r="AR43" s="319">
        <f t="shared" ca="1" si="40"/>
        <v>0</v>
      </c>
      <c r="AS43" s="319">
        <f t="shared" ca="1" si="40"/>
        <v>0</v>
      </c>
      <c r="AT43" s="319">
        <f t="shared" ca="1" si="40"/>
        <v>0</v>
      </c>
      <c r="AU43" s="319">
        <f t="shared" ca="1" si="40"/>
        <v>0</v>
      </c>
      <c r="AV43" s="319">
        <f t="shared" ca="1" si="40"/>
        <v>0</v>
      </c>
      <c r="AW43" s="319">
        <f t="shared" ca="1" si="40"/>
        <v>0</v>
      </c>
      <c r="AX43" s="319">
        <f t="shared" ca="1" si="40"/>
        <v>0</v>
      </c>
      <c r="BB43" s="319" t="str">
        <f t="shared" ref="BB43:BB50" si="42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19" t="str">
        <f t="shared" si="41"/>
        <v/>
      </c>
      <c r="P44" s="319" t="str">
        <f t="shared" si="39"/>
        <v>CaCl2</v>
      </c>
      <c r="AL44" s="109">
        <f>IF($D$41=3,C44,0)</f>
        <v>0</v>
      </c>
      <c r="AM44" s="319">
        <f t="shared" ca="1" si="40"/>
        <v>0</v>
      </c>
      <c r="AN44" s="319">
        <f t="shared" ca="1" si="40"/>
        <v>0</v>
      </c>
      <c r="AO44" s="319">
        <f t="shared" ca="1" si="40"/>
        <v>0</v>
      </c>
      <c r="AP44" s="319">
        <f t="shared" ca="1" si="40"/>
        <v>0</v>
      </c>
      <c r="AQ44" s="319">
        <f t="shared" ca="1" si="40"/>
        <v>0</v>
      </c>
      <c r="AR44" s="319">
        <f t="shared" ca="1" si="40"/>
        <v>0</v>
      </c>
      <c r="AS44" s="319">
        <f t="shared" ca="1" si="40"/>
        <v>0</v>
      </c>
      <c r="AT44" s="319">
        <f t="shared" ca="1" si="40"/>
        <v>0</v>
      </c>
      <c r="AU44" s="319">
        <f t="shared" ca="1" si="40"/>
        <v>0</v>
      </c>
      <c r="AV44" s="319">
        <f t="shared" ca="1" si="40"/>
        <v>0</v>
      </c>
      <c r="AW44" s="319">
        <f t="shared" ca="1" si="40"/>
        <v>0</v>
      </c>
      <c r="AX44" s="319">
        <f t="shared" ca="1" si="40"/>
        <v>0</v>
      </c>
      <c r="BB44" s="319" t="str">
        <f t="shared" si="42"/>
        <v/>
      </c>
      <c r="BC44" s="426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19" t="str">
        <f t="shared" si="41"/>
        <v/>
      </c>
      <c r="P45" s="319" t="str">
        <f t="shared" si="39"/>
        <v>MgCl2</v>
      </c>
      <c r="AL45" s="109">
        <f>IF($D$41=3,C45,0)</f>
        <v>0</v>
      </c>
      <c r="AM45" s="319">
        <f t="shared" ca="1" si="40"/>
        <v>0</v>
      </c>
      <c r="AN45" s="319">
        <f t="shared" ca="1" si="40"/>
        <v>0</v>
      </c>
      <c r="AO45" s="319">
        <f t="shared" ca="1" si="40"/>
        <v>0</v>
      </c>
      <c r="AP45" s="319">
        <f t="shared" ca="1" si="40"/>
        <v>0</v>
      </c>
      <c r="AQ45" s="319">
        <f t="shared" ca="1" si="40"/>
        <v>0</v>
      </c>
      <c r="AR45" s="319">
        <f t="shared" ca="1" si="40"/>
        <v>0</v>
      </c>
      <c r="AS45" s="319">
        <f t="shared" ca="1" si="40"/>
        <v>0</v>
      </c>
      <c r="AT45" s="319">
        <f t="shared" ca="1" si="40"/>
        <v>0</v>
      </c>
      <c r="AU45" s="319">
        <f t="shared" ca="1" si="40"/>
        <v>0</v>
      </c>
      <c r="AV45" s="319">
        <f t="shared" ca="1" si="40"/>
        <v>0</v>
      </c>
      <c r="AW45" s="319">
        <f t="shared" ca="1" si="40"/>
        <v>0</v>
      </c>
      <c r="AX45" s="319">
        <f t="shared" ca="1" si="40"/>
        <v>0</v>
      </c>
      <c r="BB45" s="319" t="str">
        <f t="shared" si="42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19" t="str">
        <f t="shared" si="41"/>
        <v/>
      </c>
      <c r="P46" s="319" t="str">
        <f t="shared" si="39"/>
        <v>Soluvit</v>
      </c>
      <c r="AL46" s="109">
        <f>IF($D$41=3,C46,0)</f>
        <v>0</v>
      </c>
      <c r="AM46" s="319">
        <f t="shared" ca="1" si="40"/>
        <v>0</v>
      </c>
      <c r="AN46" s="319">
        <f t="shared" ca="1" si="40"/>
        <v>0</v>
      </c>
      <c r="AO46" s="319">
        <f t="shared" ca="1" si="40"/>
        <v>0</v>
      </c>
      <c r="AP46" s="319">
        <f t="shared" ca="1" si="40"/>
        <v>0</v>
      </c>
      <c r="AQ46" s="319">
        <f t="shared" ca="1" si="40"/>
        <v>0</v>
      </c>
      <c r="AR46" s="319">
        <f t="shared" ca="1" si="40"/>
        <v>0</v>
      </c>
      <c r="AS46" s="319">
        <f t="shared" ca="1" si="40"/>
        <v>0</v>
      </c>
      <c r="AT46" s="319">
        <f t="shared" ca="1" si="40"/>
        <v>0</v>
      </c>
      <c r="AU46" s="319">
        <f t="shared" ca="1" si="40"/>
        <v>0</v>
      </c>
      <c r="AV46" s="319">
        <f t="shared" ca="1" si="40"/>
        <v>0</v>
      </c>
      <c r="AW46" s="319">
        <f t="shared" ca="1" si="40"/>
        <v>0</v>
      </c>
      <c r="AX46" s="319">
        <f t="shared" ca="1" si="40"/>
        <v>0</v>
      </c>
      <c r="BB46" s="319" t="str">
        <f t="shared" si="42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19" t="str">
        <f t="shared" ca="1" si="41"/>
        <v/>
      </c>
      <c r="P47" s="319" t="str">
        <f t="shared" si="39"/>
        <v>Primene</v>
      </c>
      <c r="AL47" s="109">
        <f ca="1">C47</f>
        <v>0</v>
      </c>
      <c r="AM47" s="319">
        <f t="shared" ca="1" si="40"/>
        <v>0</v>
      </c>
      <c r="AN47" s="319">
        <f t="shared" ca="1" si="40"/>
        <v>0</v>
      </c>
      <c r="AO47" s="319">
        <f t="shared" ca="1" si="40"/>
        <v>0</v>
      </c>
      <c r="AP47" s="319">
        <f t="shared" ca="1" si="40"/>
        <v>0</v>
      </c>
      <c r="AQ47" s="319">
        <f t="shared" ca="1" si="40"/>
        <v>0</v>
      </c>
      <c r="AR47" s="319">
        <f t="shared" ca="1" si="40"/>
        <v>0</v>
      </c>
      <c r="AS47" s="319">
        <f t="shared" ca="1" si="40"/>
        <v>0</v>
      </c>
      <c r="AT47" s="319">
        <f t="shared" ca="1" si="40"/>
        <v>0</v>
      </c>
      <c r="AU47" s="319">
        <f t="shared" ca="1" si="40"/>
        <v>0</v>
      </c>
      <c r="AV47" s="319">
        <f t="shared" ca="1" si="40"/>
        <v>0</v>
      </c>
      <c r="AW47" s="319">
        <f t="shared" ca="1" si="40"/>
        <v>0</v>
      </c>
      <c r="AX47" s="319">
        <f t="shared" ca="1" si="40"/>
        <v>0</v>
      </c>
      <c r="BB47" s="319" t="str">
        <f t="shared" ca="1" si="42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19" t="str">
        <f t="shared" ca="1" si="41"/>
        <v/>
      </c>
      <c r="P48" s="319" t="s">
        <v>481</v>
      </c>
      <c r="AL48" s="109">
        <f ca="1">IF(D41=1,C48,0)</f>
        <v>0</v>
      </c>
      <c r="AM48" s="319">
        <f t="shared" ca="1" si="40"/>
        <v>0</v>
      </c>
      <c r="AN48" s="319">
        <f t="shared" ca="1" si="40"/>
        <v>0</v>
      </c>
      <c r="AO48" s="319">
        <f t="shared" ca="1" si="40"/>
        <v>0</v>
      </c>
      <c r="AP48" s="319">
        <f t="shared" ca="1" si="40"/>
        <v>0</v>
      </c>
      <c r="AQ48" s="319">
        <f t="shared" ca="1" si="40"/>
        <v>0</v>
      </c>
      <c r="AR48" s="319">
        <f t="shared" ca="1" si="40"/>
        <v>0</v>
      </c>
      <c r="AS48" s="319">
        <f t="shared" ca="1" si="40"/>
        <v>0</v>
      </c>
      <c r="AT48" s="319">
        <f t="shared" ca="1" si="40"/>
        <v>0</v>
      </c>
      <c r="AU48" s="319">
        <f t="shared" ca="1" si="40"/>
        <v>0</v>
      </c>
      <c r="AV48" s="319">
        <f t="shared" ca="1" si="40"/>
        <v>0</v>
      </c>
      <c r="AW48" s="319">
        <f t="shared" ca="1" si="40"/>
        <v>0</v>
      </c>
      <c r="AX48" s="319">
        <f t="shared" ca="1" si="40"/>
        <v>0</v>
      </c>
      <c r="BB48" s="319" t="str">
        <f t="shared" ca="1" si="42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19" t="str">
        <f t="shared" si="41"/>
        <v/>
      </c>
      <c r="P49" s="319" t="str">
        <f>A49</f>
        <v>Samenstelling B</v>
      </c>
      <c r="AL49" s="109">
        <f>IF(D41=2,C49,0)</f>
        <v>0</v>
      </c>
      <c r="AM49" s="319">
        <f t="shared" ca="1" si="40"/>
        <v>0</v>
      </c>
      <c r="AN49" s="319">
        <f t="shared" ca="1" si="40"/>
        <v>0</v>
      </c>
      <c r="AO49" s="319">
        <f t="shared" ca="1" si="40"/>
        <v>0</v>
      </c>
      <c r="AP49" s="319">
        <f t="shared" ca="1" si="40"/>
        <v>0</v>
      </c>
      <c r="AQ49" s="319">
        <f t="shared" ca="1" si="40"/>
        <v>0</v>
      </c>
      <c r="AR49" s="319">
        <f t="shared" ca="1" si="40"/>
        <v>0</v>
      </c>
      <c r="AS49" s="319">
        <f t="shared" ca="1" si="40"/>
        <v>0</v>
      </c>
      <c r="AT49" s="319">
        <f t="shared" ca="1" si="40"/>
        <v>0</v>
      </c>
      <c r="AU49" s="319">
        <f t="shared" ca="1" si="40"/>
        <v>0</v>
      </c>
      <c r="AV49" s="319">
        <f t="shared" ca="1" si="40"/>
        <v>0</v>
      </c>
      <c r="AW49" s="319">
        <f t="shared" ca="1" si="40"/>
        <v>0</v>
      </c>
      <c r="AX49" s="319">
        <f t="shared" ca="1" si="40"/>
        <v>0</v>
      </c>
      <c r="BB49" s="319" t="str">
        <f t="shared" si="42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19" t="str">
        <f t="shared" si="41"/>
        <v/>
      </c>
      <c r="P50" s="319" t="str">
        <f>IF(D50&gt;0,INDEX(Tbl_Neo_OplVlst,D50+1,1),"")</f>
        <v>glucose 10%</v>
      </c>
      <c r="AL50" s="109">
        <f>IF(B21,ROUND(C21-SUM(AL22:AL49),1),0)</f>
        <v>0</v>
      </c>
      <c r="AM50" s="319">
        <f t="shared" si="40"/>
        <v>0</v>
      </c>
      <c r="AN50" s="319">
        <f t="shared" si="40"/>
        <v>0</v>
      </c>
      <c r="AO50" s="319">
        <f t="shared" si="40"/>
        <v>0</v>
      </c>
      <c r="AP50" s="319">
        <f t="shared" si="40"/>
        <v>0</v>
      </c>
      <c r="AQ50" s="319">
        <f t="shared" si="40"/>
        <v>0</v>
      </c>
      <c r="AR50" s="319">
        <f t="shared" si="40"/>
        <v>0</v>
      </c>
      <c r="AS50" s="319">
        <f t="shared" si="40"/>
        <v>0</v>
      </c>
      <c r="AT50" s="319">
        <f t="shared" si="40"/>
        <v>0</v>
      </c>
      <c r="AU50" s="319">
        <f t="shared" si="40"/>
        <v>0</v>
      </c>
      <c r="AV50" s="319">
        <f t="shared" si="40"/>
        <v>0</v>
      </c>
      <c r="AW50" s="319">
        <f t="shared" si="40"/>
        <v>0</v>
      </c>
      <c r="AX50" s="319">
        <f t="shared" si="40"/>
        <v>0</v>
      </c>
      <c r="BB50" s="319" t="str">
        <f t="shared" si="42"/>
        <v/>
      </c>
    </row>
    <row r="51" spans="1:55" s="319" customFormat="1" x14ac:dyDescent="0.2">
      <c r="BC51" s="109"/>
    </row>
    <row r="52" spans="1:55" s="319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39">
        <f t="shared" ref="AM52:AX52" si="43">SUM(AM9:AM19)</f>
        <v>0</v>
      </c>
      <c r="AN52" s="439">
        <f t="shared" si="43"/>
        <v>0</v>
      </c>
      <c r="AO52" s="439">
        <f t="shared" si="43"/>
        <v>0</v>
      </c>
      <c r="AP52" s="439">
        <f t="shared" si="43"/>
        <v>0</v>
      </c>
      <c r="AQ52" s="439">
        <f t="shared" si="43"/>
        <v>0</v>
      </c>
      <c r="AR52" s="439">
        <f t="shared" si="43"/>
        <v>0</v>
      </c>
      <c r="AS52" s="439">
        <f t="shared" si="43"/>
        <v>0</v>
      </c>
      <c r="AT52" s="439">
        <f t="shared" si="43"/>
        <v>0</v>
      </c>
      <c r="AU52" s="439">
        <f t="shared" si="43"/>
        <v>0</v>
      </c>
      <c r="AV52" s="439">
        <f t="shared" si="43"/>
        <v>0</v>
      </c>
      <c r="AW52" s="439">
        <f t="shared" si="43"/>
        <v>0</v>
      </c>
      <c r="AX52" s="439">
        <f t="shared" si="43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19">
        <f t="shared" ref="AN53:AX53" ca="1" si="44">SUM(AN22:AN50)</f>
        <v>0</v>
      </c>
      <c r="AO53" s="319">
        <f t="shared" ca="1" si="44"/>
        <v>0</v>
      </c>
      <c r="AP53" s="319">
        <f t="shared" ca="1" si="44"/>
        <v>0</v>
      </c>
      <c r="AQ53" s="319">
        <f t="shared" ca="1" si="44"/>
        <v>0</v>
      </c>
      <c r="AR53" s="319">
        <f t="shared" ca="1" si="44"/>
        <v>0</v>
      </c>
      <c r="AS53" s="319">
        <f ca="1">SUM(AS22:AS50)</f>
        <v>0</v>
      </c>
      <c r="AT53" s="319">
        <f t="shared" ca="1" si="44"/>
        <v>0</v>
      </c>
      <c r="AU53" s="319">
        <f t="shared" ca="1" si="44"/>
        <v>0</v>
      </c>
      <c r="AV53" s="319">
        <f t="shared" ca="1" si="44"/>
        <v>0</v>
      </c>
      <c r="AW53" s="319">
        <f t="shared" ca="1" si="44"/>
        <v>0</v>
      </c>
      <c r="AX53" s="319">
        <f t="shared" ca="1" si="44"/>
        <v>0</v>
      </c>
      <c r="BB53" s="319"/>
      <c r="BC53" s="319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19">
        <f t="shared" ref="AN54:AX54" ca="1" si="45">AN52+AN53</f>
        <v>0</v>
      </c>
      <c r="AO54" s="319">
        <f t="shared" ca="1" si="45"/>
        <v>0</v>
      </c>
      <c r="AP54" s="319">
        <f t="shared" ca="1" si="45"/>
        <v>0</v>
      </c>
      <c r="AQ54" s="319">
        <f t="shared" ca="1" si="45"/>
        <v>0</v>
      </c>
      <c r="AR54" s="319">
        <f t="shared" ca="1" si="45"/>
        <v>0</v>
      </c>
      <c r="AS54" s="319">
        <f t="shared" ca="1" si="45"/>
        <v>0</v>
      </c>
      <c r="AT54" s="319">
        <f t="shared" ca="1" si="45"/>
        <v>0</v>
      </c>
      <c r="AU54" s="319">
        <f t="shared" ca="1" si="45"/>
        <v>0</v>
      </c>
      <c r="AV54" s="319">
        <f t="shared" ca="1" si="45"/>
        <v>0</v>
      </c>
      <c r="AW54" s="319">
        <f t="shared" ca="1" si="45"/>
        <v>0</v>
      </c>
      <c r="AX54" s="319">
        <f t="shared" ca="1" si="45"/>
        <v>0</v>
      </c>
      <c r="BB54" s="319"/>
      <c r="BC54" s="319"/>
    </row>
    <row r="55" spans="1:55" s="319" customFormat="1" x14ac:dyDescent="0.2"/>
    <row r="56" spans="1:55" s="319" customFormat="1" x14ac:dyDescent="0.2">
      <c r="A56" s="319" t="s">
        <v>154</v>
      </c>
      <c r="AL56" s="319" t="str">
        <f t="shared" ref="AL56:AX56" si="46">IF(_Pat_Gewicht&gt;0,FixPrecision(AL52/(_Pat_Gewicht/10),2)&amp;" "&amp;AL$60,"")</f>
        <v/>
      </c>
      <c r="AM56" s="797" t="str">
        <f t="shared" si="46"/>
        <v/>
      </c>
      <c r="AN56" s="797" t="str">
        <f t="shared" si="46"/>
        <v/>
      </c>
      <c r="AO56" s="797" t="str">
        <f t="shared" si="46"/>
        <v/>
      </c>
      <c r="AP56" s="797" t="str">
        <f t="shared" si="46"/>
        <v/>
      </c>
      <c r="AQ56" s="797" t="str">
        <f t="shared" si="46"/>
        <v/>
      </c>
      <c r="AR56" s="797" t="str">
        <f t="shared" si="46"/>
        <v/>
      </c>
      <c r="AS56" s="797" t="str">
        <f>IF(_Pat_Gewicht&gt;0,FixPrecision(AS52/1.44/(_Pat_Gewicht/10),2)&amp;" "&amp;AS$60,"")</f>
        <v/>
      </c>
      <c r="AT56" s="797" t="str">
        <f t="shared" si="46"/>
        <v/>
      </c>
      <c r="AU56" s="797" t="str">
        <f t="shared" si="46"/>
        <v/>
      </c>
      <c r="AV56" s="797" t="str">
        <f t="shared" si="46"/>
        <v/>
      </c>
      <c r="AW56" s="797" t="str">
        <f t="shared" si="46"/>
        <v/>
      </c>
      <c r="AX56" s="797" t="str">
        <f t="shared" si="46"/>
        <v/>
      </c>
    </row>
    <row r="57" spans="1:55" x14ac:dyDescent="0.2">
      <c r="A57" s="109" t="s">
        <v>153</v>
      </c>
      <c r="AL57" s="797" t="str">
        <f t="shared" ref="AL57:AX57" si="47">IF(_Pat_Gewicht&gt;0,FixPrecision(AL53/(_Pat_Gewicht/10),2)&amp;" "&amp;AL$60,"")</f>
        <v/>
      </c>
      <c r="AM57" s="797" t="str">
        <f t="shared" si="47"/>
        <v/>
      </c>
      <c r="AN57" s="797" t="str">
        <f t="shared" si="47"/>
        <v/>
      </c>
      <c r="AO57" s="797" t="str">
        <f t="shared" si="47"/>
        <v/>
      </c>
      <c r="AP57" s="797" t="str">
        <f t="shared" si="47"/>
        <v/>
      </c>
      <c r="AQ57" s="797" t="str">
        <f t="shared" si="47"/>
        <v/>
      </c>
      <c r="AR57" s="797" t="str">
        <f t="shared" si="47"/>
        <v/>
      </c>
      <c r="AS57" s="797" t="str">
        <f>IF(_Pat_Gewicht&gt;0,FixPrecision(AS53/1.44/(_Pat_Gewicht/10),2)&amp;" "&amp;AS$60,"")</f>
        <v/>
      </c>
      <c r="AT57" s="797" t="str">
        <f t="shared" si="47"/>
        <v/>
      </c>
      <c r="AU57" s="797" t="str">
        <f t="shared" si="47"/>
        <v/>
      </c>
      <c r="AV57" s="797" t="str">
        <f t="shared" si="47"/>
        <v/>
      </c>
      <c r="AW57" s="797" t="str">
        <f t="shared" si="47"/>
        <v/>
      </c>
      <c r="AX57" s="797" t="str">
        <f t="shared" si="47"/>
        <v/>
      </c>
    </row>
    <row r="58" spans="1:55" x14ac:dyDescent="0.2">
      <c r="A58" s="109" t="s">
        <v>4730</v>
      </c>
      <c r="J58" s="109"/>
      <c r="M58" s="109"/>
      <c r="O58" s="109"/>
      <c r="P58" s="109"/>
      <c r="Q58" s="109"/>
      <c r="R58" s="109"/>
      <c r="S58" s="109"/>
      <c r="Z58" s="109"/>
      <c r="AL58" s="797" t="str">
        <f t="shared" ref="AL58:AX58" si="48">IF(_Pat_Gewicht&gt;0,FixPrecision(AL54/(_Pat_Gewicht/10),2)&amp;" "&amp;AL$60,"")</f>
        <v/>
      </c>
      <c r="AM58" s="797" t="str">
        <f t="shared" si="48"/>
        <v/>
      </c>
      <c r="AN58" s="797" t="str">
        <f t="shared" si="48"/>
        <v/>
      </c>
      <c r="AO58" s="797" t="str">
        <f t="shared" si="48"/>
        <v/>
      </c>
      <c r="AP58" s="797" t="str">
        <f t="shared" si="48"/>
        <v/>
      </c>
      <c r="AQ58" s="797" t="str">
        <f t="shared" si="48"/>
        <v/>
      </c>
      <c r="AR58" s="797" t="str">
        <f t="shared" si="48"/>
        <v/>
      </c>
      <c r="AS58" s="797" t="str">
        <f>IF(_Pat_Gewicht&gt;0,FixPrecision(AS54/1.44/(_Pat_Gewicht/10),2)&amp;" "&amp;AS$60,"")</f>
        <v/>
      </c>
      <c r="AT58" s="797" t="str">
        <f t="shared" si="48"/>
        <v/>
      </c>
      <c r="AU58" s="797" t="str">
        <f t="shared" si="48"/>
        <v/>
      </c>
      <c r="AV58" s="797" t="str">
        <f t="shared" si="48"/>
        <v/>
      </c>
      <c r="AW58" s="797" t="str">
        <f t="shared" si="48"/>
        <v/>
      </c>
      <c r="AX58" s="797" t="str">
        <f t="shared" si="48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19" t="str">
        <f>IF(O42="","",P42&amp;"::"&amp;O42)</f>
        <v/>
      </c>
      <c r="AL60" s="109" t="s">
        <v>4731</v>
      </c>
      <c r="AM60" s="109" t="s">
        <v>4732</v>
      </c>
      <c r="AN60" s="109" t="s">
        <v>4732</v>
      </c>
      <c r="AO60" s="319" t="s">
        <v>4732</v>
      </c>
      <c r="AP60" s="319" t="s">
        <v>4732</v>
      </c>
      <c r="AQ60" s="319" t="s">
        <v>4732</v>
      </c>
      <c r="AR60" s="109" t="s">
        <v>4733</v>
      </c>
      <c r="AS60" s="109" t="s">
        <v>376</v>
      </c>
      <c r="AT60" s="109" t="s">
        <v>4733</v>
      </c>
      <c r="AU60" s="109" t="s">
        <v>4734</v>
      </c>
      <c r="AV60" s="109" t="s">
        <v>4732</v>
      </c>
      <c r="AW60" s="109" t="s">
        <v>4735</v>
      </c>
      <c r="AX60" s="319" t="s">
        <v>4732</v>
      </c>
    </row>
    <row r="61" spans="1:55" x14ac:dyDescent="0.2">
      <c r="J61" s="109"/>
      <c r="M61" s="109"/>
      <c r="O61" s="791" t="str">
        <f t="shared" ref="O61:O68" si="49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791" t="str">
        <f t="shared" si="49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791" t="str">
        <f t="shared" si="49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791" t="str">
        <f t="shared" si="49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791" t="str">
        <f t="shared" ca="1" si="49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791" t="str">
        <f t="shared" ca="1" si="49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791" t="str">
        <f t="shared" si="49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791" t="str">
        <f t="shared" si="49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19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19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19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19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19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19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19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19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19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19"/>
      <c r="BC79" s="319"/>
    </row>
    <row r="80" spans="10:55" x14ac:dyDescent="0.2">
      <c r="AM80" s="262"/>
      <c r="BB80" s="319"/>
      <c r="BC80" s="319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B22" sqref="B22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3540</v>
      </c>
      <c r="B1" s="209" t="s">
        <v>3542</v>
      </c>
      <c r="C1" s="413" t="s">
        <v>3541</v>
      </c>
      <c r="D1" s="209" t="s">
        <v>3542</v>
      </c>
      <c r="E1" s="209" t="s">
        <v>3782</v>
      </c>
      <c r="F1" s="209" t="s">
        <v>3783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3998</v>
      </c>
      <c r="F2" t="b">
        <f t="shared" ref="F2:F36" si="1">"Var"&amp;A2=E2</f>
        <v>1</v>
      </c>
      <c r="H2" s="208" t="s">
        <v>3920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4384</v>
      </c>
      <c r="F3" s="208" t="b">
        <f t="shared" si="1"/>
        <v>1</v>
      </c>
      <c r="H3" s="208" t="s">
        <v>4334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4385</v>
      </c>
      <c r="F4" s="208" t="b">
        <f t="shared" si="1"/>
        <v>1</v>
      </c>
      <c r="H4" s="208" t="s">
        <v>4335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4387</v>
      </c>
      <c r="F5" s="208" t="b">
        <f t="shared" si="1"/>
        <v>1</v>
      </c>
      <c r="H5" s="208" t="s">
        <v>4336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4389</v>
      </c>
      <c r="F6" s="208" t="b">
        <f t="shared" si="1"/>
        <v>1</v>
      </c>
      <c r="H6" s="208" t="s">
        <v>4337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4391</v>
      </c>
      <c r="F7" s="208" t="b">
        <f t="shared" si="1"/>
        <v>1</v>
      </c>
      <c r="H7" s="208" t="s">
        <v>4338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4392</v>
      </c>
      <c r="F8" s="208" t="b">
        <f t="shared" si="1"/>
        <v>1</v>
      </c>
      <c r="H8" s="208" t="s">
        <v>4339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4393</v>
      </c>
      <c r="F9" s="208" t="b">
        <f t="shared" si="1"/>
        <v>1</v>
      </c>
      <c r="H9" s="208" t="s">
        <v>4340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4395</v>
      </c>
      <c r="F10" s="208" t="b">
        <f t="shared" si="1"/>
        <v>1</v>
      </c>
      <c r="H10" s="208" t="s">
        <v>4341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4397</v>
      </c>
      <c r="F11" s="208" t="b">
        <f t="shared" si="1"/>
        <v>1</v>
      </c>
      <c r="H11" s="208" t="s">
        <v>4342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4399</v>
      </c>
      <c r="F12" s="208" t="b">
        <f t="shared" si="1"/>
        <v>1</v>
      </c>
      <c r="H12" s="208" t="s">
        <v>4343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4400</v>
      </c>
      <c r="F13" s="208" t="b">
        <f t="shared" si="1"/>
        <v>1</v>
      </c>
      <c r="G13" s="208"/>
      <c r="H13" s="208" t="s">
        <v>4344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4401</v>
      </c>
      <c r="F14" s="208" t="b">
        <f t="shared" si="1"/>
        <v>1</v>
      </c>
      <c r="G14" s="208"/>
      <c r="H14" s="208" t="s">
        <v>4345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4403</v>
      </c>
      <c r="F15" s="208" t="b">
        <f t="shared" si="1"/>
        <v>1</v>
      </c>
      <c r="G15" s="208"/>
      <c r="H15" s="208" t="s">
        <v>4346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4405</v>
      </c>
      <c r="F16" s="208" t="b">
        <f t="shared" si="1"/>
        <v>1</v>
      </c>
      <c r="G16" s="208"/>
      <c r="H16" s="208" t="s">
        <v>4347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4407</v>
      </c>
      <c r="F17" s="208" t="b">
        <f t="shared" si="1"/>
        <v>1</v>
      </c>
      <c r="G17" s="208"/>
      <c r="H17" s="208" t="s">
        <v>4348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4409</v>
      </c>
      <c r="F18" s="208" t="b">
        <f t="shared" si="1"/>
        <v>1</v>
      </c>
      <c r="G18" s="208"/>
      <c r="H18" s="208" t="s">
        <v>4349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4411</v>
      </c>
      <c r="F19" s="208" t="b">
        <f t="shared" si="1"/>
        <v>1</v>
      </c>
      <c r="G19" s="208"/>
      <c r="H19" s="208" t="s">
        <v>4350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4413</v>
      </c>
      <c r="F20" s="208" t="b">
        <f t="shared" si="1"/>
        <v>1</v>
      </c>
      <c r="G20" s="208"/>
      <c r="H20" s="208" t="s">
        <v>4351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4415</v>
      </c>
      <c r="F21" s="208" t="b">
        <f t="shared" si="1"/>
        <v>1</v>
      </c>
      <c r="G21" s="208"/>
      <c r="H21" s="208" t="s">
        <v>4352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4417</v>
      </c>
      <c r="F22" s="208" t="b">
        <f t="shared" si="1"/>
        <v>1</v>
      </c>
      <c r="H22" s="208" t="s">
        <v>4353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3999</v>
      </c>
      <c r="F23" s="208" t="b">
        <f t="shared" si="1"/>
        <v>1</v>
      </c>
      <c r="G23" s="208"/>
      <c r="H23" s="208" t="s">
        <v>3921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4000</v>
      </c>
      <c r="F24" s="208" t="b">
        <f t="shared" si="1"/>
        <v>1</v>
      </c>
      <c r="G24" s="208"/>
      <c r="H24" s="208" t="s">
        <v>3922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4420</v>
      </c>
      <c r="F25" s="208" t="b">
        <f t="shared" si="1"/>
        <v>1</v>
      </c>
      <c r="H25" s="208" t="s">
        <v>4354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4421</v>
      </c>
      <c r="F26" s="208" t="b">
        <f t="shared" si="1"/>
        <v>1</v>
      </c>
      <c r="H26" s="208" t="s">
        <v>4355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4423</v>
      </c>
      <c r="F27" s="208" t="b">
        <f t="shared" si="1"/>
        <v>1</v>
      </c>
      <c r="H27" s="208" t="s">
        <v>4356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4425</v>
      </c>
      <c r="F28" s="208" t="b">
        <f t="shared" si="1"/>
        <v>1</v>
      </c>
      <c r="H28" s="208" t="s">
        <v>4357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4427</v>
      </c>
      <c r="F29" s="208" t="b">
        <f t="shared" si="1"/>
        <v>1</v>
      </c>
      <c r="H29" s="208" t="s">
        <v>4358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4429</v>
      </c>
      <c r="F30" s="208" t="b">
        <f t="shared" si="1"/>
        <v>1</v>
      </c>
      <c r="H30" s="208" t="s">
        <v>4359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4431</v>
      </c>
      <c r="F31" s="208" t="b">
        <f t="shared" si="1"/>
        <v>1</v>
      </c>
      <c r="H31" s="208" t="s">
        <v>4360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4433</v>
      </c>
      <c r="F32" s="208" t="b">
        <f t="shared" si="1"/>
        <v>1</v>
      </c>
      <c r="H32" s="208" t="s">
        <v>4361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4434</v>
      </c>
      <c r="F33" s="208" t="b">
        <f t="shared" si="1"/>
        <v>1</v>
      </c>
      <c r="H33" s="208" t="s">
        <v>4362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4435</v>
      </c>
      <c r="F34" s="208" t="b">
        <f t="shared" si="1"/>
        <v>1</v>
      </c>
      <c r="H34" s="208" t="s">
        <v>4363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4001</v>
      </c>
      <c r="F35" s="208" t="b">
        <f t="shared" si="1"/>
        <v>1</v>
      </c>
      <c r="H35" s="208" t="s">
        <v>3923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4002</v>
      </c>
      <c r="F36" s="208" t="b">
        <f t="shared" si="1"/>
        <v>1</v>
      </c>
      <c r="H36" s="208" t="s">
        <v>3924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4003</v>
      </c>
      <c r="F37" s="208" t="b">
        <f t="shared" ref="F37:F70" si="4">"Var"&amp;A37=E37</f>
        <v>1</v>
      </c>
      <c r="H37" s="208" t="s">
        <v>3925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4004</v>
      </c>
      <c r="F38" s="208" t="b">
        <f t="shared" si="4"/>
        <v>1</v>
      </c>
      <c r="H38" s="208" t="s">
        <v>3926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4005</v>
      </c>
      <c r="F39" s="208" t="b">
        <f t="shared" si="4"/>
        <v>1</v>
      </c>
      <c r="H39" s="208" t="s">
        <v>3927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4006</v>
      </c>
      <c r="F40" s="208" t="b">
        <f t="shared" si="4"/>
        <v>1</v>
      </c>
      <c r="H40" s="208" t="s">
        <v>3928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4007</v>
      </c>
      <c r="F41" s="208" t="b">
        <f t="shared" si="4"/>
        <v>1</v>
      </c>
      <c r="H41" s="208" t="s">
        <v>3929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4008</v>
      </c>
      <c r="F42" s="208" t="b">
        <f t="shared" si="4"/>
        <v>1</v>
      </c>
      <c r="H42" s="208" t="s">
        <v>3930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4009</v>
      </c>
      <c r="F43" s="208" t="b">
        <f t="shared" si="4"/>
        <v>1</v>
      </c>
      <c r="H43" s="208" t="s">
        <v>3931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4010</v>
      </c>
      <c r="F44" s="208" t="b">
        <f t="shared" si="4"/>
        <v>1</v>
      </c>
      <c r="H44" s="208" t="s">
        <v>3932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4011</v>
      </c>
      <c r="F45" s="208" t="b">
        <f t="shared" si="4"/>
        <v>1</v>
      </c>
      <c r="H45" s="208" t="s">
        <v>3933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4012</v>
      </c>
      <c r="F46" s="208" t="b">
        <f t="shared" si="4"/>
        <v>1</v>
      </c>
      <c r="H46" s="208" t="s">
        <v>3934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4444</v>
      </c>
      <c r="F47" s="208" t="b">
        <f t="shared" si="4"/>
        <v>1</v>
      </c>
      <c r="H47" s="208" t="s">
        <v>4364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4013</v>
      </c>
      <c r="F48" s="208" t="b">
        <f t="shared" si="4"/>
        <v>1</v>
      </c>
      <c r="H48" s="208" t="s">
        <v>3935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4014</v>
      </c>
      <c r="F49" s="208" t="b">
        <f t="shared" si="4"/>
        <v>1</v>
      </c>
      <c r="H49" s="208" t="s">
        <v>3936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4015</v>
      </c>
      <c r="F50" s="208" t="b">
        <f t="shared" si="4"/>
        <v>1</v>
      </c>
      <c r="H50" s="208" t="s">
        <v>3937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4016</v>
      </c>
      <c r="F51" s="208" t="b">
        <f t="shared" si="4"/>
        <v>1</v>
      </c>
      <c r="H51" s="208" t="s">
        <v>3938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4017</v>
      </c>
      <c r="F52" s="208" t="b">
        <f t="shared" si="4"/>
        <v>1</v>
      </c>
      <c r="H52" s="208" t="s">
        <v>3939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4018</v>
      </c>
      <c r="F53" s="208" t="b">
        <f t="shared" si="4"/>
        <v>1</v>
      </c>
      <c r="H53" s="208" t="s">
        <v>3940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4019</v>
      </c>
      <c r="F54" s="208" t="b">
        <f t="shared" si="4"/>
        <v>1</v>
      </c>
      <c r="H54" s="208" t="s">
        <v>3941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4020</v>
      </c>
      <c r="F55" s="208" t="b">
        <f t="shared" si="4"/>
        <v>1</v>
      </c>
      <c r="H55" s="208" t="s">
        <v>3942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4021</v>
      </c>
      <c r="F56" s="208" t="b">
        <f t="shared" si="4"/>
        <v>1</v>
      </c>
      <c r="H56" s="208" t="s">
        <v>3943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4022</v>
      </c>
      <c r="F57" s="208" t="b">
        <f t="shared" si="4"/>
        <v>1</v>
      </c>
      <c r="H57" s="208" t="s">
        <v>3944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4023</v>
      </c>
      <c r="F58" s="208" t="b">
        <f t="shared" si="4"/>
        <v>1</v>
      </c>
      <c r="H58" s="208" t="s">
        <v>3945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4024</v>
      </c>
      <c r="F59" s="208" t="b">
        <f t="shared" si="4"/>
        <v>1</v>
      </c>
      <c r="H59" s="208" t="s">
        <v>3946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4452</v>
      </c>
      <c r="F60" s="208" t="b">
        <f t="shared" si="4"/>
        <v>1</v>
      </c>
      <c r="H60" s="208" t="s">
        <v>4365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4025</v>
      </c>
      <c r="F61" s="208" t="b">
        <f t="shared" si="4"/>
        <v>1</v>
      </c>
      <c r="H61" s="208" t="s">
        <v>3947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4026</v>
      </c>
      <c r="F62" s="208" t="b">
        <f t="shared" si="4"/>
        <v>1</v>
      </c>
      <c r="H62" s="208" t="s">
        <v>3948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4027</v>
      </c>
      <c r="F63" s="208" t="b">
        <f t="shared" si="4"/>
        <v>1</v>
      </c>
      <c r="H63" s="208" t="s">
        <v>3949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4028</v>
      </c>
      <c r="F64" s="208" t="b">
        <f t="shared" si="4"/>
        <v>1</v>
      </c>
      <c r="H64" s="208" t="s">
        <v>3950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4029</v>
      </c>
      <c r="F65" s="208" t="b">
        <f t="shared" si="4"/>
        <v>1</v>
      </c>
      <c r="H65" s="208" t="s">
        <v>3951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4030</v>
      </c>
      <c r="F66" s="208" t="b">
        <f t="shared" si="4"/>
        <v>1</v>
      </c>
      <c r="H66" s="208" t="s">
        <v>3952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4031</v>
      </c>
      <c r="F67" s="208" t="b">
        <f t="shared" si="4"/>
        <v>1</v>
      </c>
      <c r="H67" s="208" t="s">
        <v>3953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4032</v>
      </c>
      <c r="F68" s="208" t="b">
        <f t="shared" si="4"/>
        <v>1</v>
      </c>
      <c r="H68" s="208" t="s">
        <v>3954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4033</v>
      </c>
      <c r="F69" s="208" t="b">
        <f t="shared" si="4"/>
        <v>1</v>
      </c>
      <c r="H69" s="208" t="s">
        <v>3955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4034</v>
      </c>
      <c r="F70" s="208" t="b">
        <f t="shared" si="4"/>
        <v>1</v>
      </c>
      <c r="H70" s="208" t="s">
        <v>3956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4035</v>
      </c>
      <c r="F71" s="208" t="b">
        <f t="shared" ref="F71:F98" si="6">"Var"&amp;A71=E71</f>
        <v>1</v>
      </c>
      <c r="H71" s="208" t="s">
        <v>3957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4036</v>
      </c>
      <c r="F72" s="208" t="b">
        <f t="shared" si="6"/>
        <v>1</v>
      </c>
      <c r="H72" s="208" t="s">
        <v>3958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4037</v>
      </c>
      <c r="F73" s="208" t="b">
        <f t="shared" si="6"/>
        <v>1</v>
      </c>
      <c r="H73" s="208" t="s">
        <v>3959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4038</v>
      </c>
      <c r="F74" s="208" t="b">
        <f t="shared" si="6"/>
        <v>1</v>
      </c>
      <c r="H74" s="208" t="s">
        <v>3960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4505</v>
      </c>
      <c r="F75" s="208" t="b">
        <f t="shared" si="6"/>
        <v>1</v>
      </c>
      <c r="H75" s="209" t="s">
        <v>4508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4039</v>
      </c>
      <c r="F76" s="208" t="b">
        <f t="shared" si="6"/>
        <v>1</v>
      </c>
      <c r="H76" s="208" t="s">
        <v>3961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4040</v>
      </c>
      <c r="F77" s="208" t="b">
        <f t="shared" si="6"/>
        <v>1</v>
      </c>
      <c r="H77" s="208" t="s">
        <v>3962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4041</v>
      </c>
      <c r="F78" s="208" t="b">
        <f t="shared" si="6"/>
        <v>1</v>
      </c>
      <c r="H78" s="208" t="s">
        <v>3963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4042</v>
      </c>
      <c r="F79" s="208" t="b">
        <f t="shared" si="6"/>
        <v>1</v>
      </c>
      <c r="H79" s="208" t="s">
        <v>3964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4043</v>
      </c>
      <c r="F80" s="208" t="b">
        <f t="shared" si="6"/>
        <v>1</v>
      </c>
      <c r="H80" s="208" t="s">
        <v>3965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4044</v>
      </c>
      <c r="F81" s="208" t="b">
        <f t="shared" si="6"/>
        <v>1</v>
      </c>
      <c r="H81" s="208" t="s">
        <v>3966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4045</v>
      </c>
      <c r="F82" s="208" t="b">
        <f t="shared" si="6"/>
        <v>1</v>
      </c>
      <c r="H82" s="208" t="s">
        <v>3967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4046</v>
      </c>
      <c r="F83" s="208" t="b">
        <f t="shared" si="6"/>
        <v>1</v>
      </c>
      <c r="H83" s="208" t="s">
        <v>3968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4047</v>
      </c>
      <c r="F84" s="208" t="b">
        <f t="shared" si="6"/>
        <v>1</v>
      </c>
      <c r="H84" s="208" t="s">
        <v>3969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4048</v>
      </c>
      <c r="F85" s="208" t="b">
        <f t="shared" si="6"/>
        <v>1</v>
      </c>
      <c r="H85" s="208" t="s">
        <v>3970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4049</v>
      </c>
      <c r="F86" s="208" t="b">
        <f t="shared" si="6"/>
        <v>1</v>
      </c>
      <c r="H86" s="208" t="s">
        <v>3971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4050</v>
      </c>
      <c r="F87" s="208" t="b">
        <f t="shared" si="6"/>
        <v>1</v>
      </c>
      <c r="H87" s="208" t="s">
        <v>3972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4051</v>
      </c>
      <c r="F88" s="208" t="b">
        <f t="shared" si="6"/>
        <v>1</v>
      </c>
      <c r="H88" s="208" t="s">
        <v>3973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4052</v>
      </c>
      <c r="F89" s="208" t="b">
        <f t="shared" si="6"/>
        <v>1</v>
      </c>
      <c r="H89" s="208" t="s">
        <v>3974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4053</v>
      </c>
      <c r="F90" s="208" t="b">
        <f t="shared" si="6"/>
        <v>1</v>
      </c>
      <c r="H90" s="208" t="s">
        <v>3975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4054</v>
      </c>
      <c r="F91" s="208" t="b">
        <f t="shared" si="6"/>
        <v>1</v>
      </c>
      <c r="H91" s="208" t="s">
        <v>3976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4055</v>
      </c>
      <c r="F92" s="208" t="b">
        <f t="shared" si="6"/>
        <v>1</v>
      </c>
      <c r="H92" s="208" t="s">
        <v>3977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4056</v>
      </c>
      <c r="F93" s="208" t="b">
        <f t="shared" si="6"/>
        <v>1</v>
      </c>
      <c r="H93" s="208" t="s">
        <v>3978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4057</v>
      </c>
      <c r="F94" s="208" t="b">
        <f t="shared" si="6"/>
        <v>1</v>
      </c>
      <c r="H94" s="208" t="s">
        <v>3979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4058</v>
      </c>
      <c r="F95" s="208" t="b">
        <f t="shared" si="6"/>
        <v>1</v>
      </c>
      <c r="H95" s="208" t="s">
        <v>3980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4059</v>
      </c>
      <c r="F96" s="208" t="b">
        <f t="shared" si="6"/>
        <v>1</v>
      </c>
      <c r="H96" s="208" t="s">
        <v>3981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4060</v>
      </c>
      <c r="F97" s="208" t="b">
        <f t="shared" si="6"/>
        <v>1</v>
      </c>
      <c r="H97" s="208" t="s">
        <v>3982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4061</v>
      </c>
      <c r="F98" s="208" t="b">
        <f t="shared" si="6"/>
        <v>1</v>
      </c>
      <c r="H98" s="208" t="s">
        <v>3983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4062</v>
      </c>
      <c r="F99" s="208" t="b">
        <f t="shared" ref="F99:F109" si="9">"Var"&amp;A99=E99</f>
        <v>1</v>
      </c>
      <c r="H99" s="208" t="s">
        <v>3984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4063</v>
      </c>
      <c r="F100" s="208" t="b">
        <f t="shared" si="9"/>
        <v>1</v>
      </c>
      <c r="H100" s="208" t="s">
        <v>3985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4064</v>
      </c>
      <c r="F101" s="208" t="b">
        <f t="shared" si="9"/>
        <v>1</v>
      </c>
      <c r="H101" s="208" t="s">
        <v>3986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4065</v>
      </c>
      <c r="F102" s="208" t="b">
        <f t="shared" si="9"/>
        <v>1</v>
      </c>
      <c r="H102" s="208" t="s">
        <v>3987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4066</v>
      </c>
      <c r="F103" s="208" t="b">
        <f t="shared" si="9"/>
        <v>1</v>
      </c>
      <c r="H103" s="208" t="s">
        <v>3988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4067</v>
      </c>
      <c r="F104" s="208" t="b">
        <f t="shared" si="9"/>
        <v>1</v>
      </c>
      <c r="H104" s="208" t="s">
        <v>3989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4068</v>
      </c>
      <c r="F105" s="208" t="b">
        <f t="shared" si="9"/>
        <v>1</v>
      </c>
      <c r="H105" s="208" t="s">
        <v>3990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4069</v>
      </c>
      <c r="F106" s="208" t="b">
        <f t="shared" si="9"/>
        <v>1</v>
      </c>
      <c r="H106" s="208" t="s">
        <v>3991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4070</v>
      </c>
      <c r="F107" s="208" t="b">
        <f>"Var"&amp;A107=E107</f>
        <v>1</v>
      </c>
      <c r="H107" s="208" t="s">
        <v>3992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4071</v>
      </c>
      <c r="F108" s="208" t="b">
        <f t="shared" si="9"/>
        <v>1</v>
      </c>
      <c r="H108" s="208" t="s">
        <v>3993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4072</v>
      </c>
      <c r="F109" s="208" t="b">
        <f t="shared" si="9"/>
        <v>1</v>
      </c>
      <c r="H109" s="208" t="s">
        <v>3994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4073</v>
      </c>
      <c r="F110" s="208" t="b">
        <f t="shared" ref="F110:F112" si="11">"Var"&amp;A110=E110</f>
        <v>1</v>
      </c>
      <c r="H110" s="208" t="s">
        <v>3995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4074</v>
      </c>
      <c r="F111" s="208" t="b">
        <f t="shared" si="11"/>
        <v>1</v>
      </c>
      <c r="H111" s="208" t="s">
        <v>3996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4075</v>
      </c>
      <c r="F112" s="208" t="b">
        <f t="shared" si="11"/>
        <v>1</v>
      </c>
      <c r="H112" s="208" t="s">
        <v>3997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workbookViewId="0">
      <selection activeCell="H24" sqref="H24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>
        <f>__1_Bed</f>
        <v>0</v>
      </c>
    </row>
    <row r="2" spans="1:16" x14ac:dyDescent="0.2">
      <c r="A2" s="159" t="s">
        <v>407</v>
      </c>
      <c r="C2" s="161" t="str">
        <f>__3_VoorNaam&amp;" "&amp;__2_AchterNaam</f>
        <v xml:space="preserve"> </v>
      </c>
      <c r="G2" s="159" t="s">
        <v>408</v>
      </c>
      <c r="I2" s="919">
        <f ca="1">TODAY()</f>
        <v>42999</v>
      </c>
      <c r="J2" s="919"/>
      <c r="K2" s="919"/>
      <c r="L2" s="159" t="s">
        <v>409</v>
      </c>
      <c r="M2" s="920">
        <f ca="1">NOW()</f>
        <v>42999.453738773147</v>
      </c>
      <c r="N2" s="920"/>
    </row>
    <row r="3" spans="1:16" x14ac:dyDescent="0.2">
      <c r="A3" s="159" t="s">
        <v>410</v>
      </c>
      <c r="C3" s="161">
        <f>(_Pat_Gewicht/10)*1000</f>
        <v>0</v>
      </c>
      <c r="D3" s="159" t="s">
        <v>29</v>
      </c>
      <c r="I3" s="303"/>
      <c r="J3" s="303"/>
      <c r="K3" s="303"/>
      <c r="M3" s="162"/>
      <c r="N3" s="162"/>
    </row>
    <row r="4" spans="1:16" x14ac:dyDescent="0.2">
      <c r="G4" s="159" t="s">
        <v>411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21" t="s">
        <v>414</v>
      </c>
      <c r="N5" s="922"/>
      <c r="O5" s="923" t="s">
        <v>5186</v>
      </c>
      <c r="P5" s="924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/>
      <c r="D25" s="168"/>
      <c r="E25" s="168"/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175" t="str">
        <f>IF(A24&lt;&gt;"",A24&amp;" ml/uur","")</f>
        <v/>
      </c>
      <c r="D26" s="176"/>
      <c r="E26" s="176" t="str">
        <f>IF(A24&lt;&gt;"",CONCATENATE(" = ",NeoBerInfB!G23," ",NeoBerInfB!R23),"")</f>
        <v/>
      </c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/>
      <c r="D28" s="168"/>
      <c r="E28" s="168"/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175" t="str">
        <f>IF(A27&lt;&gt;"",A27&amp;" ml/uur","")</f>
        <v/>
      </c>
      <c r="D29" s="176"/>
      <c r="E29" s="176" t="str">
        <f>IF(A27&lt;&gt;"",CONCATENATE(" = ",NeoBerInfB!G24," ",NeoBerInfB!R24),"")</f>
        <v/>
      </c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/>
      <c r="D31" s="168"/>
      <c r="E31" s="168"/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175" t="str">
        <f>IF(A30&lt;&gt;"",A30&amp;" ml/uur","")</f>
        <v/>
      </c>
      <c r="D32" s="176"/>
      <c r="E32" s="176" t="str">
        <f>IF(A30&lt;&gt;"",CONCATENATE(" = ",NeoBerInfB!G25," ",NeoBerInfB!R27),"")</f>
        <v/>
      </c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/>
      <c r="D34" s="168"/>
      <c r="E34" s="168"/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175" t="str">
        <f>IF(A33&lt;&gt;"",A33&amp;" ml/uur","")</f>
        <v/>
      </c>
      <c r="D35" s="176"/>
      <c r="E35" s="176" t="str">
        <f>IF(A33&lt;&gt;"",CONCATENATE(" = ",NeoBerInfB!G26," ",NeoBerInfB!R26),"")</f>
        <v/>
      </c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/>
      <c r="D37" s="168"/>
      <c r="E37" s="168"/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175" t="str">
        <f>IF(A36&lt;&gt;"",A36&amp;" ml/uur","")</f>
        <v/>
      </c>
      <c r="D38" s="176"/>
      <c r="E38" s="176" t="str">
        <f>IF(A36&lt;&gt;"",CONCATENATE(" = ",NeoBerInfB!G27," ",NeoBerInfB!R27),"")</f>
        <v/>
      </c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/>
      <c r="D40" s="168"/>
      <c r="E40" s="168"/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175" t="str">
        <f>IF(A39&lt;&gt;"",A39&amp;" ml/uur","")</f>
        <v/>
      </c>
      <c r="D41" s="176"/>
      <c r="E41" s="176" t="str">
        <f>IF(A39&lt;&gt;"",CONCATENATE(" = ",NeoBerInfB!G28," ",NeoBerInfB!R28),"")</f>
        <v/>
      </c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/>
      <c r="D43" s="168"/>
      <c r="E43" s="168"/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175" t="str">
        <f>IF(A42&lt;&gt;"",A42&amp;" ml/uur","")</f>
        <v/>
      </c>
      <c r="D44" s="176"/>
      <c r="E44" s="176" t="str">
        <f>IF(A42&lt;&gt;"",CONCATENATE(" = ",NeoBerInfB!G29," ",NeoBerInfB!R29),"")</f>
        <v/>
      </c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/>
      <c r="D46" s="168"/>
      <c r="E46" s="168"/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175" t="str">
        <f>IF(A45&lt;&gt;"",A45&amp;" ml/uur","")</f>
        <v/>
      </c>
      <c r="D47" s="176"/>
      <c r="E47" s="176" t="str">
        <f>IF(A45&lt;&gt;"",CONCATENATE(" = ",NeoBerInfB!G30," ",NeoBerInfB!R30),"")</f>
        <v/>
      </c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/>
      <c r="D49" s="168"/>
      <c r="E49" s="168"/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175" t="str">
        <f>IF(A48&lt;&gt;"",A48&amp;" ml/uur","")</f>
        <v/>
      </c>
      <c r="D50" s="176"/>
      <c r="E50" s="176" t="str">
        <f>IF(A48&lt;&gt;"",CONCATENATE(" = ",NeoBerInfB!G31," ",NeoBerInfB!R31),"")</f>
        <v/>
      </c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/>
      <c r="D52" s="168"/>
      <c r="E52" s="168"/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175" t="str">
        <f>IF(A51&lt;&gt;"",A51&amp;" ml/uur","")</f>
        <v/>
      </c>
      <c r="D53" s="176"/>
      <c r="E53" s="176" t="str">
        <f>IF(A51&lt;&gt;"",CONCATENATE(" = ",NeoBerInfB!G32," ",NeoBerInfB!R32),"")</f>
        <v/>
      </c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3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W52"/>
  <sheetViews>
    <sheetView workbookViewId="0">
      <selection activeCell="F21" sqref="F21"/>
    </sheetView>
  </sheetViews>
  <sheetFormatPr defaultColWidth="9.140625" defaultRowHeight="12.75" x14ac:dyDescent="0.2"/>
  <cols>
    <col min="1" max="1" width="9.140625" style="346"/>
    <col min="2" max="2" width="30.7109375" style="346" bestFit="1" customWidth="1"/>
    <col min="3" max="3" width="12.7109375" style="346" customWidth="1"/>
    <col min="4" max="4" width="18.7109375" style="346" customWidth="1"/>
    <col min="5" max="6" width="9.140625" style="346"/>
    <col min="7" max="11" width="11" style="346" customWidth="1"/>
    <col min="12" max="12" width="8.5703125" style="346" customWidth="1"/>
    <col min="13" max="13" width="22.5703125" style="346" customWidth="1"/>
    <col min="14" max="15" width="6.85546875" style="346" customWidth="1"/>
    <col min="16" max="16" width="37.85546875" style="346" customWidth="1"/>
    <col min="17" max="18" width="9.140625" style="346"/>
    <col min="19" max="19" width="22.140625" style="346" customWidth="1"/>
    <col min="20" max="20" width="26" style="346" customWidth="1"/>
    <col min="21" max="16384" width="9.140625" style="346"/>
  </cols>
  <sheetData>
    <row r="1" spans="1:23" x14ac:dyDescent="0.2">
      <c r="T1" s="347" t="s">
        <v>4126</v>
      </c>
    </row>
    <row r="2" spans="1:23" s="429" customFormat="1" ht="51" x14ac:dyDescent="0.2">
      <c r="A2" s="807"/>
      <c r="B2" s="811" t="s">
        <v>463</v>
      </c>
      <c r="C2" s="811" t="s">
        <v>3321</v>
      </c>
      <c r="D2" s="811" t="s">
        <v>4124</v>
      </c>
      <c r="E2" s="811" t="s">
        <v>4914</v>
      </c>
      <c r="F2" s="811" t="s">
        <v>4915</v>
      </c>
      <c r="G2" s="811" t="s">
        <v>848</v>
      </c>
      <c r="H2" s="811" t="s">
        <v>849</v>
      </c>
      <c r="I2" s="811" t="s">
        <v>847</v>
      </c>
      <c r="J2" s="811" t="s">
        <v>4909</v>
      </c>
      <c r="K2" s="811" t="s">
        <v>4907</v>
      </c>
      <c r="L2" s="811" t="s">
        <v>850</v>
      </c>
      <c r="M2" s="811" t="s">
        <v>4125</v>
      </c>
      <c r="N2" s="811" t="s">
        <v>4971</v>
      </c>
      <c r="O2" s="811" t="s">
        <v>43</v>
      </c>
      <c r="P2" s="811" t="s">
        <v>4927</v>
      </c>
      <c r="Q2" s="811" t="s">
        <v>4955</v>
      </c>
      <c r="R2" s="811" t="s">
        <v>4954</v>
      </c>
      <c r="S2" s="811" t="s">
        <v>4928</v>
      </c>
      <c r="T2" s="807" t="s">
        <v>464</v>
      </c>
      <c r="U2" s="807" t="s">
        <v>4076</v>
      </c>
      <c r="V2" s="808" t="s">
        <v>4120</v>
      </c>
      <c r="W2" s="808"/>
    </row>
    <row r="3" spans="1:23" x14ac:dyDescent="0.2">
      <c r="A3" s="809">
        <v>1</v>
      </c>
      <c r="B3" s="809"/>
      <c r="C3" s="809"/>
      <c r="D3" s="809"/>
      <c r="E3" s="809"/>
      <c r="F3" s="809"/>
      <c r="G3" s="809"/>
      <c r="H3" s="809"/>
      <c r="I3" s="810"/>
      <c r="J3" s="810"/>
      <c r="K3" s="810"/>
      <c r="L3" s="810">
        <v>1</v>
      </c>
      <c r="M3" s="810"/>
      <c r="N3" s="810"/>
      <c r="O3" s="810"/>
      <c r="P3" s="810"/>
      <c r="Q3" s="810"/>
      <c r="R3" s="810"/>
      <c r="S3" s="810"/>
      <c r="T3" s="809"/>
      <c r="U3" s="810"/>
      <c r="V3" s="810">
        <v>1</v>
      </c>
      <c r="W3" s="810"/>
    </row>
    <row r="4" spans="1:23" x14ac:dyDescent="0.2">
      <c r="A4" s="430">
        <f>A3+1</f>
        <v>2</v>
      </c>
      <c r="B4" s="801" t="s">
        <v>162</v>
      </c>
      <c r="C4" s="801" t="s">
        <v>121</v>
      </c>
      <c r="D4" s="801" t="s">
        <v>468</v>
      </c>
      <c r="E4" s="801">
        <v>0.1</v>
      </c>
      <c r="F4" s="801">
        <v>1</v>
      </c>
      <c r="G4" s="801">
        <v>0.05</v>
      </c>
      <c r="H4" s="801">
        <v>0.1</v>
      </c>
      <c r="I4" s="802">
        <v>0.501</v>
      </c>
      <c r="J4" s="802"/>
      <c r="K4" s="802">
        <v>0.1</v>
      </c>
      <c r="L4" s="802">
        <v>3</v>
      </c>
      <c r="M4" s="802"/>
      <c r="N4" s="802">
        <v>12</v>
      </c>
      <c r="O4" s="802">
        <v>0.5</v>
      </c>
      <c r="P4" s="802" t="s">
        <v>4929</v>
      </c>
      <c r="Q4" s="802">
        <v>1</v>
      </c>
      <c r="R4" s="802" t="s">
        <v>4930</v>
      </c>
      <c r="S4" s="802" t="s">
        <v>5212</v>
      </c>
      <c r="T4" s="809" t="s">
        <v>5187</v>
      </c>
      <c r="U4" s="810">
        <f t="shared" ref="U4:U26" si="0">HLOOKUP(C4,Tbl_Glob_Conv_EenhCont,VLOOKUP(D4,Tbl_Glob_Conv_EenhCont,2,FALSE),FALSE)</f>
        <v>16.666666666666668</v>
      </c>
      <c r="V4" s="810">
        <f>V3+1</f>
        <v>2</v>
      </c>
    </row>
    <row r="5" spans="1:23" x14ac:dyDescent="0.2">
      <c r="A5" s="430">
        <f t="shared" ref="A5:A26" si="1">A4+1</f>
        <v>3</v>
      </c>
      <c r="B5" s="801" t="s">
        <v>112</v>
      </c>
      <c r="C5" s="801" t="s">
        <v>121</v>
      </c>
      <c r="D5" s="801" t="s">
        <v>333</v>
      </c>
      <c r="E5" s="801">
        <v>0.5</v>
      </c>
      <c r="F5" s="801">
        <v>1</v>
      </c>
      <c r="G5" s="801">
        <v>10</v>
      </c>
      <c r="H5" s="801">
        <v>200</v>
      </c>
      <c r="I5" s="802">
        <v>200.01</v>
      </c>
      <c r="J5" s="802">
        <v>1.5E-3</v>
      </c>
      <c r="K5" s="802">
        <v>0.02</v>
      </c>
      <c r="L5" s="802">
        <v>3</v>
      </c>
      <c r="M5" s="802"/>
      <c r="N5" s="802">
        <v>12</v>
      </c>
      <c r="O5" s="802">
        <v>0.5</v>
      </c>
      <c r="P5" s="802" t="s">
        <v>4931</v>
      </c>
      <c r="Q5" s="802">
        <v>1</v>
      </c>
      <c r="R5" s="802" t="s">
        <v>4930</v>
      </c>
      <c r="S5" s="802" t="s">
        <v>5213</v>
      </c>
      <c r="T5" s="809" t="s">
        <v>5188</v>
      </c>
      <c r="U5" s="810">
        <f t="shared" si="0"/>
        <v>16666.666666666668</v>
      </c>
      <c r="V5" s="810">
        <f t="shared" ref="V5:V26" si="2">V4+1</f>
        <v>3</v>
      </c>
    </row>
    <row r="6" spans="1:23" x14ac:dyDescent="0.2">
      <c r="A6" s="430">
        <f t="shared" si="1"/>
        <v>4</v>
      </c>
      <c r="B6" s="801" t="s">
        <v>341</v>
      </c>
      <c r="C6" s="801" t="s">
        <v>121</v>
      </c>
      <c r="D6" s="801" t="s">
        <v>468</v>
      </c>
      <c r="E6" s="801">
        <v>50</v>
      </c>
      <c r="F6" s="801">
        <v>1</v>
      </c>
      <c r="G6" s="801">
        <v>5</v>
      </c>
      <c r="H6" s="801">
        <v>15</v>
      </c>
      <c r="I6" s="802">
        <v>15.01</v>
      </c>
      <c r="J6" s="802">
        <v>0.6</v>
      </c>
      <c r="K6" s="802">
        <v>50</v>
      </c>
      <c r="L6" s="802">
        <v>3</v>
      </c>
      <c r="M6" s="802"/>
      <c r="N6" s="802">
        <v>12</v>
      </c>
      <c r="O6" s="802">
        <v>0.5</v>
      </c>
      <c r="P6" s="802" t="s">
        <v>4932</v>
      </c>
      <c r="Q6" s="802">
        <v>1</v>
      </c>
      <c r="R6" s="802" t="s">
        <v>4930</v>
      </c>
      <c r="S6" s="802" t="s">
        <v>5214</v>
      </c>
      <c r="T6" s="809" t="s">
        <v>5189</v>
      </c>
      <c r="U6" s="810">
        <f t="shared" si="0"/>
        <v>16.666666666666668</v>
      </c>
      <c r="V6" s="810">
        <f t="shared" si="2"/>
        <v>4</v>
      </c>
    </row>
    <row r="7" spans="1:23" x14ac:dyDescent="0.2">
      <c r="A7" s="430">
        <f t="shared" si="1"/>
        <v>5</v>
      </c>
      <c r="B7" s="801" t="s">
        <v>5208</v>
      </c>
      <c r="C7" s="801" t="s">
        <v>122</v>
      </c>
      <c r="D7" s="801" t="s">
        <v>132</v>
      </c>
      <c r="E7" s="801">
        <v>1</v>
      </c>
      <c r="F7" s="801">
        <v>1</v>
      </c>
      <c r="G7" s="801">
        <v>1</v>
      </c>
      <c r="H7" s="801">
        <v>2</v>
      </c>
      <c r="I7" s="802">
        <v>1.01</v>
      </c>
      <c r="J7" s="802"/>
      <c r="K7" s="802"/>
      <c r="L7" s="802">
        <v>12</v>
      </c>
      <c r="M7" s="801" t="s">
        <v>4291</v>
      </c>
      <c r="N7" s="802">
        <v>24</v>
      </c>
      <c r="O7" s="802">
        <v>1</v>
      </c>
      <c r="P7" s="802" t="s">
        <v>4994</v>
      </c>
      <c r="Q7" s="802">
        <v>1</v>
      </c>
      <c r="R7" s="802" t="s">
        <v>4930</v>
      </c>
      <c r="S7" s="802" t="s">
        <v>5215</v>
      </c>
      <c r="T7" s="809" t="s">
        <v>5211</v>
      </c>
      <c r="U7" s="810">
        <f t="shared" si="0"/>
        <v>1</v>
      </c>
      <c r="V7" s="810">
        <f t="shared" si="2"/>
        <v>5</v>
      </c>
    </row>
    <row r="8" spans="1:23" x14ac:dyDescent="0.2">
      <c r="A8" s="430">
        <f t="shared" si="1"/>
        <v>6</v>
      </c>
      <c r="B8" s="801" t="s">
        <v>34</v>
      </c>
      <c r="C8" s="801" t="s">
        <v>121</v>
      </c>
      <c r="D8" s="801" t="s">
        <v>600</v>
      </c>
      <c r="E8" s="801">
        <v>0.15</v>
      </c>
      <c r="F8" s="801">
        <v>1</v>
      </c>
      <c r="G8" s="801">
        <v>0.25</v>
      </c>
      <c r="H8" s="801">
        <v>2</v>
      </c>
      <c r="I8" s="802">
        <v>2.0099999999999998</v>
      </c>
      <c r="J8" s="802"/>
      <c r="K8" s="802">
        <v>0.15</v>
      </c>
      <c r="L8" s="802">
        <v>12</v>
      </c>
      <c r="M8" s="802"/>
      <c r="N8" s="802">
        <v>12</v>
      </c>
      <c r="O8" s="802">
        <v>0.5</v>
      </c>
      <c r="P8" s="802" t="s">
        <v>4933</v>
      </c>
      <c r="Q8" s="802">
        <v>1</v>
      </c>
      <c r="R8" s="802" t="s">
        <v>4930</v>
      </c>
      <c r="S8" s="802" t="s">
        <v>5216</v>
      </c>
      <c r="T8" s="809" t="s">
        <v>5190</v>
      </c>
      <c r="U8" s="810">
        <f t="shared" si="0"/>
        <v>1000</v>
      </c>
      <c r="V8" s="810">
        <f t="shared" si="2"/>
        <v>6</v>
      </c>
    </row>
    <row r="9" spans="1:23" x14ac:dyDescent="0.2">
      <c r="A9" s="430">
        <f t="shared" si="1"/>
        <v>7</v>
      </c>
      <c r="B9" s="801" t="s">
        <v>260</v>
      </c>
      <c r="C9" s="801" t="s">
        <v>121</v>
      </c>
      <c r="D9" s="801" t="s">
        <v>468</v>
      </c>
      <c r="E9" s="801">
        <v>12.5</v>
      </c>
      <c r="F9" s="801">
        <v>1</v>
      </c>
      <c r="G9" s="801">
        <v>2</v>
      </c>
      <c r="H9" s="801">
        <v>20</v>
      </c>
      <c r="I9" s="802">
        <v>20.010000000000002</v>
      </c>
      <c r="J9" s="802"/>
      <c r="K9" s="802">
        <v>12.5</v>
      </c>
      <c r="L9" s="802">
        <v>3</v>
      </c>
      <c r="M9" s="802"/>
      <c r="N9" s="802">
        <v>12</v>
      </c>
      <c r="O9" s="802">
        <v>0.5</v>
      </c>
      <c r="P9" s="802" t="s">
        <v>4934</v>
      </c>
      <c r="Q9" s="802">
        <v>1</v>
      </c>
      <c r="R9" s="802" t="s">
        <v>4930</v>
      </c>
      <c r="S9" s="802" t="s">
        <v>5217</v>
      </c>
      <c r="T9" s="809" t="s">
        <v>5191</v>
      </c>
      <c r="U9" s="810">
        <f t="shared" si="0"/>
        <v>16.666666666666668</v>
      </c>
      <c r="V9" s="810">
        <f t="shared" si="2"/>
        <v>7</v>
      </c>
    </row>
    <row r="10" spans="1:23" s="347" customFormat="1" x14ac:dyDescent="0.2">
      <c r="A10" s="430">
        <f t="shared" si="1"/>
        <v>8</v>
      </c>
      <c r="B10" s="803" t="s">
        <v>234</v>
      </c>
      <c r="C10" s="801" t="s">
        <v>121</v>
      </c>
      <c r="D10" s="804" t="s">
        <v>468</v>
      </c>
      <c r="E10" s="803">
        <v>40</v>
      </c>
      <c r="F10" s="803">
        <v>1</v>
      </c>
      <c r="G10" s="801">
        <v>1</v>
      </c>
      <c r="H10" s="801">
        <v>20</v>
      </c>
      <c r="I10" s="419">
        <v>20.010000000000002</v>
      </c>
      <c r="J10" s="419"/>
      <c r="K10" s="419">
        <v>40</v>
      </c>
      <c r="L10" s="419">
        <v>3</v>
      </c>
      <c r="M10" s="419"/>
      <c r="N10" s="419">
        <v>12</v>
      </c>
      <c r="O10" s="802">
        <v>0.5</v>
      </c>
      <c r="P10" s="419" t="s">
        <v>4935</v>
      </c>
      <c r="Q10" s="419">
        <v>1</v>
      </c>
      <c r="R10" s="419" t="s">
        <v>4930</v>
      </c>
      <c r="S10" s="419" t="s">
        <v>5218</v>
      </c>
      <c r="T10" s="809" t="s">
        <v>5192</v>
      </c>
      <c r="U10" s="810">
        <f t="shared" si="0"/>
        <v>16.666666666666668</v>
      </c>
      <c r="V10" s="810">
        <f t="shared" si="2"/>
        <v>8</v>
      </c>
    </row>
    <row r="11" spans="1:23" x14ac:dyDescent="0.2">
      <c r="A11" s="430">
        <f t="shared" si="1"/>
        <v>9</v>
      </c>
      <c r="B11" s="801" t="s">
        <v>5209</v>
      </c>
      <c r="C11" s="801" t="s">
        <v>121</v>
      </c>
      <c r="D11" s="801" t="s">
        <v>288</v>
      </c>
      <c r="E11" s="801">
        <v>2</v>
      </c>
      <c r="F11" s="801">
        <v>1</v>
      </c>
      <c r="G11" s="801">
        <v>0.5</v>
      </c>
      <c r="H11" s="801">
        <v>2</v>
      </c>
      <c r="I11" s="801">
        <v>2.0099999999999998</v>
      </c>
      <c r="J11" s="802"/>
      <c r="K11" s="805">
        <v>2</v>
      </c>
      <c r="L11" s="802">
        <v>1</v>
      </c>
      <c r="M11" s="801"/>
      <c r="N11" s="801">
        <v>12</v>
      </c>
      <c r="O11" s="801">
        <v>0.5</v>
      </c>
      <c r="P11" s="801" t="s">
        <v>4936</v>
      </c>
      <c r="Q11" s="801">
        <v>1</v>
      </c>
      <c r="R11" s="801" t="s">
        <v>4930</v>
      </c>
      <c r="S11" s="801" t="s">
        <v>5219</v>
      </c>
      <c r="T11" s="809" t="s">
        <v>5193</v>
      </c>
      <c r="U11" s="810">
        <f t="shared" si="0"/>
        <v>1</v>
      </c>
      <c r="V11" s="810">
        <f t="shared" si="2"/>
        <v>9</v>
      </c>
    </row>
    <row r="12" spans="1:23" x14ac:dyDescent="0.2">
      <c r="A12" s="430">
        <f t="shared" si="1"/>
        <v>10</v>
      </c>
      <c r="B12" s="801" t="s">
        <v>76</v>
      </c>
      <c r="C12" s="801" t="s">
        <v>121</v>
      </c>
      <c r="D12" s="801" t="s">
        <v>333</v>
      </c>
      <c r="E12" s="801">
        <v>0.01</v>
      </c>
      <c r="F12" s="801">
        <v>1</v>
      </c>
      <c r="G12" s="801">
        <v>5</v>
      </c>
      <c r="H12" s="801">
        <v>40</v>
      </c>
      <c r="I12" s="801">
        <v>40.01</v>
      </c>
      <c r="J12" s="802">
        <v>5.0000000000000001E-3</v>
      </c>
      <c r="K12" s="805">
        <v>0.01</v>
      </c>
      <c r="L12" s="802">
        <v>1</v>
      </c>
      <c r="M12" s="801"/>
      <c r="N12" s="801">
        <v>12</v>
      </c>
      <c r="O12" s="801">
        <v>0.5</v>
      </c>
      <c r="P12" s="801" t="s">
        <v>4937</v>
      </c>
      <c r="Q12" s="801">
        <v>1</v>
      </c>
      <c r="R12" s="801" t="s">
        <v>4930</v>
      </c>
      <c r="S12" s="801" t="s">
        <v>4995</v>
      </c>
      <c r="T12" s="809" t="s">
        <v>5194</v>
      </c>
      <c r="U12" s="810">
        <f t="shared" si="0"/>
        <v>16666.666666666668</v>
      </c>
      <c r="V12" s="810">
        <f t="shared" si="2"/>
        <v>10</v>
      </c>
    </row>
    <row r="13" spans="1:23" x14ac:dyDescent="0.2">
      <c r="A13" s="430">
        <f t="shared" si="1"/>
        <v>11</v>
      </c>
      <c r="B13" s="801" t="s">
        <v>369</v>
      </c>
      <c r="C13" s="801" t="s">
        <v>121</v>
      </c>
      <c r="D13" s="801" t="s">
        <v>376</v>
      </c>
      <c r="E13" s="801">
        <v>10</v>
      </c>
      <c r="F13" s="801">
        <v>1</v>
      </c>
      <c r="G13" s="801">
        <v>0.1</v>
      </c>
      <c r="H13" s="801">
        <v>1</v>
      </c>
      <c r="I13" s="802">
        <v>1.01</v>
      </c>
      <c r="J13" s="802"/>
      <c r="K13" s="802">
        <v>10</v>
      </c>
      <c r="L13" s="802">
        <v>3</v>
      </c>
      <c r="M13" s="802"/>
      <c r="N13" s="801">
        <v>12</v>
      </c>
      <c r="O13" s="801">
        <v>0.5</v>
      </c>
      <c r="P13" s="802" t="s">
        <v>4938</v>
      </c>
      <c r="Q13" s="802">
        <v>1</v>
      </c>
      <c r="R13" s="802" t="s">
        <v>4930</v>
      </c>
      <c r="S13" s="802" t="s">
        <v>4996</v>
      </c>
      <c r="T13" s="809" t="s">
        <v>5195</v>
      </c>
      <c r="U13" s="810">
        <f t="shared" si="0"/>
        <v>1.6666666666666666E-2</v>
      </c>
      <c r="V13" s="810">
        <f t="shared" si="2"/>
        <v>11</v>
      </c>
    </row>
    <row r="14" spans="1:23" x14ac:dyDescent="0.2">
      <c r="A14" s="430">
        <f t="shared" si="1"/>
        <v>12</v>
      </c>
      <c r="B14" s="801" t="s">
        <v>126</v>
      </c>
      <c r="C14" s="801" t="s">
        <v>121</v>
      </c>
      <c r="D14" s="801" t="s">
        <v>289</v>
      </c>
      <c r="E14" s="801">
        <v>10</v>
      </c>
      <c r="F14" s="801">
        <v>1</v>
      </c>
      <c r="G14" s="801">
        <v>1</v>
      </c>
      <c r="H14" s="801">
        <v>4</v>
      </c>
      <c r="I14" s="802">
        <v>4.01</v>
      </c>
      <c r="J14" s="802">
        <v>0.1</v>
      </c>
      <c r="K14" s="802">
        <v>10</v>
      </c>
      <c r="L14" s="802">
        <v>3</v>
      </c>
      <c r="M14" s="802"/>
      <c r="N14" s="801">
        <v>12</v>
      </c>
      <c r="O14" s="801">
        <v>0.5</v>
      </c>
      <c r="P14" s="802" t="s">
        <v>4939</v>
      </c>
      <c r="Q14" s="802">
        <v>1</v>
      </c>
      <c r="R14" s="802" t="s">
        <v>4930</v>
      </c>
      <c r="S14" s="802" t="s">
        <v>4997</v>
      </c>
      <c r="T14" s="809" t="s">
        <v>5196</v>
      </c>
      <c r="U14" s="810">
        <f t="shared" si="0"/>
        <v>24</v>
      </c>
      <c r="V14" s="810">
        <f t="shared" si="2"/>
        <v>12</v>
      </c>
    </row>
    <row r="15" spans="1:23" x14ac:dyDescent="0.2">
      <c r="A15" s="430">
        <f t="shared" si="1"/>
        <v>13</v>
      </c>
      <c r="B15" s="419" t="s">
        <v>371</v>
      </c>
      <c r="C15" s="801" t="s">
        <v>4083</v>
      </c>
      <c r="D15" s="806" t="s">
        <v>142</v>
      </c>
      <c r="E15" s="801">
        <v>1</v>
      </c>
      <c r="F15" s="801">
        <v>1</v>
      </c>
      <c r="G15" s="801">
        <v>0.01</v>
      </c>
      <c r="H15" s="801">
        <v>0.1</v>
      </c>
      <c r="I15" s="802">
        <v>0.10100000000000001</v>
      </c>
      <c r="J15" s="802"/>
      <c r="K15" s="802">
        <v>1</v>
      </c>
      <c r="L15" s="802">
        <v>12</v>
      </c>
      <c r="M15" s="802"/>
      <c r="N15" s="801">
        <v>12</v>
      </c>
      <c r="O15" s="801">
        <v>0.5</v>
      </c>
      <c r="P15" s="802" t="s">
        <v>4940</v>
      </c>
      <c r="Q15" s="802">
        <v>1</v>
      </c>
      <c r="R15" s="802" t="s">
        <v>4930</v>
      </c>
      <c r="S15" s="802" t="s">
        <v>4998</v>
      </c>
      <c r="T15" s="809" t="s">
        <v>5197</v>
      </c>
      <c r="U15" s="810">
        <f t="shared" si="0"/>
        <v>1</v>
      </c>
      <c r="V15" s="810">
        <f t="shared" si="2"/>
        <v>13</v>
      </c>
    </row>
    <row r="16" spans="1:23" x14ac:dyDescent="0.2">
      <c r="A16" s="430">
        <f t="shared" si="1"/>
        <v>14</v>
      </c>
      <c r="B16" s="419" t="s">
        <v>313</v>
      </c>
      <c r="C16" s="801" t="s">
        <v>121</v>
      </c>
      <c r="D16" s="806" t="s">
        <v>468</v>
      </c>
      <c r="E16" s="801">
        <v>1</v>
      </c>
      <c r="F16" s="801">
        <v>1</v>
      </c>
      <c r="G16" s="801">
        <v>0.01</v>
      </c>
      <c r="H16" s="801">
        <v>1.5</v>
      </c>
      <c r="I16" s="802">
        <v>1.5009999999999999</v>
      </c>
      <c r="J16" s="802"/>
      <c r="K16" s="802">
        <v>1</v>
      </c>
      <c r="L16" s="802">
        <v>3</v>
      </c>
      <c r="M16" s="802"/>
      <c r="N16" s="801">
        <v>12</v>
      </c>
      <c r="O16" s="801">
        <v>0.5</v>
      </c>
      <c r="P16" s="802" t="s">
        <v>4941</v>
      </c>
      <c r="Q16" s="802">
        <v>1</v>
      </c>
      <c r="R16" s="802" t="s">
        <v>4930</v>
      </c>
      <c r="S16" s="802" t="s">
        <v>5220</v>
      </c>
      <c r="T16" s="809" t="s">
        <v>5198</v>
      </c>
      <c r="U16" s="810">
        <f t="shared" si="0"/>
        <v>16.666666666666668</v>
      </c>
      <c r="V16" s="810">
        <f t="shared" si="2"/>
        <v>14</v>
      </c>
    </row>
    <row r="17" spans="1:22" x14ac:dyDescent="0.2">
      <c r="A17" s="430">
        <f t="shared" si="1"/>
        <v>15</v>
      </c>
      <c r="B17" s="419" t="s">
        <v>372</v>
      </c>
      <c r="C17" s="801" t="s">
        <v>121</v>
      </c>
      <c r="D17" s="806" t="s">
        <v>288</v>
      </c>
      <c r="E17" s="801">
        <v>5</v>
      </c>
      <c r="F17" s="801">
        <v>1</v>
      </c>
      <c r="G17" s="801">
        <v>0.25</v>
      </c>
      <c r="H17" s="801">
        <v>3</v>
      </c>
      <c r="I17" s="802">
        <v>3.01</v>
      </c>
      <c r="J17" s="802"/>
      <c r="K17" s="802">
        <v>5</v>
      </c>
      <c r="L17" s="802">
        <v>3</v>
      </c>
      <c r="M17" s="802"/>
      <c r="N17" s="801">
        <v>12</v>
      </c>
      <c r="O17" s="801">
        <v>0.5</v>
      </c>
      <c r="P17" s="802" t="s">
        <v>4942</v>
      </c>
      <c r="Q17" s="802">
        <v>1</v>
      </c>
      <c r="R17" s="802" t="s">
        <v>4930</v>
      </c>
      <c r="S17" s="802" t="s">
        <v>5221</v>
      </c>
      <c r="T17" s="809" t="s">
        <v>5199</v>
      </c>
      <c r="U17" s="810">
        <f t="shared" si="0"/>
        <v>1</v>
      </c>
      <c r="V17" s="810">
        <f t="shared" si="2"/>
        <v>15</v>
      </c>
    </row>
    <row r="18" spans="1:22" x14ac:dyDescent="0.2">
      <c r="A18" s="430">
        <f t="shared" si="1"/>
        <v>16</v>
      </c>
      <c r="B18" s="419" t="s">
        <v>4289</v>
      </c>
      <c r="C18" s="801" t="s">
        <v>121</v>
      </c>
      <c r="D18" s="806" t="s">
        <v>288</v>
      </c>
      <c r="E18" s="801">
        <v>20</v>
      </c>
      <c r="F18" s="801">
        <v>1</v>
      </c>
      <c r="G18" s="801">
        <v>5</v>
      </c>
      <c r="H18" s="801">
        <v>7</v>
      </c>
      <c r="I18" s="802">
        <v>7.01</v>
      </c>
      <c r="J18" s="802"/>
      <c r="K18" s="802">
        <v>20</v>
      </c>
      <c r="L18" s="802">
        <v>3</v>
      </c>
      <c r="M18" s="802"/>
      <c r="N18" s="801">
        <v>48</v>
      </c>
      <c r="O18" s="801">
        <v>2</v>
      </c>
      <c r="P18" s="802" t="s">
        <v>4943</v>
      </c>
      <c r="Q18" s="802">
        <v>1</v>
      </c>
      <c r="R18" s="802" t="s">
        <v>4930</v>
      </c>
      <c r="S18" s="802" t="s">
        <v>5222</v>
      </c>
      <c r="T18" s="809" t="s">
        <v>5200</v>
      </c>
      <c r="U18" s="810">
        <f t="shared" si="0"/>
        <v>1</v>
      </c>
      <c r="V18" s="810">
        <f t="shared" si="2"/>
        <v>16</v>
      </c>
    </row>
    <row r="19" spans="1:22" x14ac:dyDescent="0.2">
      <c r="A19" s="430">
        <f t="shared" si="1"/>
        <v>17</v>
      </c>
      <c r="B19" s="801" t="s">
        <v>283</v>
      </c>
      <c r="C19" s="801" t="s">
        <v>121</v>
      </c>
      <c r="D19" s="801" t="s">
        <v>288</v>
      </c>
      <c r="E19" s="801">
        <v>5</v>
      </c>
      <c r="F19" s="801">
        <v>1</v>
      </c>
      <c r="G19" s="801">
        <v>0.05</v>
      </c>
      <c r="H19" s="801">
        <v>5</v>
      </c>
      <c r="I19" s="802">
        <v>5.01</v>
      </c>
      <c r="J19" s="802"/>
      <c r="K19" s="802">
        <v>5</v>
      </c>
      <c r="L19" s="802">
        <v>3</v>
      </c>
      <c r="M19" s="801"/>
      <c r="N19" s="801">
        <v>12</v>
      </c>
      <c r="O19" s="801">
        <v>0.5</v>
      </c>
      <c r="P19" s="801" t="s">
        <v>4944</v>
      </c>
      <c r="Q19" s="801">
        <v>1</v>
      </c>
      <c r="R19" s="801" t="s">
        <v>4930</v>
      </c>
      <c r="S19" s="801" t="s">
        <v>5223</v>
      </c>
      <c r="T19" s="809" t="s">
        <v>5201</v>
      </c>
      <c r="U19" s="810">
        <f t="shared" si="0"/>
        <v>1</v>
      </c>
      <c r="V19" s="810">
        <f t="shared" si="2"/>
        <v>17</v>
      </c>
    </row>
    <row r="20" spans="1:22" x14ac:dyDescent="0.2">
      <c r="A20" s="430">
        <f t="shared" si="1"/>
        <v>18</v>
      </c>
      <c r="B20" s="419" t="s">
        <v>374</v>
      </c>
      <c r="C20" s="801" t="s">
        <v>121</v>
      </c>
      <c r="D20" s="806" t="s">
        <v>468</v>
      </c>
      <c r="E20" s="801">
        <v>1</v>
      </c>
      <c r="F20" s="801">
        <v>1</v>
      </c>
      <c r="G20" s="801">
        <v>0.25</v>
      </c>
      <c r="H20" s="801">
        <v>0.75</v>
      </c>
      <c r="I20" s="802">
        <v>0.75009999999999999</v>
      </c>
      <c r="J20" s="802"/>
      <c r="K20" s="802">
        <v>1</v>
      </c>
      <c r="L20" s="802">
        <v>3</v>
      </c>
      <c r="M20" s="802"/>
      <c r="N20" s="801">
        <v>12</v>
      </c>
      <c r="O20" s="801">
        <v>0.5</v>
      </c>
      <c r="P20" s="802" t="s">
        <v>4945</v>
      </c>
      <c r="Q20" s="802">
        <v>1</v>
      </c>
      <c r="R20" s="802" t="s">
        <v>4930</v>
      </c>
      <c r="S20" s="802" t="s">
        <v>5224</v>
      </c>
      <c r="T20" s="809" t="s">
        <v>5202</v>
      </c>
      <c r="U20" s="810">
        <f t="shared" si="0"/>
        <v>16.666666666666668</v>
      </c>
      <c r="V20" s="810">
        <f t="shared" si="2"/>
        <v>18</v>
      </c>
    </row>
    <row r="21" spans="1:22" x14ac:dyDescent="0.2">
      <c r="A21" s="430">
        <f t="shared" si="1"/>
        <v>19</v>
      </c>
      <c r="B21" s="419" t="s">
        <v>90</v>
      </c>
      <c r="C21" s="801" t="s">
        <v>121</v>
      </c>
      <c r="D21" s="806" t="s">
        <v>289</v>
      </c>
      <c r="E21" s="801">
        <v>1</v>
      </c>
      <c r="F21" s="801">
        <v>1</v>
      </c>
      <c r="G21" s="801">
        <v>0.125</v>
      </c>
      <c r="H21" s="801">
        <v>0.5</v>
      </c>
      <c r="I21" s="802">
        <v>0.501</v>
      </c>
      <c r="J21" s="802"/>
      <c r="K21" s="802">
        <v>1</v>
      </c>
      <c r="L21" s="802">
        <v>3</v>
      </c>
      <c r="M21" s="802"/>
      <c r="N21" s="801">
        <v>12</v>
      </c>
      <c r="O21" s="801">
        <v>0.5</v>
      </c>
      <c r="P21" s="802" t="s">
        <v>4946</v>
      </c>
      <c r="Q21" s="802">
        <v>1</v>
      </c>
      <c r="R21" s="802" t="s">
        <v>4930</v>
      </c>
      <c r="S21" s="802" t="s">
        <v>5225</v>
      </c>
      <c r="T21" s="809" t="s">
        <v>5203</v>
      </c>
      <c r="U21" s="810">
        <f t="shared" si="0"/>
        <v>24</v>
      </c>
      <c r="V21" s="810">
        <f t="shared" si="2"/>
        <v>19</v>
      </c>
    </row>
    <row r="22" spans="1:22" x14ac:dyDescent="0.2">
      <c r="A22" s="430">
        <f t="shared" si="1"/>
        <v>20</v>
      </c>
      <c r="B22" s="419" t="s">
        <v>4290</v>
      </c>
      <c r="C22" s="801" t="s">
        <v>121</v>
      </c>
      <c r="D22" s="806" t="s">
        <v>468</v>
      </c>
      <c r="E22" s="801">
        <v>1</v>
      </c>
      <c r="F22" s="801">
        <v>1</v>
      </c>
      <c r="G22" s="801">
        <v>0.5</v>
      </c>
      <c r="H22" s="801">
        <v>2</v>
      </c>
      <c r="I22" s="802">
        <v>2.0099999999999998</v>
      </c>
      <c r="J22" s="802"/>
      <c r="K22" s="802">
        <v>1</v>
      </c>
      <c r="L22" s="802">
        <v>3</v>
      </c>
      <c r="M22" s="802"/>
      <c r="N22" s="801">
        <v>12</v>
      </c>
      <c r="O22" s="801">
        <v>0.5</v>
      </c>
      <c r="P22" s="802" t="s">
        <v>4947</v>
      </c>
      <c r="Q22" s="802">
        <v>1</v>
      </c>
      <c r="R22" s="802" t="s">
        <v>4930</v>
      </c>
      <c r="S22" s="802" t="s">
        <v>5226</v>
      </c>
      <c r="T22" s="809" t="s">
        <v>5204</v>
      </c>
      <c r="U22" s="810">
        <f t="shared" si="0"/>
        <v>16.666666666666668</v>
      </c>
      <c r="V22" s="810">
        <f t="shared" si="2"/>
        <v>20</v>
      </c>
    </row>
    <row r="23" spans="1:22" x14ac:dyDescent="0.2">
      <c r="A23" s="430">
        <f t="shared" si="1"/>
        <v>21</v>
      </c>
      <c r="B23" s="801" t="s">
        <v>49</v>
      </c>
      <c r="C23" s="801" t="s">
        <v>121</v>
      </c>
      <c r="D23" s="801" t="s">
        <v>468</v>
      </c>
      <c r="E23" s="801">
        <v>10</v>
      </c>
      <c r="F23" s="801">
        <v>1</v>
      </c>
      <c r="G23" s="801">
        <v>0.5</v>
      </c>
      <c r="H23" s="801">
        <v>8</v>
      </c>
      <c r="I23" s="802">
        <v>8.01</v>
      </c>
      <c r="J23" s="802"/>
      <c r="K23" s="802">
        <v>10</v>
      </c>
      <c r="L23" s="802">
        <v>3</v>
      </c>
      <c r="M23" s="802"/>
      <c r="N23" s="801">
        <v>12</v>
      </c>
      <c r="O23" s="801">
        <v>0.5</v>
      </c>
      <c r="P23" s="802" t="s">
        <v>4948</v>
      </c>
      <c r="Q23" s="802">
        <v>1</v>
      </c>
      <c r="R23" s="802" t="s">
        <v>4930</v>
      </c>
      <c r="S23" s="802" t="s">
        <v>5227</v>
      </c>
      <c r="T23" s="809" t="s">
        <v>5205</v>
      </c>
      <c r="U23" s="810">
        <f t="shared" si="0"/>
        <v>16.666666666666668</v>
      </c>
      <c r="V23" s="810">
        <f t="shared" si="2"/>
        <v>21</v>
      </c>
    </row>
    <row r="24" spans="1:22" x14ac:dyDescent="0.2">
      <c r="A24" s="430">
        <f t="shared" si="1"/>
        <v>22</v>
      </c>
      <c r="B24" s="419" t="s">
        <v>309</v>
      </c>
      <c r="C24" s="801" t="s">
        <v>121</v>
      </c>
      <c r="D24" s="806" t="s">
        <v>468</v>
      </c>
      <c r="E24" s="801">
        <v>1</v>
      </c>
      <c r="F24" s="801">
        <v>1</v>
      </c>
      <c r="G24" s="801">
        <v>0.05</v>
      </c>
      <c r="H24" s="801">
        <v>2</v>
      </c>
      <c r="I24" s="802">
        <v>2.0099999999999998</v>
      </c>
      <c r="J24" s="802"/>
      <c r="K24" s="802">
        <v>1</v>
      </c>
      <c r="L24" s="802">
        <v>3</v>
      </c>
      <c r="M24" s="802"/>
      <c r="N24" s="801">
        <v>12</v>
      </c>
      <c r="O24" s="801">
        <v>0.5</v>
      </c>
      <c r="P24" s="802" t="s">
        <v>4949</v>
      </c>
      <c r="Q24" s="802">
        <v>1</v>
      </c>
      <c r="R24" s="802" t="s">
        <v>4930</v>
      </c>
      <c r="S24" s="802" t="s">
        <v>5228</v>
      </c>
      <c r="T24" s="809" t="s">
        <v>5206</v>
      </c>
      <c r="U24" s="810">
        <f t="shared" si="0"/>
        <v>16.666666666666668</v>
      </c>
      <c r="V24" s="810">
        <f t="shared" si="2"/>
        <v>22</v>
      </c>
    </row>
    <row r="25" spans="1:22" x14ac:dyDescent="0.2">
      <c r="A25" s="430">
        <f t="shared" si="1"/>
        <v>23</v>
      </c>
      <c r="B25" s="419" t="s">
        <v>211</v>
      </c>
      <c r="C25" s="801" t="s">
        <v>121</v>
      </c>
      <c r="D25" s="806" t="s">
        <v>288</v>
      </c>
      <c r="E25" s="801">
        <v>10</v>
      </c>
      <c r="F25" s="801">
        <v>1</v>
      </c>
      <c r="G25" s="801">
        <v>0.3</v>
      </c>
      <c r="H25" s="801">
        <v>2.2000000000000002</v>
      </c>
      <c r="I25" s="802">
        <v>2.2010000000000001</v>
      </c>
      <c r="J25" s="802"/>
      <c r="K25" s="802">
        <v>10</v>
      </c>
      <c r="L25" s="802">
        <v>3</v>
      </c>
      <c r="M25" s="802"/>
      <c r="N25" s="801">
        <v>12</v>
      </c>
      <c r="O25" s="801">
        <v>0.5</v>
      </c>
      <c r="P25" s="802" t="s">
        <v>4950</v>
      </c>
      <c r="Q25" s="802">
        <v>1</v>
      </c>
      <c r="R25" s="802" t="s">
        <v>4930</v>
      </c>
      <c r="S25" s="802" t="s">
        <v>5229</v>
      </c>
      <c r="T25" s="809" t="s">
        <v>5207</v>
      </c>
      <c r="U25" s="810">
        <f t="shared" si="0"/>
        <v>1</v>
      </c>
      <c r="V25" s="810">
        <f t="shared" si="2"/>
        <v>23</v>
      </c>
    </row>
    <row r="26" spans="1:22" x14ac:dyDescent="0.2">
      <c r="A26" s="430">
        <f t="shared" si="1"/>
        <v>24</v>
      </c>
      <c r="B26" s="419" t="s">
        <v>5210</v>
      </c>
      <c r="C26" s="801" t="s">
        <v>122</v>
      </c>
      <c r="D26" s="806" t="s">
        <v>132</v>
      </c>
      <c r="E26" s="801">
        <v>1</v>
      </c>
      <c r="F26" s="801">
        <v>1</v>
      </c>
      <c r="G26" s="801">
        <v>1</v>
      </c>
      <c r="H26" s="801">
        <v>2</v>
      </c>
      <c r="I26" s="802">
        <v>1.01</v>
      </c>
      <c r="J26" s="802"/>
      <c r="K26" s="802"/>
      <c r="L26" s="802">
        <v>12</v>
      </c>
      <c r="M26" s="801" t="s">
        <v>4291</v>
      </c>
      <c r="N26" s="801">
        <v>24</v>
      </c>
      <c r="O26" s="801">
        <v>1</v>
      </c>
      <c r="P26" s="802" t="s">
        <v>4999</v>
      </c>
      <c r="Q26" s="802">
        <v>1</v>
      </c>
      <c r="R26" s="802" t="s">
        <v>4930</v>
      </c>
      <c r="S26" s="802" t="s">
        <v>5230</v>
      </c>
      <c r="T26" s="809" t="s">
        <v>5211</v>
      </c>
      <c r="U26" s="810">
        <f t="shared" si="0"/>
        <v>1</v>
      </c>
      <c r="V26" s="810">
        <f t="shared" si="2"/>
        <v>24</v>
      </c>
    </row>
    <row r="27" spans="1:22" s="628" customFormat="1" x14ac:dyDescent="0.2">
      <c r="A27" s="627" t="s">
        <v>4114</v>
      </c>
      <c r="B27" s="628">
        <v>1</v>
      </c>
      <c r="C27" s="628">
        <f>B27+1</f>
        <v>2</v>
      </c>
      <c r="D27" s="628">
        <f t="shared" ref="D27:I27" si="3">C27+1</f>
        <v>3</v>
      </c>
      <c r="E27" s="628">
        <f t="shared" si="3"/>
        <v>4</v>
      </c>
      <c r="F27" s="628">
        <f t="shared" si="3"/>
        <v>5</v>
      </c>
      <c r="G27" s="628">
        <f t="shared" si="3"/>
        <v>6</v>
      </c>
      <c r="H27" s="628">
        <f t="shared" si="3"/>
        <v>7</v>
      </c>
      <c r="I27" s="628">
        <f t="shared" si="3"/>
        <v>8</v>
      </c>
      <c r="J27" s="628">
        <f t="shared" ref="J27" si="4">I27+1</f>
        <v>9</v>
      </c>
      <c r="K27" s="628">
        <f t="shared" ref="K27" si="5">J27+1</f>
        <v>10</v>
      </c>
      <c r="L27" s="628">
        <f t="shared" ref="L27" si="6">K27+1</f>
        <v>11</v>
      </c>
      <c r="M27" s="628">
        <f t="shared" ref="M27" si="7">L27+1</f>
        <v>12</v>
      </c>
      <c r="N27" s="628">
        <f t="shared" ref="N27" si="8">M27+1</f>
        <v>13</v>
      </c>
      <c r="O27" s="628">
        <f t="shared" ref="O27" si="9">N27+1</f>
        <v>14</v>
      </c>
      <c r="P27" s="628">
        <f t="shared" ref="P27" si="10">O27+1</f>
        <v>15</v>
      </c>
      <c r="Q27" s="628">
        <f t="shared" ref="Q27" si="11">P27+1</f>
        <v>16</v>
      </c>
      <c r="R27" s="628">
        <f t="shared" ref="R27" si="12">Q27+1</f>
        <v>17</v>
      </c>
      <c r="S27" s="628">
        <f t="shared" ref="S27" si="13">R27+1</f>
        <v>18</v>
      </c>
      <c r="T27" s="628">
        <f t="shared" ref="T27" si="14">S27+1</f>
        <v>19</v>
      </c>
      <c r="U27" s="628">
        <f t="shared" ref="U27" si="15">T27+1</f>
        <v>20</v>
      </c>
      <c r="V27" s="628">
        <v>21</v>
      </c>
    </row>
    <row r="29" spans="1:22" x14ac:dyDescent="0.2">
      <c r="B29" s="444" t="s">
        <v>7081</v>
      </c>
    </row>
    <row r="30" spans="1:22" ht="12.75" customHeight="1" x14ac:dyDescent="0.2">
      <c r="B30" s="925" t="s">
        <v>5231</v>
      </c>
      <c r="C30" s="925"/>
      <c r="D30" s="925"/>
      <c r="E30" s="925"/>
      <c r="F30" s="925"/>
      <c r="G30" s="925"/>
      <c r="H30" s="925"/>
      <c r="I30" s="925"/>
      <c r="J30" s="925"/>
      <c r="K30" s="925"/>
      <c r="L30" s="925"/>
      <c r="T30" s="429"/>
    </row>
    <row r="31" spans="1:22" x14ac:dyDescent="0.2">
      <c r="B31" s="925"/>
      <c r="C31" s="925"/>
      <c r="D31" s="925"/>
      <c r="E31" s="925"/>
      <c r="F31" s="925"/>
      <c r="G31" s="925"/>
      <c r="H31" s="925"/>
      <c r="I31" s="925"/>
      <c r="J31" s="925"/>
      <c r="K31" s="925"/>
      <c r="L31" s="925"/>
      <c r="T31" s="429"/>
    </row>
    <row r="32" spans="1:22" x14ac:dyDescent="0.2">
      <c r="B32" s="925"/>
      <c r="C32" s="925"/>
      <c r="D32" s="925"/>
      <c r="E32" s="925"/>
      <c r="F32" s="925"/>
      <c r="G32" s="925"/>
      <c r="H32" s="925"/>
      <c r="I32" s="925"/>
      <c r="J32" s="925"/>
      <c r="K32" s="925"/>
      <c r="L32" s="925"/>
      <c r="T32" s="429"/>
    </row>
    <row r="33" spans="2:20" x14ac:dyDescent="0.2">
      <c r="B33" s="925"/>
      <c r="C33" s="925"/>
      <c r="D33" s="925"/>
      <c r="E33" s="925"/>
      <c r="F33" s="925"/>
      <c r="G33" s="925"/>
      <c r="H33" s="925"/>
      <c r="I33" s="925"/>
      <c r="J33" s="925"/>
      <c r="K33" s="925"/>
      <c r="L33" s="925"/>
      <c r="T33" s="429"/>
    </row>
    <row r="34" spans="2:20" x14ac:dyDescent="0.2">
      <c r="B34" s="925"/>
      <c r="C34" s="925"/>
      <c r="D34" s="925"/>
      <c r="E34" s="925"/>
      <c r="F34" s="925"/>
      <c r="G34" s="925"/>
      <c r="H34" s="925"/>
      <c r="I34" s="925"/>
      <c r="J34" s="925"/>
      <c r="K34" s="925"/>
      <c r="L34" s="925"/>
      <c r="T34" s="429"/>
    </row>
    <row r="35" spans="2:20" x14ac:dyDescent="0.2">
      <c r="B35" s="925"/>
      <c r="C35" s="925"/>
      <c r="D35" s="925"/>
      <c r="E35" s="925"/>
      <c r="F35" s="925"/>
      <c r="G35" s="925"/>
      <c r="H35" s="925"/>
      <c r="I35" s="925"/>
      <c r="J35" s="925"/>
      <c r="K35" s="925"/>
      <c r="L35" s="925"/>
      <c r="T35" s="429"/>
    </row>
    <row r="36" spans="2:20" x14ac:dyDescent="0.2">
      <c r="B36" s="925"/>
      <c r="C36" s="925"/>
      <c r="D36" s="925"/>
      <c r="E36" s="925"/>
      <c r="F36" s="925"/>
      <c r="G36" s="925"/>
      <c r="H36" s="925"/>
      <c r="I36" s="925"/>
      <c r="J36" s="925"/>
      <c r="K36" s="925"/>
      <c r="L36" s="925"/>
      <c r="T36" s="429"/>
    </row>
    <row r="37" spans="2:20" x14ac:dyDescent="0.2">
      <c r="B37" s="925"/>
      <c r="C37" s="925"/>
      <c r="D37" s="925"/>
      <c r="E37" s="925"/>
      <c r="F37" s="925"/>
      <c r="G37" s="925"/>
      <c r="H37" s="925"/>
      <c r="I37" s="925"/>
      <c r="J37" s="925"/>
      <c r="K37" s="925"/>
      <c r="L37" s="925"/>
      <c r="T37" s="429"/>
    </row>
    <row r="38" spans="2:20" x14ac:dyDescent="0.2">
      <c r="B38" s="925"/>
      <c r="C38" s="925"/>
      <c r="D38" s="925"/>
      <c r="E38" s="925"/>
      <c r="F38" s="925"/>
      <c r="G38" s="925"/>
      <c r="H38" s="925"/>
      <c r="I38" s="925"/>
      <c r="J38" s="925"/>
      <c r="K38" s="925"/>
      <c r="L38" s="925"/>
      <c r="T38" s="429"/>
    </row>
    <row r="39" spans="2:20" x14ac:dyDescent="0.2">
      <c r="B39" s="925"/>
      <c r="C39" s="925"/>
      <c r="D39" s="925"/>
      <c r="E39" s="925"/>
      <c r="F39" s="925"/>
      <c r="G39" s="925"/>
      <c r="H39" s="925"/>
      <c r="I39" s="925"/>
      <c r="J39" s="925"/>
      <c r="K39" s="925"/>
      <c r="L39" s="925"/>
      <c r="T39" s="429"/>
    </row>
    <row r="40" spans="2:20" x14ac:dyDescent="0.2">
      <c r="T40" s="429"/>
    </row>
    <row r="41" spans="2:20" x14ac:dyDescent="0.2">
      <c r="T41" s="429"/>
    </row>
    <row r="42" spans="2:20" x14ac:dyDescent="0.2">
      <c r="T42" s="429"/>
    </row>
    <row r="43" spans="2:20" x14ac:dyDescent="0.2">
      <c r="T43" s="429"/>
    </row>
    <row r="44" spans="2:20" x14ac:dyDescent="0.2">
      <c r="T44" s="429"/>
    </row>
    <row r="45" spans="2:20" x14ac:dyDescent="0.2">
      <c r="T45" s="429"/>
    </row>
    <row r="46" spans="2:20" x14ac:dyDescent="0.2">
      <c r="T46" s="429"/>
    </row>
    <row r="47" spans="2:20" x14ac:dyDescent="0.2">
      <c r="T47" s="429"/>
    </row>
    <row r="48" spans="2:20" x14ac:dyDescent="0.2">
      <c r="T48" s="429"/>
    </row>
    <row r="49" spans="20:20" x14ac:dyDescent="0.2">
      <c r="T49" s="429"/>
    </row>
    <row r="50" spans="20:20" x14ac:dyDescent="0.2">
      <c r="T50" s="429"/>
    </row>
    <row r="51" spans="20:20" x14ac:dyDescent="0.2">
      <c r="T51" s="429"/>
    </row>
    <row r="52" spans="20:20" x14ac:dyDescent="0.2">
      <c r="T52" s="429"/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4285</v>
      </c>
      <c r="B1" s="440">
        <v>1</v>
      </c>
      <c r="C1" s="440">
        <v>2</v>
      </c>
      <c r="D1" s="440">
        <v>3</v>
      </c>
      <c r="E1" s="440">
        <v>4</v>
      </c>
      <c r="F1" s="440">
        <v>5</v>
      </c>
      <c r="G1" s="440">
        <v>6</v>
      </c>
    </row>
    <row r="2" spans="1:7" x14ac:dyDescent="0.2">
      <c r="A2" s="425" t="s">
        <v>452</v>
      </c>
      <c r="B2" s="440"/>
      <c r="C2" s="440"/>
      <c r="D2" s="440"/>
      <c r="E2" s="440"/>
      <c r="F2" s="440"/>
      <c r="G2" s="440"/>
    </row>
    <row r="3" spans="1:7" x14ac:dyDescent="0.2">
      <c r="A3" s="203" t="s">
        <v>453</v>
      </c>
      <c r="B3" s="441">
        <v>50</v>
      </c>
      <c r="C3" s="441">
        <v>80</v>
      </c>
      <c r="D3" s="441">
        <v>110</v>
      </c>
      <c r="E3" s="441">
        <v>150</v>
      </c>
      <c r="F3" s="441">
        <v>150</v>
      </c>
      <c r="G3" s="441">
        <v>150</v>
      </c>
    </row>
    <row r="4" spans="1:7" x14ac:dyDescent="0.2">
      <c r="A4" s="203" t="s">
        <v>497</v>
      </c>
      <c r="B4" s="442">
        <f>80-(((_Pat_Gewicht/10)*1000)-500)/500*30</f>
        <v>110</v>
      </c>
      <c r="C4" s="442">
        <f>110-(((_Pat_Gewicht/10)*1000)-500)/500*30</f>
        <v>140</v>
      </c>
      <c r="D4" s="442">
        <f>150-(((_Pat_Gewicht/10)*1000)-500)/500*40</f>
        <v>190</v>
      </c>
      <c r="E4" s="442">
        <f>160-(((_Pat_Gewicht/10)*1000)-500)/500*10</f>
        <v>170</v>
      </c>
      <c r="F4" s="442">
        <v>160</v>
      </c>
      <c r="G4" s="442">
        <v>160</v>
      </c>
    </row>
    <row r="5" spans="1:7" x14ac:dyDescent="0.2">
      <c r="A5" s="251" t="s">
        <v>454</v>
      </c>
      <c r="B5" s="441">
        <v>30</v>
      </c>
      <c r="C5" s="441">
        <v>50</v>
      </c>
      <c r="D5" s="441">
        <v>70</v>
      </c>
      <c r="E5" s="441">
        <v>90</v>
      </c>
      <c r="F5" s="441">
        <v>110</v>
      </c>
      <c r="G5" s="441">
        <v>150</v>
      </c>
    </row>
    <row r="6" spans="1:7" x14ac:dyDescent="0.2">
      <c r="A6" s="203"/>
      <c r="B6" s="441"/>
      <c r="C6" s="441"/>
      <c r="D6" s="441"/>
      <c r="E6" s="441"/>
      <c r="F6" s="441"/>
      <c r="G6" s="441"/>
    </row>
    <row r="7" spans="1:7" x14ac:dyDescent="0.2">
      <c r="A7" s="205" t="s">
        <v>455</v>
      </c>
      <c r="B7" s="443"/>
      <c r="C7" s="443"/>
      <c r="D7" s="443"/>
      <c r="E7" s="443"/>
      <c r="F7" s="443"/>
      <c r="G7" s="443"/>
    </row>
    <row r="8" spans="1:7" x14ac:dyDescent="0.2">
      <c r="A8" s="203" t="s">
        <v>456</v>
      </c>
      <c r="B8" s="441"/>
      <c r="C8" s="441"/>
      <c r="D8" s="441"/>
      <c r="E8" s="441">
        <v>35</v>
      </c>
      <c r="F8" s="441">
        <v>35</v>
      </c>
      <c r="G8" s="441">
        <v>35</v>
      </c>
    </row>
    <row r="9" spans="1:7" x14ac:dyDescent="0.2">
      <c r="A9" s="203" t="s">
        <v>32</v>
      </c>
      <c r="B9" s="441"/>
      <c r="C9" s="441" t="s">
        <v>457</v>
      </c>
      <c r="D9" s="441" t="s">
        <v>457</v>
      </c>
      <c r="E9" s="441"/>
      <c r="F9" s="441"/>
      <c r="G9" s="441"/>
    </row>
    <row r="10" spans="1:7" x14ac:dyDescent="0.2">
      <c r="A10" s="203" t="s">
        <v>415</v>
      </c>
      <c r="B10" s="441"/>
      <c r="C10" s="441" t="s">
        <v>458</v>
      </c>
      <c r="D10" s="441" t="s">
        <v>458</v>
      </c>
      <c r="E10" s="441"/>
      <c r="F10" s="441"/>
      <c r="G10" s="441"/>
    </row>
    <row r="11" spans="1:7" ht="15.75" x14ac:dyDescent="0.3">
      <c r="A11" s="203" t="s">
        <v>459</v>
      </c>
      <c r="B11" s="441" t="s">
        <v>457</v>
      </c>
      <c r="C11" s="441" t="s">
        <v>457</v>
      </c>
      <c r="D11" s="441" t="s">
        <v>457</v>
      </c>
      <c r="E11" s="441"/>
      <c r="F11" s="441"/>
      <c r="G11" s="441"/>
    </row>
    <row r="12" spans="1:7" ht="15.75" x14ac:dyDescent="0.3">
      <c r="A12" s="203" t="s">
        <v>460</v>
      </c>
      <c r="B12" s="441">
        <v>0.3</v>
      </c>
      <c r="C12" s="441">
        <v>0.3</v>
      </c>
      <c r="D12" s="441">
        <v>0.3</v>
      </c>
      <c r="E12" s="441"/>
      <c r="F12" s="441"/>
      <c r="G12" s="441"/>
    </row>
    <row r="13" spans="1:7" x14ac:dyDescent="0.2">
      <c r="A13" s="203" t="s">
        <v>163</v>
      </c>
      <c r="B13" s="441"/>
      <c r="C13" s="441">
        <v>1</v>
      </c>
      <c r="D13" s="441">
        <v>1</v>
      </c>
      <c r="E13" s="441"/>
      <c r="F13" s="441"/>
      <c r="G13" s="441"/>
    </row>
    <row r="14" spans="1:7" x14ac:dyDescent="0.2">
      <c r="A14" s="203" t="s">
        <v>461</v>
      </c>
      <c r="B14" s="441"/>
      <c r="C14" s="441">
        <v>7.5</v>
      </c>
      <c r="D14" s="441">
        <v>15</v>
      </c>
      <c r="E14" s="441"/>
      <c r="F14" s="441"/>
      <c r="G14" s="441"/>
    </row>
    <row r="15" spans="1:7" ht="12.75" customHeight="1" x14ac:dyDescent="0.2">
      <c r="A15" s="203" t="s">
        <v>462</v>
      </c>
      <c r="B15" s="441"/>
      <c r="C15" s="441">
        <v>2.5</v>
      </c>
      <c r="D15" s="441">
        <v>5</v>
      </c>
      <c r="E15" s="441">
        <v>7.5</v>
      </c>
      <c r="F15" s="441">
        <v>10</v>
      </c>
      <c r="G15" s="441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3">
        <v>1</v>
      </c>
      <c r="B1" s="423">
        <v>2</v>
      </c>
      <c r="C1" s="423">
        <v>3</v>
      </c>
      <c r="D1" s="423">
        <v>4</v>
      </c>
      <c r="E1" s="423">
        <v>5</v>
      </c>
      <c r="F1" s="423">
        <v>6</v>
      </c>
      <c r="G1" s="423">
        <v>7</v>
      </c>
      <c r="H1" s="423">
        <v>8</v>
      </c>
      <c r="I1" s="423">
        <v>9</v>
      </c>
      <c r="J1" s="423">
        <v>10</v>
      </c>
      <c r="K1" s="423">
        <v>11</v>
      </c>
      <c r="L1" s="423">
        <v>12</v>
      </c>
      <c r="M1" s="423">
        <v>13</v>
      </c>
    </row>
    <row r="2" spans="1:13" x14ac:dyDescent="0.2">
      <c r="B2" s="423" t="s">
        <v>178</v>
      </c>
      <c r="C2" s="423" t="s">
        <v>147</v>
      </c>
      <c r="D2" s="423" t="s">
        <v>179</v>
      </c>
      <c r="E2" s="423" t="s">
        <v>148</v>
      </c>
      <c r="F2" s="423" t="s">
        <v>173</v>
      </c>
      <c r="G2" s="423" t="s">
        <v>174</v>
      </c>
      <c r="H2" s="423" t="s">
        <v>175</v>
      </c>
      <c r="I2" s="423" t="s">
        <v>180</v>
      </c>
      <c r="J2" s="423" t="s">
        <v>176</v>
      </c>
      <c r="K2" s="423" t="s">
        <v>741</v>
      </c>
      <c r="L2" s="423" t="s">
        <v>742</v>
      </c>
      <c r="M2" s="423" t="s">
        <v>466</v>
      </c>
    </row>
    <row r="3" spans="1:13" x14ac:dyDescent="0.2">
      <c r="A3" s="219" t="s">
        <v>4088</v>
      </c>
      <c r="B3" s="423" t="str">
        <f t="shared" ref="B3:M3" si="0">VLOOKUP(B$2,Tbl_Glob_Conversie,3,FALSE)</f>
        <v>kcal</v>
      </c>
      <c r="C3" s="423" t="str">
        <f t="shared" si="0"/>
        <v>gram</v>
      </c>
      <c r="D3" s="423" t="str">
        <f t="shared" si="0"/>
        <v>gram</v>
      </c>
      <c r="E3" s="423" t="str">
        <f t="shared" si="0"/>
        <v>gram</v>
      </c>
      <c r="F3" s="423" t="str">
        <f t="shared" si="0"/>
        <v>mmol</v>
      </c>
      <c r="G3" s="423" t="str">
        <f t="shared" si="0"/>
        <v>mmol</v>
      </c>
      <c r="H3" s="423" t="str">
        <f t="shared" si="0"/>
        <v>mmol</v>
      </c>
      <c r="I3" s="423" t="str">
        <f t="shared" si="0"/>
        <v>mmol</v>
      </c>
      <c r="J3" s="423" t="str">
        <f t="shared" si="0"/>
        <v>mmol</v>
      </c>
      <c r="K3" s="423" t="str">
        <f t="shared" si="0"/>
        <v>mmol</v>
      </c>
      <c r="L3" s="423" t="str">
        <f t="shared" si="0"/>
        <v>IE</v>
      </c>
      <c r="M3" s="423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4089</v>
      </c>
    </row>
    <row r="24" spans="1:13" x14ac:dyDescent="0.2">
      <c r="A24" s="320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0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0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0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0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0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0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4090</v>
      </c>
    </row>
    <row r="34" spans="1:13" x14ac:dyDescent="0.2">
      <c r="A34" s="320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0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0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0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1" customWidth="1"/>
    <col min="2" max="2" width="9.140625" style="321"/>
    <col min="3" max="3" width="14.5703125" style="321" customWidth="1"/>
    <col min="4" max="4" width="15.28515625" style="321" customWidth="1"/>
    <col min="5" max="5" width="9.140625" style="321"/>
    <col min="6" max="6" width="23" style="321" bestFit="1" customWidth="1"/>
    <col min="7" max="16384" width="9.140625" style="321"/>
  </cols>
  <sheetData>
    <row r="1" spans="1:6" s="437" customFormat="1" ht="25.5" x14ac:dyDescent="0.2">
      <c r="A1" s="437" t="s">
        <v>4274</v>
      </c>
      <c r="C1" s="437" t="s">
        <v>729</v>
      </c>
      <c r="D1" s="437" t="s">
        <v>730</v>
      </c>
    </row>
    <row r="2" spans="1:6" x14ac:dyDescent="0.2">
      <c r="B2" s="778">
        <v>1</v>
      </c>
      <c r="F2" s="321" t="s">
        <v>448</v>
      </c>
    </row>
    <row r="3" spans="1:6" x14ac:dyDescent="0.2">
      <c r="A3" s="321" t="s">
        <v>467</v>
      </c>
      <c r="B3" s="778">
        <f>B2+1</f>
        <v>2</v>
      </c>
      <c r="C3" s="321">
        <v>2.2000000000000002</v>
      </c>
      <c r="D3" s="321">
        <v>0.5</v>
      </c>
      <c r="F3" s="321" t="s">
        <v>872</v>
      </c>
    </row>
    <row r="4" spans="1:6" x14ac:dyDescent="0.2">
      <c r="A4" s="321" t="s">
        <v>470</v>
      </c>
      <c r="B4" s="778">
        <f t="shared" ref="B4:B17" si="0">B3+1</f>
        <v>3</v>
      </c>
      <c r="C4" s="321">
        <v>4.4000000000000004</v>
      </c>
      <c r="D4" s="321">
        <v>1</v>
      </c>
    </row>
    <row r="5" spans="1:6" x14ac:dyDescent="0.2">
      <c r="A5" s="321" t="s">
        <v>471</v>
      </c>
      <c r="B5" s="778">
        <f t="shared" si="0"/>
        <v>4</v>
      </c>
      <c r="D5" s="321">
        <v>1.5</v>
      </c>
    </row>
    <row r="6" spans="1:6" x14ac:dyDescent="0.2">
      <c r="A6" s="321" t="s">
        <v>473</v>
      </c>
      <c r="B6" s="778">
        <f t="shared" si="0"/>
        <v>5</v>
      </c>
      <c r="D6" s="321">
        <v>2</v>
      </c>
    </row>
    <row r="7" spans="1:6" x14ac:dyDescent="0.2">
      <c r="A7" s="321" t="s">
        <v>474</v>
      </c>
      <c r="B7" s="778">
        <f t="shared" si="0"/>
        <v>6</v>
      </c>
      <c r="D7" s="321">
        <v>2.5</v>
      </c>
    </row>
    <row r="8" spans="1:6" x14ac:dyDescent="0.2">
      <c r="A8" s="321" t="s">
        <v>475</v>
      </c>
      <c r="B8" s="778">
        <f t="shared" si="0"/>
        <v>7</v>
      </c>
      <c r="D8" s="321">
        <v>3</v>
      </c>
    </row>
    <row r="9" spans="1:6" x14ac:dyDescent="0.2">
      <c r="A9" s="321" t="s">
        <v>476</v>
      </c>
      <c r="B9" s="778">
        <f t="shared" si="0"/>
        <v>8</v>
      </c>
      <c r="D9" s="321">
        <v>3.5</v>
      </c>
    </row>
    <row r="10" spans="1:6" x14ac:dyDescent="0.2">
      <c r="A10" s="321" t="s">
        <v>477</v>
      </c>
      <c r="B10" s="778">
        <f t="shared" si="0"/>
        <v>9</v>
      </c>
      <c r="D10" s="321">
        <v>4</v>
      </c>
    </row>
    <row r="11" spans="1:6" x14ac:dyDescent="0.2">
      <c r="A11" s="321" t="s">
        <v>478</v>
      </c>
      <c r="B11" s="778">
        <f t="shared" si="0"/>
        <v>10</v>
      </c>
      <c r="D11" s="321">
        <v>4.5</v>
      </c>
    </row>
    <row r="12" spans="1:6" x14ac:dyDescent="0.2">
      <c r="A12" s="321" t="s">
        <v>479</v>
      </c>
      <c r="B12" s="778">
        <f t="shared" si="0"/>
        <v>11</v>
      </c>
      <c r="D12" s="321">
        <v>5</v>
      </c>
    </row>
    <row r="13" spans="1:6" x14ac:dyDescent="0.2">
      <c r="A13" s="321" t="s">
        <v>239</v>
      </c>
      <c r="B13" s="778">
        <f t="shared" si="0"/>
        <v>12</v>
      </c>
    </row>
    <row r="14" spans="1:6" x14ac:dyDescent="0.2">
      <c r="A14" s="321" t="s">
        <v>480</v>
      </c>
      <c r="B14" s="778">
        <f t="shared" si="0"/>
        <v>13</v>
      </c>
    </row>
    <row r="15" spans="1:6" x14ac:dyDescent="0.2">
      <c r="A15" s="321" t="s">
        <v>47</v>
      </c>
      <c r="B15" s="778">
        <f t="shared" si="0"/>
        <v>14</v>
      </c>
    </row>
    <row r="16" spans="1:6" x14ac:dyDescent="0.2">
      <c r="A16" s="321" t="s">
        <v>265</v>
      </c>
      <c r="B16" s="778">
        <f t="shared" si="0"/>
        <v>15</v>
      </c>
    </row>
    <row r="17" spans="1:2" x14ac:dyDescent="0.2">
      <c r="A17" s="321" t="s">
        <v>598</v>
      </c>
      <c r="B17" s="778">
        <f t="shared" si="0"/>
        <v>16</v>
      </c>
    </row>
    <row r="18" spans="1:2" x14ac:dyDescent="0.2">
      <c r="B18" s="435"/>
    </row>
    <row r="39" spans="2:2" x14ac:dyDescent="0.2">
      <c r="B39" s="436"/>
    </row>
    <row r="52" spans="2:2" x14ac:dyDescent="0.2">
      <c r="B52" s="432"/>
    </row>
    <row r="53" spans="2:2" x14ac:dyDescent="0.2">
      <c r="B53" s="432"/>
    </row>
    <row r="54" spans="2:2" x14ac:dyDescent="0.2">
      <c r="B54" s="432"/>
    </row>
    <row r="55" spans="2:2" x14ac:dyDescent="0.2">
      <c r="B55" s="432"/>
    </row>
    <row r="56" spans="2:2" x14ac:dyDescent="0.2">
      <c r="B56" s="432"/>
    </row>
    <row r="57" spans="2:2" x14ac:dyDescent="0.2">
      <c r="B57" s="432"/>
    </row>
    <row r="65" spans="1:2" x14ac:dyDescent="0.2">
      <c r="B65" s="436"/>
    </row>
    <row r="67" spans="1:2" x14ac:dyDescent="0.2">
      <c r="B67" s="432"/>
    </row>
    <row r="68" spans="1:2" x14ac:dyDescent="0.2">
      <c r="B68" s="432"/>
    </row>
    <row r="69" spans="1:2" x14ac:dyDescent="0.2">
      <c r="B69" s="433"/>
    </row>
    <row r="70" spans="1:2" x14ac:dyDescent="0.2">
      <c r="B70" s="433"/>
    </row>
    <row r="71" spans="1:2" x14ac:dyDescent="0.2">
      <c r="B71" s="433"/>
    </row>
    <row r="72" spans="1:2" x14ac:dyDescent="0.2">
      <c r="B72" s="433"/>
    </row>
    <row r="73" spans="1:2" x14ac:dyDescent="0.2">
      <c r="B73" s="432"/>
    </row>
    <row r="74" spans="1:2" x14ac:dyDescent="0.2">
      <c r="A74" s="434"/>
      <c r="B74" s="432"/>
    </row>
    <row r="75" spans="1:2" x14ac:dyDescent="0.2">
      <c r="A75" s="434"/>
      <c r="B75" s="432"/>
    </row>
    <row r="76" spans="1:2" x14ac:dyDescent="0.2">
      <c r="A76" s="105"/>
      <c r="B76" s="432"/>
    </row>
    <row r="77" spans="1:2" x14ac:dyDescent="0.2">
      <c r="A77" s="434"/>
    </row>
    <row r="78" spans="1:2" x14ac:dyDescent="0.2">
      <c r="A78" s="434"/>
    </row>
    <row r="79" spans="1:2" x14ac:dyDescent="0.2">
      <c r="A79" s="434"/>
    </row>
    <row r="80" spans="1:2" x14ac:dyDescent="0.2">
      <c r="A80" s="434"/>
      <c r="B80" s="432"/>
    </row>
    <row r="81" spans="1:2" x14ac:dyDescent="0.2">
      <c r="A81" s="105"/>
      <c r="B81" s="432"/>
    </row>
    <row r="82" spans="1:2" x14ac:dyDescent="0.2">
      <c r="A82" s="105"/>
      <c r="B82" s="432"/>
    </row>
    <row r="83" spans="1:2" x14ac:dyDescent="0.2">
      <c r="A83" s="434"/>
      <c r="B83" s="433"/>
    </row>
    <row r="84" spans="1:2" x14ac:dyDescent="0.2">
      <c r="A84" s="434"/>
      <c r="B84" s="433"/>
    </row>
    <row r="85" spans="1:2" x14ac:dyDescent="0.2">
      <c r="A85" s="434"/>
      <c r="B85" s="433"/>
    </row>
    <row r="86" spans="1:2" x14ac:dyDescent="0.2">
      <c r="A86" s="434"/>
      <c r="B86" s="432"/>
    </row>
    <row r="87" spans="1:2" x14ac:dyDescent="0.2">
      <c r="A87" s="434"/>
      <c r="B87" s="432"/>
    </row>
    <row r="88" spans="1:2" x14ac:dyDescent="0.2">
      <c r="A88" s="434"/>
      <c r="B88" s="432"/>
    </row>
    <row r="89" spans="1:2" x14ac:dyDescent="0.2">
      <c r="A89" s="434"/>
    </row>
    <row r="90" spans="1:2" x14ac:dyDescent="0.2">
      <c r="A90" s="434"/>
    </row>
    <row r="91" spans="1:2" x14ac:dyDescent="0.2">
      <c r="A91" s="434"/>
    </row>
    <row r="92" spans="1:2" x14ac:dyDescent="0.2">
      <c r="A92" s="434"/>
    </row>
    <row r="93" spans="1:2" x14ac:dyDescent="0.2">
      <c r="A93" s="434"/>
    </row>
    <row r="94" spans="1:2" x14ac:dyDescent="0.2">
      <c r="A94" s="434"/>
    </row>
    <row r="95" spans="1:2" x14ac:dyDescent="0.2">
      <c r="A95" s="434"/>
    </row>
    <row r="96" spans="1:2" x14ac:dyDescent="0.2">
      <c r="A96" s="434"/>
    </row>
    <row r="97" spans="1:1" x14ac:dyDescent="0.2">
      <c r="A97" s="434"/>
    </row>
    <row r="98" spans="1:1" x14ac:dyDescent="0.2">
      <c r="A98" s="434"/>
    </row>
    <row r="99" spans="1:1" x14ac:dyDescent="0.2">
      <c r="A99" s="434"/>
    </row>
    <row r="100" spans="1:1" x14ac:dyDescent="0.2">
      <c r="A100" s="434"/>
    </row>
    <row r="101" spans="1:1" x14ac:dyDescent="0.2">
      <c r="A101" s="434"/>
    </row>
    <row r="102" spans="1:1" x14ac:dyDescent="0.2">
      <c r="A102" s="434"/>
    </row>
    <row r="103" spans="1:1" x14ac:dyDescent="0.2">
      <c r="A103" s="434"/>
    </row>
    <row r="104" spans="1:1" x14ac:dyDescent="0.2">
      <c r="A104" s="434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G24" sqref="G24"/>
    </sheetView>
  </sheetViews>
  <sheetFormatPr defaultColWidth="9.140625" defaultRowHeight="12.75" x14ac:dyDescent="0.2"/>
  <cols>
    <col min="1" max="2" width="6" style="517" customWidth="1"/>
    <col min="3" max="3" width="25" style="517" customWidth="1"/>
    <col min="4" max="4" width="16.28515625" style="517" customWidth="1"/>
    <col min="5" max="5" width="16.7109375" style="517" customWidth="1"/>
    <col min="6" max="6" width="15" style="517" bestFit="1" customWidth="1"/>
    <col min="7" max="7" width="21.85546875" style="517" bestFit="1" customWidth="1"/>
    <col min="8" max="8" width="21.85546875" style="517" customWidth="1"/>
    <col min="9" max="9" width="7.28515625" style="517" customWidth="1"/>
    <col min="10" max="10" width="27" style="517" customWidth="1"/>
    <col min="11" max="11" width="15.5703125" style="517" customWidth="1"/>
    <col min="12" max="12" width="14.28515625" style="517" customWidth="1"/>
    <col min="13" max="46" width="9.140625" style="517" customWidth="1"/>
    <col min="47" max="16384" width="9.140625" style="517"/>
  </cols>
  <sheetData>
    <row r="1" spans="2:18" s="380" customFormat="1" x14ac:dyDescent="0.2">
      <c r="B1" s="656"/>
      <c r="C1" s="644"/>
      <c r="D1" s="644"/>
      <c r="E1" s="644"/>
      <c r="F1" s="644"/>
      <c r="G1" s="644"/>
      <c r="H1" s="644"/>
      <c r="I1" s="644"/>
      <c r="J1" s="644"/>
      <c r="K1" s="644"/>
      <c r="L1" s="644"/>
    </row>
    <row r="2" spans="2:18" s="380" customFormat="1" ht="17.25" customHeight="1" x14ac:dyDescent="0.2">
      <c r="B2" s="644"/>
      <c r="C2" s="647" t="s">
        <v>235</v>
      </c>
      <c r="D2" s="648" t="str">
        <f ca="1">Txt_Pat_AfspraakDat</f>
        <v>21-sep-2017</v>
      </c>
      <c r="E2" s="649"/>
      <c r="F2" s="647"/>
      <c r="G2" s="651" t="s">
        <v>236</v>
      </c>
      <c r="H2" s="647" t="str">
        <f>Txt_Pat_OpnameDat</f>
        <v/>
      </c>
      <c r="I2" s="647"/>
      <c r="J2" s="647" t="str">
        <f>Txt_Pat_Gewicht</f>
        <v>Gewicht:</v>
      </c>
      <c r="K2" s="647" t="str">
        <f>Txt_Pat_Bed</f>
        <v/>
      </c>
      <c r="L2" s="644"/>
    </row>
    <row r="3" spans="2:18" s="380" customFormat="1" ht="17.25" customHeight="1" x14ac:dyDescent="0.2">
      <c r="B3" s="644"/>
      <c r="C3" s="647" t="s">
        <v>4549</v>
      </c>
      <c r="D3" s="652" t="str">
        <f>Txt_Pat_FullName</f>
        <v/>
      </c>
      <c r="E3" s="652"/>
      <c r="F3" s="647"/>
      <c r="G3" s="651" t="s">
        <v>242</v>
      </c>
      <c r="H3" s="647" t="str">
        <f ca="1">Txt_Pat_GeboorteDat</f>
        <v/>
      </c>
      <c r="I3" s="647"/>
      <c r="J3" s="647" t="str">
        <f>Txt_Pat_Lengte</f>
        <v>Lengte:</v>
      </c>
      <c r="K3" s="647"/>
      <c r="L3" s="644"/>
    </row>
    <row r="4" spans="2:18" s="380" customFormat="1" ht="17.25" customHeight="1" x14ac:dyDescent="0.2">
      <c r="B4" s="644"/>
      <c r="C4" s="647" t="s">
        <v>3493</v>
      </c>
      <c r="D4" s="647" t="str">
        <f>Txt_Pat_PatNo</f>
        <v/>
      </c>
      <c r="E4" s="649"/>
      <c r="F4" s="647"/>
      <c r="G4" s="655" t="s">
        <v>213</v>
      </c>
      <c r="H4" s="647" t="str">
        <f ca="1">Txt_Pat_Leeftijd</f>
        <v/>
      </c>
      <c r="I4" s="644"/>
      <c r="J4" s="647" t="str">
        <f>IF(Txt_Pat_GebGew="","","Geb Gew: "&amp;Txt_Pat_GebGew)</f>
        <v/>
      </c>
      <c r="K4" s="647" t="str">
        <f>IF(Txt_Pat_GestAge="","","Zw. Duur: "&amp;Txt_Pat_GestAge)</f>
        <v/>
      </c>
      <c r="L4" s="644"/>
    </row>
    <row r="6" spans="2:18" x14ac:dyDescent="0.2">
      <c r="B6" s="553"/>
      <c r="C6" s="687" t="s">
        <v>582</v>
      </c>
      <c r="D6" s="687"/>
      <c r="E6" s="687"/>
      <c r="F6" s="687"/>
      <c r="G6" s="687" t="s">
        <v>522</v>
      </c>
      <c r="H6" s="687"/>
      <c r="I6" s="687"/>
      <c r="J6" s="687" t="s">
        <v>589</v>
      </c>
      <c r="K6" s="687"/>
      <c r="L6" s="687"/>
      <c r="R6" s="554"/>
    </row>
    <row r="7" spans="2:18" ht="18" customHeight="1" x14ac:dyDescent="0.2">
      <c r="C7" s="524"/>
      <c r="D7" s="524"/>
      <c r="G7" s="524"/>
      <c r="J7" s="524"/>
      <c r="R7" s="522"/>
    </row>
    <row r="8" spans="2:18" ht="18" customHeight="1" thickBot="1" x14ac:dyDescent="0.25">
      <c r="C8" s="524"/>
      <c r="D8" s="510" t="str">
        <f>IF(_Neo_AfsprD_GewichtFrequentie=0,"",_Neo_AfsprD_GewichtFrequentie)</f>
        <v/>
      </c>
      <c r="E8" s="409"/>
      <c r="G8" s="524"/>
      <c r="H8" s="524"/>
      <c r="J8" s="524"/>
      <c r="K8" s="510" t="str">
        <f>IF(_Neo_AfsprD_AantalLampen=0,"0 lamp(en)",CONCATENATE(_Neo_AfsprD_AantalLampen, " lamp(en)"))</f>
        <v>0 lamp(en)</v>
      </c>
      <c r="R8" s="522"/>
    </row>
    <row r="9" spans="2:18" ht="18" customHeight="1" thickTop="1" thickBot="1" x14ac:dyDescent="0.25">
      <c r="C9" s="524"/>
      <c r="D9" s="508" t="str">
        <f>IF(_Neo_AfsprD_LengteFrequentie=0,"",_Neo_AfsprD_LengteFrequentie)</f>
        <v/>
      </c>
      <c r="E9" s="409"/>
      <c r="H9" s="524"/>
      <c r="J9" s="524"/>
    </row>
    <row r="10" spans="2:18" ht="18" customHeight="1" thickTop="1" thickBot="1" x14ac:dyDescent="0.25">
      <c r="C10" s="524"/>
      <c r="D10" s="509" t="str">
        <f>IF(_Neo_AfsprD_SchedelFrequentie=0,"",_Neo_AfsprD_SchedelFrequentie)</f>
        <v/>
      </c>
      <c r="E10" s="409"/>
      <c r="H10" s="524"/>
      <c r="J10" s="524"/>
    </row>
    <row r="11" spans="2:18" ht="18" customHeight="1" thickTop="1" x14ac:dyDescent="0.2">
      <c r="C11" s="524"/>
      <c r="D11" s="524"/>
      <c r="H11" s="524"/>
      <c r="J11" s="524"/>
    </row>
    <row r="12" spans="2:18" ht="18" customHeight="1" x14ac:dyDescent="0.2">
      <c r="C12" s="524"/>
      <c r="D12" s="507" t="str">
        <f>CONCATENATE(NeoBerAfspr!$B$12," dd")</f>
        <v>0 dd</v>
      </c>
      <c r="E12" s="524"/>
      <c r="G12" s="524"/>
      <c r="J12" s="524"/>
    </row>
    <row r="13" spans="2:18" ht="18" customHeight="1" x14ac:dyDescent="0.2">
      <c r="E13" s="524"/>
      <c r="G13" s="524"/>
      <c r="H13" s="524"/>
      <c r="J13" s="524"/>
    </row>
    <row r="14" spans="2:18" ht="18" customHeight="1" x14ac:dyDescent="0.2">
      <c r="E14" s="524"/>
      <c r="G14" s="524"/>
      <c r="J14" s="524"/>
      <c r="N14" s="522"/>
    </row>
    <row r="15" spans="2:18" ht="18" customHeight="1" x14ac:dyDescent="0.2">
      <c r="E15" s="524"/>
      <c r="G15" s="524"/>
      <c r="H15" s="524"/>
      <c r="J15" s="524"/>
      <c r="N15" s="522"/>
    </row>
    <row r="16" spans="2:18" ht="18" customHeight="1" x14ac:dyDescent="0.2">
      <c r="C16" s="524"/>
      <c r="H16" s="524"/>
      <c r="J16" s="524"/>
    </row>
    <row r="17" spans="3:15" ht="18" customHeight="1" x14ac:dyDescent="0.2">
      <c r="C17" s="524"/>
      <c r="G17" s="524"/>
      <c r="J17" s="524"/>
      <c r="K17" s="507" t="str">
        <f>CONCATENATE(NeoBerAfspr!$K$17," dd")</f>
        <v>0 dd</v>
      </c>
      <c r="L17" s="507" t="str">
        <f>CONCATENATE(NeoBerAfspr!$L$17," ml")</f>
        <v>0 ml</v>
      </c>
      <c r="N17" s="522"/>
    </row>
    <row r="18" spans="3:15" ht="18" customHeight="1" x14ac:dyDescent="0.2">
      <c r="C18" s="524"/>
      <c r="G18" s="524"/>
      <c r="H18" s="524"/>
      <c r="J18" s="524"/>
      <c r="N18" s="522"/>
    </row>
    <row r="19" spans="3:15" ht="18" customHeight="1" x14ac:dyDescent="0.2">
      <c r="C19" s="524"/>
      <c r="H19" s="524"/>
      <c r="J19" s="524"/>
      <c r="K19" s="524" t="str">
        <f>CONCATENATE("à ",_Neo_AfsprD_VerliezenFrequentie," uur")</f>
        <v>à 0 uur</v>
      </c>
      <c r="N19" s="522"/>
      <c r="O19" s="522"/>
    </row>
    <row r="20" spans="3:15" ht="18" customHeight="1" x14ac:dyDescent="0.2">
      <c r="H20" s="524"/>
      <c r="K20" s="524"/>
      <c r="N20" s="522"/>
    </row>
    <row r="21" spans="3:15" ht="18" customHeight="1" x14ac:dyDescent="0.2">
      <c r="C21" s="687" t="s">
        <v>588</v>
      </c>
      <c r="D21" s="687"/>
      <c r="E21" s="687"/>
      <c r="F21" s="687"/>
      <c r="G21" s="524"/>
      <c r="K21" s="524"/>
      <c r="O21" s="522"/>
    </row>
    <row r="22" spans="3:15" ht="18" customHeight="1" x14ac:dyDescent="0.2">
      <c r="C22" s="524"/>
      <c r="G22" s="524"/>
      <c r="H22" s="524"/>
      <c r="K22" s="524"/>
      <c r="N22" s="522"/>
      <c r="O22" s="522"/>
    </row>
    <row r="23" spans="3:15" ht="18" customHeight="1" x14ac:dyDescent="0.2">
      <c r="C23" s="524"/>
      <c r="G23" s="524"/>
      <c r="H23" s="524"/>
      <c r="J23" s="524"/>
      <c r="K23" s="524"/>
    </row>
    <row r="24" spans="3:15" ht="18" customHeight="1" x14ac:dyDescent="0.2">
      <c r="C24" s="524"/>
      <c r="H24" s="524"/>
      <c r="K24" s="524"/>
      <c r="N24" s="522"/>
      <c r="O24" s="522"/>
    </row>
    <row r="25" spans="3:15" ht="18" customHeight="1" x14ac:dyDescent="0.2">
      <c r="C25" s="524"/>
      <c r="H25" s="524"/>
      <c r="K25" s="524"/>
      <c r="N25" s="522"/>
      <c r="O25" s="522"/>
    </row>
    <row r="26" spans="3:15" ht="18" customHeight="1" x14ac:dyDescent="0.2">
      <c r="C26" s="524"/>
      <c r="H26" s="524"/>
      <c r="K26" s="524"/>
      <c r="N26" s="554"/>
      <c r="O26" s="522"/>
    </row>
    <row r="27" spans="3:15" ht="18" customHeight="1" x14ac:dyDescent="0.2">
      <c r="C27" s="524"/>
      <c r="D27" s="675" t="s">
        <v>595</v>
      </c>
      <c r="E27" s="507" t="str">
        <f>CONCATENATE(NeoBerAfspr!C27," uur")</f>
        <v>12:00 uur</v>
      </c>
      <c r="H27" s="524"/>
      <c r="K27" s="524"/>
      <c r="N27" s="522"/>
      <c r="O27" s="522"/>
    </row>
    <row r="28" spans="3:15" ht="18" customHeight="1" x14ac:dyDescent="0.2">
      <c r="C28" s="524"/>
      <c r="H28" s="524"/>
      <c r="N28" s="522"/>
    </row>
    <row r="29" spans="3:15" ht="18" customHeight="1" x14ac:dyDescent="0.2">
      <c r="C29" s="524"/>
      <c r="H29" s="524"/>
      <c r="N29" s="522"/>
    </row>
    <row r="30" spans="3:15" ht="18" customHeight="1" x14ac:dyDescent="0.2">
      <c r="C30" s="524"/>
      <c r="H30" s="524"/>
    </row>
    <row r="31" spans="3:15" ht="18" customHeight="1" x14ac:dyDescent="0.2">
      <c r="C31" s="524"/>
      <c r="G31" s="524"/>
      <c r="H31" s="830" t="e">
        <f>IF(_Neo_AfsprD_WondkweekTekst=0,"",_Neo_AfsprD_WondkweekTekst)</f>
        <v>#NAME?</v>
      </c>
      <c r="I31" s="926"/>
    </row>
    <row r="32" spans="3:15" ht="18" customHeight="1" x14ac:dyDescent="0.2">
      <c r="C32" s="524"/>
      <c r="H32" s="926"/>
      <c r="I32" s="926"/>
    </row>
    <row r="33" spans="3:14" ht="18" customHeight="1" x14ac:dyDescent="0.2">
      <c r="H33" s="926"/>
      <c r="I33" s="926"/>
    </row>
    <row r="34" spans="3:14" ht="18" customHeight="1" x14ac:dyDescent="0.2">
      <c r="C34" s="687" t="s">
        <v>782</v>
      </c>
      <c r="D34" s="687"/>
      <c r="E34" s="687"/>
      <c r="F34" s="687"/>
    </row>
    <row r="35" spans="3:14" ht="18" customHeight="1" x14ac:dyDescent="0.2">
      <c r="C35" s="524"/>
      <c r="N35" s="522"/>
    </row>
    <row r="36" spans="3:14" ht="18" customHeight="1" x14ac:dyDescent="0.2">
      <c r="C36" s="524"/>
      <c r="N36" s="522"/>
    </row>
    <row r="37" spans="3:14" ht="18" customHeight="1" x14ac:dyDescent="0.2">
      <c r="C37" s="524"/>
      <c r="N37" s="522"/>
    </row>
    <row r="38" spans="3:14" ht="18" customHeight="1" x14ac:dyDescent="0.2">
      <c r="C38" s="524"/>
      <c r="D38" s="524"/>
      <c r="N38" s="522"/>
    </row>
    <row r="39" spans="3:14" ht="18" customHeight="1" x14ac:dyDescent="0.2">
      <c r="C39" s="524"/>
      <c r="D39" s="524"/>
      <c r="N39" s="522"/>
    </row>
    <row r="40" spans="3:14" ht="18" customHeight="1" x14ac:dyDescent="0.2">
      <c r="C40" s="524"/>
      <c r="D40" s="524"/>
      <c r="N40" s="522"/>
    </row>
    <row r="41" spans="3:14" ht="18" customHeight="1" x14ac:dyDescent="0.2">
      <c r="C41" s="524"/>
      <c r="D41" s="522"/>
      <c r="E41" s="638">
        <f>NeoBerAfspr!D47</f>
        <v>0</v>
      </c>
      <c r="F41" s="675" t="s">
        <v>784</v>
      </c>
      <c r="G41" s="675"/>
      <c r="N41" s="522"/>
    </row>
    <row r="42" spans="3:14" ht="18" customHeight="1" x14ac:dyDescent="0.2">
      <c r="C42" s="522"/>
      <c r="N42" s="522"/>
    </row>
    <row r="43" spans="3:14" ht="18" customHeight="1" x14ac:dyDescent="0.2">
      <c r="C43" s="522"/>
      <c r="N43" s="522"/>
    </row>
    <row r="44" spans="3:14" ht="18" customHeight="1" x14ac:dyDescent="0.2">
      <c r="C44" s="707" t="s">
        <v>555</v>
      </c>
      <c r="D44" s="707"/>
      <c r="E44" s="707"/>
      <c r="F44" s="707"/>
      <c r="G44" s="707"/>
      <c r="H44" s="707"/>
      <c r="I44" s="707"/>
      <c r="J44" s="707"/>
      <c r="K44" s="707"/>
      <c r="N44" s="522"/>
    </row>
    <row r="45" spans="3:14" ht="18" customHeight="1" x14ac:dyDescent="0.2">
      <c r="C45" s="794" t="s">
        <v>582</v>
      </c>
      <c r="D45" s="707" t="str">
        <f>IFERROR(LEFT(Var_Neo_AfsprControles,LEN(Var_Neo_AfsprControles)-3),"")</f>
        <v/>
      </c>
      <c r="E45" s="707"/>
      <c r="F45" s="707"/>
      <c r="G45" s="707"/>
      <c r="H45" s="707"/>
      <c r="I45" s="707"/>
      <c r="J45" s="707"/>
      <c r="K45" s="707"/>
      <c r="N45" s="522"/>
    </row>
    <row r="46" spans="3:14" ht="18" customHeight="1" x14ac:dyDescent="0.2">
      <c r="C46" s="794" t="s">
        <v>588</v>
      </c>
      <c r="D46" s="707" t="str">
        <f>IFERROR(LEFT(Var_Neo_AfsprOnderzoek,LEN(Var_Neo_AfsprOnderzoek)-3),"")</f>
        <v/>
      </c>
      <c r="E46" s="707"/>
      <c r="F46" s="707"/>
      <c r="G46" s="707"/>
      <c r="H46" s="707"/>
      <c r="I46" s="707"/>
      <c r="J46" s="707"/>
      <c r="K46" s="707"/>
      <c r="N46" s="522"/>
    </row>
    <row r="47" spans="3:14" ht="18" customHeight="1" x14ac:dyDescent="0.2">
      <c r="C47" s="794" t="s">
        <v>782</v>
      </c>
      <c r="D47" s="707" t="str">
        <f>IFERROR(LEFT(Var_Neo_AfsprInstellingen,LEN(Var_Neo_AfsprInstellingen)-3),"")</f>
        <v/>
      </c>
      <c r="E47" s="707"/>
      <c r="F47" s="707"/>
      <c r="G47" s="707"/>
      <c r="H47" s="707"/>
      <c r="I47" s="707"/>
      <c r="J47" s="707"/>
      <c r="K47" s="707"/>
      <c r="N47" s="522"/>
    </row>
    <row r="48" spans="3:14" ht="18" customHeight="1" x14ac:dyDescent="0.2">
      <c r="C48" s="794" t="s">
        <v>522</v>
      </c>
      <c r="D48" s="707" t="str">
        <f>IFERROR(LEFT(Var_Neo_AfsprKweken,LEN(Var_Neo_AfsprKweken)-3),"")</f>
        <v/>
      </c>
      <c r="E48" s="707"/>
      <c r="F48" s="707"/>
      <c r="G48" s="707"/>
      <c r="H48" s="707"/>
      <c r="I48" s="707"/>
      <c r="J48" s="707"/>
      <c r="K48" s="707"/>
      <c r="N48" s="522"/>
    </row>
    <row r="49" spans="3:14" ht="18" customHeight="1" x14ac:dyDescent="0.2">
      <c r="C49" s="794" t="s">
        <v>568</v>
      </c>
      <c r="D49" s="707" t="str">
        <f>IFERROR(LEFT(Var_Neo_AfsprOverig,LEN(Var_Neo_AfsprOverig)-3),"")</f>
        <v/>
      </c>
      <c r="E49" s="707"/>
      <c r="F49" s="707"/>
      <c r="G49" s="707"/>
      <c r="H49" s="707"/>
      <c r="I49" s="707"/>
      <c r="J49" s="707"/>
      <c r="K49" s="707"/>
      <c r="N49" s="522"/>
    </row>
    <row r="50" spans="3:14" ht="18" customHeight="1" x14ac:dyDescent="0.2"/>
    <row r="51" spans="3:14" ht="18" customHeight="1" x14ac:dyDescent="0.2">
      <c r="N51" s="522"/>
    </row>
    <row r="52" spans="3:14" ht="18" customHeight="1" x14ac:dyDescent="0.2">
      <c r="N52" s="522"/>
    </row>
    <row r="53" spans="3:14" ht="18" customHeight="1" x14ac:dyDescent="0.2">
      <c r="N53" s="522"/>
    </row>
    <row r="54" spans="3:14" ht="18" customHeight="1" x14ac:dyDescent="0.2">
      <c r="N54" s="522"/>
    </row>
    <row r="55" spans="3:14" ht="18" customHeight="1" x14ac:dyDescent="0.2">
      <c r="N55" s="522"/>
    </row>
    <row r="56" spans="3:14" ht="18" customHeight="1" x14ac:dyDescent="0.2"/>
    <row r="57" spans="3:14" ht="18" customHeight="1" x14ac:dyDescent="0.2"/>
    <row r="58" spans="3:14" ht="18" customHeight="1" x14ac:dyDescent="0.2">
      <c r="N58" s="379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4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5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42" customWidth="1"/>
    <col min="2" max="13" width="10.7109375" style="642" customWidth="1"/>
    <col min="14" max="14" width="2.140625" style="642" customWidth="1"/>
    <col min="15" max="20" width="10.7109375" style="642" customWidth="1"/>
    <col min="21" max="16384" width="9.140625" style="642"/>
  </cols>
  <sheetData>
    <row r="1" spans="1:81" s="490" customFormat="1" ht="7.5" customHeight="1" x14ac:dyDescent="0.2">
      <c r="A1" s="356"/>
      <c r="B1" s="645"/>
      <c r="C1" s="645"/>
      <c r="D1" s="645"/>
      <c r="E1" s="645"/>
      <c r="F1" s="645"/>
      <c r="G1" s="645"/>
      <c r="H1" s="645"/>
      <c r="I1" s="645"/>
      <c r="J1" s="645"/>
      <c r="K1" s="645"/>
      <c r="L1" s="645"/>
      <c r="M1" s="645"/>
      <c r="N1" s="645"/>
      <c r="O1" s="645"/>
      <c r="P1" s="645"/>
      <c r="Q1" s="645"/>
      <c r="R1" s="645"/>
      <c r="S1" s="645"/>
      <c r="T1" s="645"/>
      <c r="U1" s="357"/>
      <c r="V1" s="357"/>
      <c r="W1" s="357"/>
      <c r="X1" s="357"/>
    </row>
    <row r="2" spans="1:81" s="490" customFormat="1" ht="17.25" customHeight="1" x14ac:dyDescent="0.2">
      <c r="A2" s="357"/>
      <c r="B2" s="645"/>
      <c r="C2" s="647" t="s">
        <v>235</v>
      </c>
      <c r="D2" s="648" t="str">
        <f ca="1">Txt_Pat_AfspraakDat</f>
        <v>21-sep-2017</v>
      </c>
      <c r="E2" s="649"/>
      <c r="F2" s="647"/>
      <c r="G2" s="645"/>
      <c r="H2" s="651" t="s">
        <v>236</v>
      </c>
      <c r="I2" s="647"/>
      <c r="J2" s="647" t="str">
        <f>Txt_Pat_OpnameDat</f>
        <v/>
      </c>
      <c r="K2" s="645"/>
      <c r="L2" s="645"/>
      <c r="M2" s="645" t="str">
        <f>Txt_Pat_Gewicht</f>
        <v>Gewicht:</v>
      </c>
      <c r="N2" s="645"/>
      <c r="O2" s="645"/>
      <c r="P2" s="645" t="s">
        <v>4550</v>
      </c>
      <c r="Q2" s="645" t="str">
        <f>Txt_Pat_GebGew</f>
        <v/>
      </c>
      <c r="R2" s="645"/>
      <c r="S2" s="645" t="str">
        <f>Txt_Pat_Bed</f>
        <v/>
      </c>
      <c r="T2" s="645"/>
      <c r="U2" s="357"/>
      <c r="V2" s="357"/>
      <c r="W2" s="357"/>
      <c r="X2" s="357"/>
    </row>
    <row r="3" spans="1:81" s="490" customFormat="1" ht="17.25" customHeight="1" x14ac:dyDescent="0.2">
      <c r="A3" s="357"/>
      <c r="B3" s="644"/>
      <c r="C3" s="647" t="s">
        <v>27</v>
      </c>
      <c r="D3" s="652" t="str">
        <f>Txt_Pat_FullName</f>
        <v/>
      </c>
      <c r="E3" s="652"/>
      <c r="F3" s="647"/>
      <c r="G3" s="645"/>
      <c r="H3" s="651" t="s">
        <v>242</v>
      </c>
      <c r="I3" s="645"/>
      <c r="J3" s="647" t="str">
        <f ca="1">Txt_Pat_GeboorteDat</f>
        <v/>
      </c>
      <c r="K3" s="647"/>
      <c r="L3" s="645"/>
      <c r="M3" s="645" t="str">
        <f>Txt_Pat_Lengte</f>
        <v>Lengte:</v>
      </c>
      <c r="N3" s="645"/>
      <c r="O3" s="645"/>
      <c r="P3" s="645" t="s">
        <v>4551</v>
      </c>
      <c r="Q3" s="645" t="str">
        <f>Txt_Pat_GestAge</f>
        <v/>
      </c>
      <c r="R3" s="645"/>
      <c r="S3" s="645"/>
      <c r="T3" s="645"/>
      <c r="U3" s="357"/>
      <c r="V3" s="357"/>
      <c r="W3" s="357"/>
      <c r="X3" s="357"/>
    </row>
    <row r="4" spans="1:81" s="490" customFormat="1" ht="17.25" customHeight="1" x14ac:dyDescent="0.2">
      <c r="A4" s="357"/>
      <c r="B4" s="645"/>
      <c r="C4" s="647" t="s">
        <v>3493</v>
      </c>
      <c r="D4" s="647" t="str">
        <f>Txt_Pat_PatNo</f>
        <v/>
      </c>
      <c r="E4" s="649"/>
      <c r="F4" s="647"/>
      <c r="G4" s="645"/>
      <c r="H4" s="655" t="s">
        <v>213</v>
      </c>
      <c r="I4" s="647"/>
      <c r="J4" s="647" t="str">
        <f ca="1">Txt_Pat_Leeftijd</f>
        <v/>
      </c>
      <c r="K4" s="647"/>
      <c r="L4" s="645"/>
      <c r="M4" s="645"/>
      <c r="N4" s="645"/>
      <c r="O4" s="645"/>
      <c r="P4" s="645"/>
      <c r="Q4" s="645"/>
      <c r="R4" s="645"/>
      <c r="S4" s="645"/>
      <c r="T4" s="645"/>
      <c r="U4" s="357"/>
      <c r="V4" s="357"/>
      <c r="W4" s="357"/>
      <c r="X4" s="357"/>
      <c r="Y4" s="361"/>
      <c r="Z4" s="361"/>
      <c r="AA4" s="361"/>
      <c r="AB4" s="361"/>
      <c r="AC4" s="361"/>
      <c r="AD4" s="361"/>
      <c r="AE4" s="361"/>
      <c r="AF4" s="361"/>
      <c r="AG4" s="361"/>
      <c r="AH4" s="361"/>
      <c r="AI4" s="361"/>
      <c r="AJ4" s="361"/>
      <c r="AK4" s="361"/>
      <c r="AL4" s="361"/>
      <c r="AM4" s="361"/>
      <c r="AN4" s="361"/>
      <c r="AO4" s="361"/>
      <c r="AP4" s="361"/>
      <c r="AQ4" s="361"/>
      <c r="AR4" s="361"/>
      <c r="AS4" s="361"/>
      <c r="AT4" s="361"/>
      <c r="AU4" s="361"/>
      <c r="AV4" s="361"/>
      <c r="AW4" s="361"/>
      <c r="AX4" s="361"/>
      <c r="AY4" s="361"/>
      <c r="AZ4" s="361"/>
      <c r="BA4" s="361"/>
      <c r="BB4" s="361"/>
      <c r="BC4" s="361"/>
      <c r="BD4" s="361"/>
      <c r="BE4" s="361"/>
      <c r="BF4" s="361"/>
      <c r="BG4" s="361"/>
      <c r="BH4" s="361"/>
      <c r="BI4" s="361"/>
      <c r="BJ4" s="361"/>
      <c r="BK4" s="361"/>
      <c r="BL4" s="361"/>
      <c r="BM4" s="361"/>
      <c r="BN4" s="361"/>
      <c r="BO4" s="361"/>
      <c r="BP4" s="361"/>
      <c r="BQ4" s="361"/>
      <c r="BR4" s="361"/>
      <c r="BS4" s="361"/>
      <c r="BT4" s="361"/>
      <c r="BU4" s="361"/>
      <c r="BV4" s="361"/>
      <c r="BW4" s="361"/>
      <c r="BX4" s="361"/>
      <c r="BY4" s="361"/>
      <c r="BZ4" s="361"/>
      <c r="CA4" s="361"/>
      <c r="CB4" s="361"/>
      <c r="CC4" s="361"/>
    </row>
    <row r="5" spans="1:81" x14ac:dyDescent="0.2">
      <c r="B5" s="541"/>
    </row>
    <row r="6" spans="1:81" ht="20.100000000000001" customHeight="1" x14ac:dyDescent="0.2">
      <c r="A6" s="399"/>
      <c r="B6" s="700" t="s">
        <v>110</v>
      </c>
      <c r="C6" s="701"/>
      <c r="D6" s="701" t="s">
        <v>572</v>
      </c>
      <c r="E6" s="701"/>
      <c r="F6" s="701"/>
      <c r="G6" s="700"/>
      <c r="H6" s="702"/>
      <c r="I6" s="700"/>
      <c r="J6" s="700"/>
      <c r="K6" s="700"/>
      <c r="L6" s="700"/>
      <c r="M6" s="700"/>
      <c r="N6" s="700"/>
      <c r="O6" s="700"/>
      <c r="P6" s="700"/>
      <c r="Q6" s="700"/>
      <c r="R6" s="700"/>
      <c r="S6" s="700"/>
      <c r="T6" s="700"/>
    </row>
    <row r="7" spans="1:81" x14ac:dyDescent="0.2">
      <c r="B7" s="541"/>
    </row>
    <row r="8" spans="1:81" ht="20.100000000000001" customHeight="1" x14ac:dyDescent="0.2">
      <c r="B8" s="682" t="s">
        <v>570</v>
      </c>
      <c r="C8" s="682"/>
      <c r="D8" s="682" t="s">
        <v>573</v>
      </c>
      <c r="E8" s="682"/>
      <c r="F8" s="682" t="s">
        <v>574</v>
      </c>
      <c r="G8" s="682"/>
      <c r="H8" s="682" t="s">
        <v>575</v>
      </c>
      <c r="I8" s="682"/>
      <c r="J8" s="682" t="s">
        <v>111</v>
      </c>
      <c r="K8" s="682"/>
      <c r="L8" s="682" t="s">
        <v>576</v>
      </c>
      <c r="M8" s="682"/>
      <c r="N8" s="682"/>
      <c r="O8" s="682" t="s">
        <v>868</v>
      </c>
      <c r="P8" s="682" t="s">
        <v>580</v>
      </c>
      <c r="Q8" s="682" t="s">
        <v>867</v>
      </c>
      <c r="R8" s="682" t="s">
        <v>580</v>
      </c>
      <c r="S8" s="682" t="s">
        <v>869</v>
      </c>
      <c r="T8" s="682" t="s">
        <v>580</v>
      </c>
    </row>
    <row r="9" spans="1:81" ht="26.25" customHeight="1" x14ac:dyDescent="0.2">
      <c r="B9" s="412"/>
      <c r="C9" s="412"/>
      <c r="D9" s="412"/>
      <c r="E9" s="412"/>
      <c r="F9" s="412"/>
      <c r="G9" s="412"/>
      <c r="H9" s="412"/>
      <c r="I9" s="412"/>
      <c r="J9" s="412"/>
      <c r="K9" s="412"/>
      <c r="L9" s="412"/>
      <c r="M9" s="412"/>
      <c r="N9" s="400"/>
      <c r="O9" s="412"/>
      <c r="P9" s="412"/>
      <c r="Q9" s="412"/>
      <c r="R9" s="412"/>
      <c r="S9" s="412"/>
      <c r="T9" s="412"/>
    </row>
    <row r="10" spans="1:81" ht="26.25" customHeight="1" x14ac:dyDescent="0.2">
      <c r="B10" s="412"/>
      <c r="C10" s="412"/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00"/>
      <c r="O10" s="412"/>
      <c r="P10" s="412"/>
      <c r="Q10" s="412"/>
      <c r="R10" s="412"/>
      <c r="S10" s="412"/>
      <c r="T10" s="412"/>
    </row>
    <row r="11" spans="1:81" ht="26.25" customHeight="1" x14ac:dyDescent="0.2">
      <c r="A11" s="399"/>
      <c r="B11" s="412"/>
      <c r="C11" s="412"/>
      <c r="D11" s="412"/>
      <c r="E11" s="412"/>
      <c r="F11" s="412"/>
      <c r="G11" s="412"/>
      <c r="H11" s="412"/>
      <c r="I11" s="412"/>
      <c r="J11" s="412"/>
      <c r="K11" s="412"/>
      <c r="L11" s="412"/>
      <c r="M11" s="412"/>
      <c r="N11" s="400"/>
      <c r="O11" s="412"/>
      <c r="P11" s="412"/>
      <c r="Q11" s="412"/>
      <c r="R11" s="412"/>
      <c r="S11" s="412"/>
      <c r="T11" s="412"/>
    </row>
    <row r="12" spans="1:81" ht="26.25" customHeight="1" x14ac:dyDescent="0.2">
      <c r="B12" s="412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00"/>
      <c r="O12" s="412"/>
      <c r="P12" s="412"/>
      <c r="Q12" s="412"/>
      <c r="R12" s="412"/>
      <c r="S12" s="412"/>
      <c r="T12" s="412"/>
    </row>
    <row r="13" spans="1:81" ht="26.25" customHeight="1" x14ac:dyDescent="0.2">
      <c r="B13" s="412"/>
      <c r="C13" s="412"/>
      <c r="D13" s="412"/>
      <c r="E13" s="412"/>
      <c r="F13" s="412"/>
      <c r="G13" s="412"/>
      <c r="H13" s="412"/>
      <c r="I13" s="412"/>
      <c r="J13" s="412"/>
      <c r="K13" s="412"/>
      <c r="L13" s="412"/>
      <c r="M13" s="412"/>
      <c r="N13" s="400"/>
      <c r="O13" s="412"/>
      <c r="P13" s="412"/>
      <c r="Q13" s="412"/>
      <c r="R13" s="412"/>
      <c r="S13" s="412"/>
      <c r="T13" s="412"/>
    </row>
    <row r="14" spans="1:81" ht="26.25" customHeight="1" x14ac:dyDescent="0.2"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00"/>
      <c r="O14" s="412"/>
      <c r="P14" s="412"/>
      <c r="Q14" s="412"/>
      <c r="R14" s="412"/>
      <c r="S14" s="412"/>
      <c r="T14" s="412"/>
    </row>
    <row r="15" spans="1:81" ht="26.25" customHeight="1" x14ac:dyDescent="0.2"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00"/>
      <c r="O15" s="412"/>
      <c r="P15" s="412"/>
      <c r="Q15" s="412"/>
      <c r="R15" s="412"/>
      <c r="S15" s="412"/>
      <c r="T15" s="412"/>
    </row>
    <row r="16" spans="1:81" ht="26.25" customHeight="1" x14ac:dyDescent="0.2"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00"/>
      <c r="O16" s="412"/>
      <c r="P16" s="412"/>
      <c r="Q16" s="412"/>
      <c r="R16" s="412"/>
      <c r="S16" s="412"/>
      <c r="T16" s="412"/>
    </row>
    <row r="17" spans="2:20" ht="26.25" customHeight="1" x14ac:dyDescent="0.2"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00"/>
      <c r="O17" s="412"/>
      <c r="P17" s="412"/>
      <c r="Q17" s="412"/>
      <c r="R17" s="412"/>
      <c r="S17" s="412"/>
      <c r="T17" s="412"/>
    </row>
    <row r="18" spans="2:20" ht="26.25" customHeight="1" x14ac:dyDescent="0.2"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00"/>
      <c r="O18" s="412"/>
      <c r="P18" s="412"/>
      <c r="Q18" s="412"/>
      <c r="R18" s="412"/>
      <c r="S18" s="412"/>
      <c r="T18" s="412"/>
    </row>
    <row r="19" spans="2:20" ht="26.25" customHeight="1" x14ac:dyDescent="0.2">
      <c r="B19" s="412"/>
      <c r="C19" s="412"/>
      <c r="D19" s="412"/>
      <c r="E19" s="412"/>
      <c r="F19" s="412"/>
      <c r="G19" s="412"/>
      <c r="H19" s="412"/>
      <c r="I19" s="412"/>
      <c r="J19" s="412"/>
      <c r="K19" s="412"/>
      <c r="L19" s="412"/>
      <c r="M19" s="412"/>
      <c r="N19" s="400"/>
      <c r="O19" s="412"/>
      <c r="P19" s="412"/>
      <c r="Q19" s="412"/>
      <c r="R19" s="412"/>
      <c r="S19" s="412"/>
      <c r="T19" s="412"/>
    </row>
    <row r="20" spans="2:20" ht="26.25" customHeight="1" x14ac:dyDescent="0.2"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00"/>
      <c r="O20" s="412"/>
      <c r="P20" s="412"/>
      <c r="Q20" s="412"/>
      <c r="R20" s="412"/>
      <c r="S20" s="412"/>
      <c r="T20" s="412"/>
    </row>
    <row r="21" spans="2:20" ht="26.25" customHeight="1" x14ac:dyDescent="0.2"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00"/>
      <c r="O21" s="412"/>
      <c r="P21" s="412"/>
      <c r="Q21" s="412"/>
      <c r="R21" s="412"/>
      <c r="S21" s="412"/>
      <c r="T21" s="412"/>
    </row>
    <row r="22" spans="2:20" ht="26.25" customHeight="1" x14ac:dyDescent="0.2"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00"/>
      <c r="O22" s="412"/>
      <c r="P22" s="412"/>
      <c r="Q22" s="412"/>
      <c r="R22" s="412"/>
      <c r="S22" s="412"/>
      <c r="T22" s="412"/>
    </row>
    <row r="23" spans="2:20" ht="26.25" customHeight="1" x14ac:dyDescent="0.2">
      <c r="B23" s="412"/>
      <c r="C23" s="412"/>
      <c r="D23" s="412"/>
      <c r="E23" s="412"/>
      <c r="F23" s="412"/>
      <c r="G23" s="412"/>
      <c r="H23" s="412"/>
      <c r="I23" s="412"/>
      <c r="J23" s="412"/>
      <c r="K23" s="412"/>
      <c r="L23" s="412"/>
      <c r="M23" s="412"/>
      <c r="N23" s="400"/>
      <c r="O23" s="412"/>
      <c r="P23" s="412"/>
      <c r="Q23" s="412"/>
      <c r="R23" s="412"/>
      <c r="S23" s="412"/>
      <c r="T23" s="412"/>
    </row>
    <row r="24" spans="2:20" ht="26.25" customHeight="1" x14ac:dyDescent="0.2"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00"/>
      <c r="O24" s="412"/>
      <c r="P24" s="412"/>
      <c r="Q24" s="412"/>
      <c r="R24" s="412"/>
      <c r="S24" s="412"/>
      <c r="T24" s="412"/>
    </row>
    <row r="25" spans="2:20" ht="26.25" customHeight="1" x14ac:dyDescent="0.2"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00"/>
      <c r="O25" s="412"/>
      <c r="P25" s="412"/>
      <c r="Q25" s="412"/>
      <c r="R25" s="412"/>
      <c r="S25" s="412"/>
      <c r="T25" s="412"/>
    </row>
    <row r="26" spans="2:20" ht="26.25" customHeight="1" x14ac:dyDescent="0.2"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00"/>
      <c r="O26" s="412"/>
      <c r="P26" s="412"/>
      <c r="Q26" s="412"/>
      <c r="R26" s="412"/>
      <c r="S26" s="412"/>
      <c r="T26" s="412"/>
    </row>
    <row r="27" spans="2:20" ht="26.25" customHeight="1" x14ac:dyDescent="0.2"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00"/>
      <c r="O27" s="412"/>
      <c r="P27" s="412"/>
      <c r="Q27" s="412"/>
      <c r="R27" s="412"/>
      <c r="S27" s="412"/>
      <c r="T27" s="412"/>
    </row>
    <row r="28" spans="2:20" ht="26.25" customHeight="1" x14ac:dyDescent="0.2"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00"/>
      <c r="O28" s="412"/>
      <c r="P28" s="412"/>
      <c r="Q28" s="412"/>
      <c r="R28" s="412"/>
      <c r="S28" s="412"/>
      <c r="T28" s="412"/>
    </row>
    <row r="29" spans="2:20" ht="26.25" customHeight="1" x14ac:dyDescent="0.2"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00"/>
      <c r="O29" s="412"/>
      <c r="P29" s="412"/>
      <c r="Q29" s="412"/>
      <c r="R29" s="412"/>
      <c r="S29" s="412"/>
      <c r="T29" s="412"/>
    </row>
    <row r="30" spans="2:20" ht="26.25" customHeight="1" x14ac:dyDescent="0.2"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00"/>
      <c r="O30" s="412"/>
      <c r="P30" s="412"/>
      <c r="Q30" s="412"/>
      <c r="R30" s="412"/>
      <c r="S30" s="412"/>
      <c r="T30" s="412"/>
    </row>
    <row r="31" spans="2:20" ht="26.25" customHeight="1" x14ac:dyDescent="0.2"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00"/>
      <c r="O31" s="412"/>
      <c r="P31" s="412"/>
      <c r="Q31" s="412"/>
      <c r="R31" s="412"/>
      <c r="S31" s="412"/>
      <c r="T31" s="412"/>
    </row>
    <row r="32" spans="2:20" ht="26.25" customHeight="1" x14ac:dyDescent="0.2"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00"/>
      <c r="O32" s="412"/>
      <c r="P32" s="412"/>
      <c r="Q32" s="412"/>
      <c r="R32" s="412"/>
      <c r="S32" s="412"/>
      <c r="T32" s="412"/>
    </row>
    <row r="33" spans="2:20" ht="26.25" customHeight="1" x14ac:dyDescent="0.2"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00"/>
      <c r="O33" s="412"/>
      <c r="P33" s="412"/>
      <c r="Q33" s="412"/>
      <c r="R33" s="412"/>
      <c r="S33" s="412"/>
      <c r="T33" s="412"/>
    </row>
    <row r="34" spans="2:20" ht="26.25" customHeight="1" x14ac:dyDescent="0.2"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00"/>
      <c r="O34" s="412"/>
      <c r="P34" s="412"/>
      <c r="Q34" s="412"/>
      <c r="R34" s="412"/>
      <c r="S34" s="412"/>
      <c r="T34" s="412"/>
    </row>
    <row r="35" spans="2:20" ht="26.25" customHeight="1" x14ac:dyDescent="0.2"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00"/>
      <c r="O35" s="412"/>
      <c r="P35" s="412"/>
      <c r="Q35" s="412"/>
      <c r="R35" s="412"/>
      <c r="S35" s="412"/>
      <c r="T35" s="412"/>
    </row>
    <row r="36" spans="2:20" ht="26.25" customHeight="1" x14ac:dyDescent="0.2"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00"/>
      <c r="O36" s="412"/>
      <c r="P36" s="412"/>
      <c r="Q36" s="412"/>
      <c r="R36" s="412"/>
      <c r="S36" s="412"/>
      <c r="T36" s="412"/>
    </row>
    <row r="37" spans="2:20" ht="26.25" customHeight="1" x14ac:dyDescent="0.2"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00"/>
      <c r="O37" s="412"/>
      <c r="P37" s="412"/>
      <c r="Q37" s="412"/>
      <c r="R37" s="412"/>
      <c r="S37" s="412"/>
      <c r="T37" s="412"/>
    </row>
    <row r="38" spans="2:20" ht="26.25" customHeight="1" x14ac:dyDescent="0.2"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00"/>
      <c r="O38" s="412"/>
      <c r="P38" s="412"/>
      <c r="Q38" s="412"/>
      <c r="R38" s="412"/>
      <c r="S38" s="412"/>
      <c r="T38" s="412"/>
    </row>
    <row r="39" spans="2:20" ht="26.25" customHeight="1" x14ac:dyDescent="0.2"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00"/>
      <c r="O39" s="412"/>
      <c r="P39" s="412"/>
      <c r="Q39" s="412"/>
      <c r="R39" s="412"/>
      <c r="S39" s="412"/>
      <c r="T39" s="412"/>
    </row>
    <row r="40" spans="2:20" ht="26.25" customHeight="1" x14ac:dyDescent="0.2"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00"/>
      <c r="O40" s="412"/>
      <c r="P40" s="412"/>
      <c r="Q40" s="412"/>
      <c r="R40" s="412"/>
      <c r="S40" s="412"/>
      <c r="T40" s="412"/>
    </row>
    <row r="41" spans="2:20" ht="20.100000000000001" customHeight="1" x14ac:dyDescent="0.2">
      <c r="B41" s="682" t="s">
        <v>184</v>
      </c>
      <c r="C41" s="927" t="str">
        <f>IF(_Neo_Lab_Opm=0,"",_Neo_Lab_Opm)</f>
        <v/>
      </c>
      <c r="D41" s="928"/>
      <c r="E41" s="928"/>
      <c r="F41" s="928"/>
      <c r="G41" s="928"/>
      <c r="H41" s="928"/>
      <c r="I41" s="928"/>
      <c r="J41" s="928"/>
      <c r="K41" s="928"/>
      <c r="L41" s="928"/>
      <c r="M41" s="928"/>
      <c r="N41" s="928"/>
      <c r="O41" s="928"/>
      <c r="P41" s="928"/>
      <c r="Q41" s="928"/>
      <c r="R41" s="928"/>
      <c r="S41" s="928"/>
      <c r="T41" s="928"/>
    </row>
  </sheetData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J4" s="109" t="str">
        <f>IF(K4,"A","")</f>
        <v/>
      </c>
      <c r="K4" s="343" t="b">
        <v>0</v>
      </c>
      <c r="L4" s="109" t="str">
        <f>IF(M4,"A","")</f>
        <v/>
      </c>
      <c r="M4" s="343" t="b">
        <v>0</v>
      </c>
      <c r="N4" s="109" t="str">
        <f>IF(O4,"A","")</f>
        <v/>
      </c>
      <c r="O4" s="343" t="b">
        <v>0</v>
      </c>
      <c r="P4" s="109" t="str">
        <f>IF(Q4,"A","")</f>
        <v/>
      </c>
      <c r="Q4" s="343" t="b">
        <v>0</v>
      </c>
      <c r="R4" s="109" t="str">
        <f>IF(S4,"A","")</f>
        <v/>
      </c>
      <c r="S4" s="343" t="b">
        <v>0</v>
      </c>
      <c r="U4" s="159"/>
    </row>
    <row r="5" spans="1:21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J5" s="109" t="str">
        <f>IF(K5,"Na K","")</f>
        <v/>
      </c>
      <c r="K5" s="343" t="b">
        <v>0</v>
      </c>
      <c r="L5" s="109" t="str">
        <f>IF(M5,"Na K","")</f>
        <v/>
      </c>
      <c r="M5" s="343" t="b">
        <v>0</v>
      </c>
      <c r="N5" s="109" t="str">
        <f>IF(O5,"Na K","")</f>
        <v/>
      </c>
      <c r="O5" s="343" t="b">
        <v>0</v>
      </c>
      <c r="P5" s="109" t="str">
        <f>IF(Q5,"Na K","")</f>
        <v/>
      </c>
      <c r="Q5" s="343" t="b">
        <v>0</v>
      </c>
      <c r="R5" s="109" t="str">
        <f>IF(S5,"Na K","")</f>
        <v/>
      </c>
      <c r="S5" s="343" t="b">
        <v>0</v>
      </c>
      <c r="U5" s="159"/>
    </row>
    <row r="6" spans="1:21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J6" s="109" t="str">
        <f>IF(K6,"Cl","")</f>
        <v/>
      </c>
      <c r="K6" s="343" t="b">
        <v>0</v>
      </c>
      <c r="L6" s="109" t="str">
        <f>IF(M6,"Cl","")</f>
        <v/>
      </c>
      <c r="M6" s="343" t="b">
        <v>0</v>
      </c>
      <c r="N6" s="109" t="str">
        <f>IF(O6,"Cl","")</f>
        <v/>
      </c>
      <c r="O6" s="343" t="b">
        <v>0</v>
      </c>
      <c r="P6" s="109" t="str">
        <f>IF(Q6,"Cl","")</f>
        <v/>
      </c>
      <c r="Q6" s="343" t="b">
        <v>0</v>
      </c>
      <c r="R6" s="109" t="str">
        <f>IF(S6,"Cl","")</f>
        <v/>
      </c>
      <c r="S6" s="343" t="b">
        <v>0</v>
      </c>
      <c r="U6" s="159"/>
    </row>
    <row r="7" spans="1:21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J7" s="109" t="str">
        <f>IF(K7,"Gluc","")</f>
        <v/>
      </c>
      <c r="K7" s="343" t="b">
        <v>0</v>
      </c>
      <c r="L7" s="109" t="str">
        <f>IF(M7,"Gluc","")</f>
        <v/>
      </c>
      <c r="M7" s="343" t="b">
        <v>0</v>
      </c>
      <c r="N7" s="109" t="str">
        <f>IF(O7,"Gluc","")</f>
        <v/>
      </c>
      <c r="O7" s="343" t="b">
        <v>0</v>
      </c>
      <c r="P7" s="109" t="str">
        <f>IF(Q7,"Gluc","")</f>
        <v/>
      </c>
      <c r="Q7" s="343" t="b">
        <v>0</v>
      </c>
      <c r="R7" s="109" t="str">
        <f>IF(S7,"Gluc","")</f>
        <v/>
      </c>
      <c r="S7" s="343" t="b">
        <v>0</v>
      </c>
      <c r="U7" s="159"/>
    </row>
    <row r="8" spans="1:21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J8" s="109" t="str">
        <f>IF(K8,"Hb Ht","")</f>
        <v/>
      </c>
      <c r="K8" s="343" t="b">
        <v>0</v>
      </c>
      <c r="L8" s="109" t="str">
        <f>IF(M8,"Hb Ht","")</f>
        <v/>
      </c>
      <c r="M8" s="343" t="b">
        <v>0</v>
      </c>
      <c r="N8" s="109" t="str">
        <f>IF(O8,"Hb Ht","")</f>
        <v/>
      </c>
      <c r="O8" s="343" t="b">
        <v>0</v>
      </c>
      <c r="P8" s="109" t="str">
        <f>IF(Q8,"Hb Ht","")</f>
        <v/>
      </c>
      <c r="Q8" s="343" t="b">
        <v>0</v>
      </c>
      <c r="R8" s="109" t="str">
        <f>IF(S8,"Hb Ht","")</f>
        <v/>
      </c>
      <c r="S8" s="343" t="b">
        <v>0</v>
      </c>
      <c r="U8" s="159"/>
    </row>
    <row r="9" spans="1:21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J9" s="109" t="str">
        <f>IF(K9,"L","")</f>
        <v/>
      </c>
      <c r="K9" s="343" t="b">
        <v>0</v>
      </c>
      <c r="L9" s="109" t="str">
        <f>IF(M9,"L","")</f>
        <v/>
      </c>
      <c r="M9" s="343" t="b">
        <v>0</v>
      </c>
      <c r="N9" s="109" t="str">
        <f>IF(O9,"L","")</f>
        <v/>
      </c>
      <c r="O9" s="343" t="b">
        <v>0</v>
      </c>
      <c r="P9" s="109" t="str">
        <f>IF(Q9,"L","")</f>
        <v/>
      </c>
      <c r="Q9" s="343" t="b">
        <v>0</v>
      </c>
      <c r="R9" s="109" t="str">
        <f>IF(S9,"L","")</f>
        <v/>
      </c>
      <c r="S9" s="343" t="b">
        <v>0</v>
      </c>
      <c r="U9" s="159"/>
    </row>
    <row r="10" spans="1:21" x14ac:dyDescent="0.2">
      <c r="B10" s="109" t="str">
        <f>IF(C10,"L+diff","")</f>
        <v/>
      </c>
      <c r="C10" s="343" t="b">
        <v>0</v>
      </c>
      <c r="D10" s="109" t="str">
        <f>IF(E10,"L+diff","")</f>
        <v/>
      </c>
      <c r="E10" s="343" t="b">
        <v>0</v>
      </c>
      <c r="F10" s="109" t="str">
        <f>IF(G10,"L+diff","")</f>
        <v/>
      </c>
      <c r="G10" s="343" t="b">
        <v>0</v>
      </c>
      <c r="H10" s="109" t="str">
        <f>IF(I10,"L+diff","")</f>
        <v/>
      </c>
      <c r="I10" s="343" t="b">
        <v>0</v>
      </c>
      <c r="J10" s="109" t="str">
        <f>IF(K10,"L+diff","")</f>
        <v/>
      </c>
      <c r="K10" s="343" t="b">
        <v>0</v>
      </c>
      <c r="L10" s="109" t="str">
        <f>IF(M10,"L+diff","")</f>
        <v/>
      </c>
      <c r="M10" s="343" t="b">
        <v>0</v>
      </c>
      <c r="N10" s="109" t="str">
        <f>IF(O10,"L+diff","")</f>
        <v/>
      </c>
      <c r="O10" s="343" t="b">
        <v>0</v>
      </c>
      <c r="P10" s="109" t="str">
        <f>IF(Q10,"L+diff","")</f>
        <v/>
      </c>
      <c r="Q10" s="343" t="b">
        <v>0</v>
      </c>
      <c r="R10" s="109" t="str">
        <f>IF(S10,"L+diff","")</f>
        <v/>
      </c>
      <c r="S10" s="343" t="b">
        <v>0</v>
      </c>
      <c r="U10" s="159"/>
    </row>
    <row r="11" spans="1:21" x14ac:dyDescent="0.2">
      <c r="B11" s="109" t="str">
        <f>IF(C11,"T","")</f>
        <v/>
      </c>
      <c r="C11" s="343" t="b">
        <v>0</v>
      </c>
      <c r="D11" s="109" t="str">
        <f>IF(E11,"T","")</f>
        <v/>
      </c>
      <c r="E11" s="343" t="b">
        <v>0</v>
      </c>
      <c r="F11" s="109" t="str">
        <f>IF(G11,"T","")</f>
        <v/>
      </c>
      <c r="G11" s="343" t="b">
        <v>0</v>
      </c>
      <c r="H11" s="109" t="str">
        <f>IF(I11,"T","")</f>
        <v/>
      </c>
      <c r="I11" s="343" t="b">
        <v>0</v>
      </c>
      <c r="J11" s="109" t="str">
        <f>IF(K11,"T","")</f>
        <v/>
      </c>
      <c r="K11" s="343" t="b">
        <v>0</v>
      </c>
      <c r="L11" s="109" t="str">
        <f>IF(M11,"T","")</f>
        <v/>
      </c>
      <c r="M11" s="343" t="b">
        <v>0</v>
      </c>
      <c r="N11" s="109" t="str">
        <f>IF(O11,"T","")</f>
        <v/>
      </c>
      <c r="O11" s="343" t="b">
        <v>0</v>
      </c>
      <c r="P11" s="109" t="str">
        <f>IF(Q11,"T","")</f>
        <v/>
      </c>
      <c r="Q11" s="343" t="b">
        <v>0</v>
      </c>
      <c r="R11" s="109" t="str">
        <f>IF(S11,"T","")</f>
        <v/>
      </c>
      <c r="S11" s="343" t="b">
        <v>0</v>
      </c>
      <c r="U11" s="159"/>
    </row>
    <row r="12" spans="1:21" x14ac:dyDescent="0.2">
      <c r="B12" s="109" t="str">
        <f>IF(C12,"CRP","")</f>
        <v/>
      </c>
      <c r="C12" s="343" t="b">
        <v>0</v>
      </c>
      <c r="D12" s="109" t="str">
        <f>IF(E12,"CRP","")</f>
        <v/>
      </c>
      <c r="E12" s="343" t="b">
        <v>0</v>
      </c>
      <c r="F12" s="109" t="str">
        <f>IF(G12,"CRP","")</f>
        <v/>
      </c>
      <c r="G12" s="343" t="b">
        <v>0</v>
      </c>
      <c r="H12" s="109" t="str">
        <f>IF(I12,"CRP","")</f>
        <v/>
      </c>
      <c r="I12" s="343" t="b">
        <v>0</v>
      </c>
      <c r="J12" s="109" t="str">
        <f>IF(K12,"CRP","")</f>
        <v/>
      </c>
      <c r="K12" s="343" t="b">
        <v>0</v>
      </c>
      <c r="L12" s="109" t="str">
        <f>IF(M12,"CRP","")</f>
        <v/>
      </c>
      <c r="M12" s="343" t="b">
        <v>0</v>
      </c>
      <c r="N12" s="109" t="str">
        <f>IF(O12,"CRP","")</f>
        <v/>
      </c>
      <c r="O12" s="343" t="b">
        <v>0</v>
      </c>
      <c r="P12" s="109" t="str">
        <f>IF(Q12,"CRP","")</f>
        <v/>
      </c>
      <c r="Q12" s="343" t="b">
        <v>0</v>
      </c>
      <c r="R12" s="109" t="str">
        <f>IF(S12,"CRP","")</f>
        <v/>
      </c>
      <c r="S12" s="343" t="b">
        <v>0</v>
      </c>
      <c r="U12" s="159"/>
    </row>
    <row r="13" spans="1:21" x14ac:dyDescent="0.2">
      <c r="B13" s="109" t="str">
        <f>IF(C13,"Lac","")</f>
        <v/>
      </c>
      <c r="C13" s="343" t="b">
        <v>0</v>
      </c>
      <c r="D13" s="109" t="str">
        <f>IF(E13,"Lac","")</f>
        <v/>
      </c>
      <c r="E13" s="343" t="b">
        <v>0</v>
      </c>
      <c r="F13" s="109" t="str">
        <f>IF(G13,"Lac","")</f>
        <v/>
      </c>
      <c r="G13" s="343" t="b">
        <v>0</v>
      </c>
      <c r="H13" s="109" t="str">
        <f>IF(I13,"Lac","")</f>
        <v/>
      </c>
      <c r="I13" s="343" t="b">
        <v>0</v>
      </c>
      <c r="J13" s="109" t="str">
        <f>IF(K13,"Lac","")</f>
        <v/>
      </c>
      <c r="K13" s="343" t="b">
        <v>0</v>
      </c>
      <c r="L13" s="109" t="str">
        <f>IF(M13,"Lac","")</f>
        <v/>
      </c>
      <c r="M13" s="343" t="b">
        <v>0</v>
      </c>
      <c r="N13" s="109" t="str">
        <f>IF(O13,"Lac","")</f>
        <v/>
      </c>
      <c r="O13" s="343" t="b">
        <v>0</v>
      </c>
      <c r="P13" s="109" t="str">
        <f>IF(Q13,"Lac","")</f>
        <v/>
      </c>
      <c r="Q13" s="343" t="b">
        <v>0</v>
      </c>
      <c r="R13" s="109" t="str">
        <f>IF(S13,"Lac","")</f>
        <v/>
      </c>
      <c r="S13" s="343" t="b">
        <v>0</v>
      </c>
      <c r="U13" s="159"/>
    </row>
    <row r="14" spans="1:21" x14ac:dyDescent="0.2">
      <c r="B14" s="109" t="str">
        <f>IF(C14,"Ur","")</f>
        <v/>
      </c>
      <c r="C14" s="343" t="b">
        <v>0</v>
      </c>
      <c r="D14" s="109" t="str">
        <f>IF(E14,"Ur","")</f>
        <v/>
      </c>
      <c r="E14" s="343" t="b">
        <v>0</v>
      </c>
      <c r="F14" s="109" t="str">
        <f>IF(G14,"Ur","")</f>
        <v/>
      </c>
      <c r="G14" s="343" t="b">
        <v>0</v>
      </c>
      <c r="H14" s="109" t="str">
        <f>IF(I14,"Ur","")</f>
        <v/>
      </c>
      <c r="I14" s="343" t="b">
        <v>0</v>
      </c>
      <c r="J14" s="109" t="str">
        <f>IF(K14,"Ur","")</f>
        <v/>
      </c>
      <c r="K14" s="343" t="b">
        <v>0</v>
      </c>
      <c r="L14" s="109" t="str">
        <f>IF(M14,"Ur","")</f>
        <v/>
      </c>
      <c r="M14" s="343" t="b">
        <v>0</v>
      </c>
      <c r="N14" s="109" t="str">
        <f>IF(O14,"Ur","")</f>
        <v/>
      </c>
      <c r="O14" s="343" t="b">
        <v>0</v>
      </c>
      <c r="P14" s="109" t="str">
        <f>IF(Q14,"Ur","")</f>
        <v/>
      </c>
      <c r="Q14" s="343" t="b">
        <v>0</v>
      </c>
      <c r="R14" s="109" t="str">
        <f>IF(S14,"Ur","")</f>
        <v/>
      </c>
      <c r="S14" s="343" t="b">
        <v>0</v>
      </c>
      <c r="U14" s="159"/>
    </row>
    <row r="15" spans="1:21" x14ac:dyDescent="0.2">
      <c r="B15" s="109" t="str">
        <f>IF(C15,"Kr","")</f>
        <v/>
      </c>
      <c r="C15" s="343" t="b">
        <v>0</v>
      </c>
      <c r="D15" s="109" t="str">
        <f>IF(E15,"Kr++","")</f>
        <v/>
      </c>
      <c r="E15" s="343" t="b">
        <v>0</v>
      </c>
      <c r="F15" s="109" t="str">
        <f>IF(G15,"Kr","")</f>
        <v/>
      </c>
      <c r="G15" s="343" t="b">
        <v>0</v>
      </c>
      <c r="H15" s="109" t="str">
        <f>IF(I15,"Kr","")</f>
        <v/>
      </c>
      <c r="I15" s="343" t="b">
        <v>0</v>
      </c>
      <c r="J15" s="109" t="str">
        <f>IF(K15,"Kr","")</f>
        <v/>
      </c>
      <c r="K15" s="343" t="b">
        <v>0</v>
      </c>
      <c r="L15" s="109" t="str">
        <f>IF(M15,"Kr","")</f>
        <v/>
      </c>
      <c r="M15" s="343" t="b">
        <v>0</v>
      </c>
      <c r="N15" s="109" t="str">
        <f>IF(O15,"Kr","")</f>
        <v/>
      </c>
      <c r="O15" s="343" t="b">
        <v>0</v>
      </c>
      <c r="P15" s="109" t="str">
        <f>IF(Q15,"Kr","")</f>
        <v/>
      </c>
      <c r="Q15" s="343" t="b">
        <v>0</v>
      </c>
      <c r="R15" s="109" t="str">
        <f>IF(S15,"Kr","")</f>
        <v/>
      </c>
      <c r="S15" s="343" t="b">
        <v>0</v>
      </c>
      <c r="U15" s="159"/>
    </row>
    <row r="16" spans="1:21" x14ac:dyDescent="0.2">
      <c r="B16" s="109" t="str">
        <f>IF(C16,"Ca++","")</f>
        <v/>
      </c>
      <c r="C16" s="343" t="b">
        <v>0</v>
      </c>
      <c r="D16" s="109" t="str">
        <f>IF(E16,"Ca++","")</f>
        <v/>
      </c>
      <c r="E16" s="343" t="b">
        <v>0</v>
      </c>
      <c r="F16" s="109" t="str">
        <f>IF(G16,"Ca++","")</f>
        <v/>
      </c>
      <c r="G16" s="343" t="b">
        <v>0</v>
      </c>
      <c r="H16" s="109" t="str">
        <f>IF(I16,"Ca++","")</f>
        <v/>
      </c>
      <c r="I16" s="343" t="b">
        <v>0</v>
      </c>
      <c r="J16" s="109" t="str">
        <f>IF(K16,"Ca++","")</f>
        <v/>
      </c>
      <c r="K16" s="343" t="b">
        <v>0</v>
      </c>
      <c r="L16" s="109" t="str">
        <f>IF(M16,"Ca++","")</f>
        <v/>
      </c>
      <c r="M16" s="343" t="b">
        <v>0</v>
      </c>
      <c r="N16" s="109" t="str">
        <f>IF(O16,"Ca++","")</f>
        <v/>
      </c>
      <c r="O16" s="343" t="b">
        <v>0</v>
      </c>
      <c r="P16" s="109" t="str">
        <f>IF(Q16,"Ca++","")</f>
        <v/>
      </c>
      <c r="Q16" s="343" t="b">
        <v>0</v>
      </c>
      <c r="R16" s="109" t="str">
        <f>IF(S16,"Ca++","")</f>
        <v/>
      </c>
      <c r="S16" s="343" t="b">
        <v>0</v>
      </c>
      <c r="U16" s="159"/>
    </row>
    <row r="17" spans="2:21" x14ac:dyDescent="0.2">
      <c r="B17" s="109" t="str">
        <f>IF(C17,"Mg++","")</f>
        <v/>
      </c>
      <c r="C17" s="343" t="b">
        <v>0</v>
      </c>
      <c r="D17" s="109" t="str">
        <f>IF(E17,"Mg++","")</f>
        <v/>
      </c>
      <c r="E17" s="343" t="b">
        <v>0</v>
      </c>
      <c r="F17" s="109" t="str">
        <f>IF(G17,"Mg++","")</f>
        <v/>
      </c>
      <c r="G17" s="343" t="b">
        <v>0</v>
      </c>
      <c r="H17" s="109" t="str">
        <f>IF(I17,"Mg++","")</f>
        <v/>
      </c>
      <c r="I17" s="343" t="b">
        <v>0</v>
      </c>
      <c r="J17" s="109" t="str">
        <f>IF(K17,"Mg++","")</f>
        <v/>
      </c>
      <c r="K17" s="343" t="b">
        <v>0</v>
      </c>
      <c r="L17" s="109" t="str">
        <f>IF(M17,"Mg++","")</f>
        <v/>
      </c>
      <c r="M17" s="343" t="b">
        <v>0</v>
      </c>
      <c r="N17" s="109" t="str">
        <f>IF(O17,"Mg++","")</f>
        <v/>
      </c>
      <c r="O17" s="343" t="b">
        <v>0</v>
      </c>
      <c r="P17" s="109" t="str">
        <f>IF(Q17,"Mg++","")</f>
        <v/>
      </c>
      <c r="Q17" s="343" t="b">
        <v>0</v>
      </c>
      <c r="R17" s="109" t="str">
        <f>IF(S17,"Mg++","")</f>
        <v/>
      </c>
      <c r="S17" s="343" t="b">
        <v>0</v>
      </c>
      <c r="U17" s="159"/>
    </row>
    <row r="18" spans="2:21" x14ac:dyDescent="0.2">
      <c r="B18" s="109" t="str">
        <f>IF(C18,"Fosfaat","")</f>
        <v/>
      </c>
      <c r="C18" s="343" t="b">
        <v>0</v>
      </c>
      <c r="D18" s="109" t="str">
        <f>IF(E18,"Fosfaat","")</f>
        <v/>
      </c>
      <c r="E18" s="343" t="b">
        <v>0</v>
      </c>
      <c r="F18" s="109" t="str">
        <f>IF(G18,"Fosfaat","")</f>
        <v/>
      </c>
      <c r="G18" s="343" t="b">
        <v>0</v>
      </c>
      <c r="H18" s="109" t="str">
        <f>IF(I18,"Fosfaat","")</f>
        <v/>
      </c>
      <c r="I18" s="343" t="b">
        <v>0</v>
      </c>
      <c r="J18" s="109" t="str">
        <f>IF(K18,"Fosfaat","")</f>
        <v/>
      </c>
      <c r="K18" s="343" t="b">
        <v>0</v>
      </c>
      <c r="L18" s="109" t="str">
        <f>IF(M18,"Fosfaat","")</f>
        <v/>
      </c>
      <c r="M18" s="343" t="b">
        <v>0</v>
      </c>
      <c r="N18" s="109" t="str">
        <f>IF(O18,"Fosfaat","")</f>
        <v/>
      </c>
      <c r="O18" s="343" t="b">
        <v>0</v>
      </c>
      <c r="P18" s="109" t="str">
        <f>IF(Q18,"Fosfaat","")</f>
        <v/>
      </c>
      <c r="Q18" s="343" t="b">
        <v>0</v>
      </c>
      <c r="R18" s="109" t="str">
        <f>IF(S18,"Fosfaat","")</f>
        <v/>
      </c>
      <c r="S18" s="343" t="b">
        <v>0</v>
      </c>
      <c r="U18" s="159"/>
    </row>
    <row r="19" spans="2:21" x14ac:dyDescent="0.2">
      <c r="B19" s="109" t="str">
        <f>IF(C19,"Alb","")</f>
        <v/>
      </c>
      <c r="C19" s="343" t="b">
        <v>0</v>
      </c>
      <c r="D19" s="109" t="str">
        <f>IF(E19,"Alb","")</f>
        <v/>
      </c>
      <c r="E19" s="343" t="b">
        <v>0</v>
      </c>
      <c r="F19" s="109" t="str">
        <f>IF(G19,"Alb","")</f>
        <v/>
      </c>
      <c r="G19" s="343" t="b">
        <v>0</v>
      </c>
      <c r="H19" s="109" t="str">
        <f>IF(I19,"Alb","")</f>
        <v/>
      </c>
      <c r="I19" s="343" t="b">
        <v>0</v>
      </c>
      <c r="J19" s="109" t="str">
        <f>IF(K19,"Alb","")</f>
        <v/>
      </c>
      <c r="K19" s="343" t="b">
        <v>0</v>
      </c>
      <c r="L19" s="109" t="str">
        <f>IF(M19,"Alb","")</f>
        <v/>
      </c>
      <c r="M19" s="343" t="b">
        <v>0</v>
      </c>
      <c r="N19" s="109" t="str">
        <f>IF(O19,"Alb","")</f>
        <v/>
      </c>
      <c r="O19" s="343" t="b">
        <v>0</v>
      </c>
      <c r="P19" s="109" t="str">
        <f>IF(Q19,"Alb","")</f>
        <v/>
      </c>
      <c r="Q19" s="343" t="b">
        <v>0</v>
      </c>
      <c r="R19" s="109" t="str">
        <f>IF(S19,"Alb","")</f>
        <v/>
      </c>
      <c r="S19" s="343" t="b">
        <v>0</v>
      </c>
      <c r="U19" s="159"/>
    </row>
    <row r="20" spans="2:21" x14ac:dyDescent="0.2">
      <c r="B20" s="109" t="str">
        <f>IF(C20,"Ca","")</f>
        <v/>
      </c>
      <c r="C20" s="343" t="b">
        <v>0</v>
      </c>
      <c r="D20" s="109" t="str">
        <f>IF(E20,"Ca","")</f>
        <v/>
      </c>
      <c r="E20" s="343" t="b">
        <v>0</v>
      </c>
      <c r="F20" s="109" t="str">
        <f>IF(G20,"Ca","")</f>
        <v/>
      </c>
      <c r="G20" s="343" t="b">
        <v>0</v>
      </c>
      <c r="H20" s="109" t="str">
        <f>IF(I20,"Ca","")</f>
        <v/>
      </c>
      <c r="I20" s="343" t="b">
        <v>0</v>
      </c>
      <c r="J20" s="109" t="str">
        <f>IF(K20,"Ca","")</f>
        <v/>
      </c>
      <c r="K20" s="343" t="b">
        <v>0</v>
      </c>
      <c r="L20" s="109" t="str">
        <f>IF(M20,"Ca","")</f>
        <v/>
      </c>
      <c r="M20" s="343" t="b">
        <v>0</v>
      </c>
      <c r="N20" s="109" t="str">
        <f>IF(O20,"Ca","")</f>
        <v/>
      </c>
      <c r="O20" s="343" t="b">
        <v>0</v>
      </c>
      <c r="P20" s="109" t="str">
        <f>IF(Q20,"Ca","")</f>
        <v/>
      </c>
      <c r="Q20" s="343" t="b">
        <v>0</v>
      </c>
      <c r="R20" s="109" t="str">
        <f>IF(S20,"Ca","")</f>
        <v/>
      </c>
      <c r="S20" s="343" t="b">
        <v>0</v>
      </c>
      <c r="U20" s="159"/>
    </row>
    <row r="21" spans="2:21" x14ac:dyDescent="0.2">
      <c r="B21" s="109" t="str">
        <f>IF(C21,"ASAT","")</f>
        <v/>
      </c>
      <c r="C21" s="343" t="b">
        <v>0</v>
      </c>
      <c r="D21" s="109" t="str">
        <f>IF(E21,"ASAT","")</f>
        <v/>
      </c>
      <c r="E21" s="343" t="b">
        <v>0</v>
      </c>
      <c r="F21" s="109" t="str">
        <f>IF(G21,"ASAT","")</f>
        <v/>
      </c>
      <c r="G21" s="343" t="b">
        <v>0</v>
      </c>
      <c r="H21" s="109" t="str">
        <f>IF(I21,"ASAT","")</f>
        <v/>
      </c>
      <c r="I21" s="343" t="b">
        <v>0</v>
      </c>
      <c r="J21" s="109" t="str">
        <f>IF(K21,"ASAT","")</f>
        <v/>
      </c>
      <c r="K21" s="343" t="b">
        <v>0</v>
      </c>
      <c r="L21" s="109" t="str">
        <f>IF(M21,"ASAT","")</f>
        <v/>
      </c>
      <c r="M21" s="343" t="b">
        <v>0</v>
      </c>
      <c r="N21" s="109" t="str">
        <f>IF(O21,"ASAT","")</f>
        <v/>
      </c>
      <c r="O21" s="343" t="b">
        <v>0</v>
      </c>
      <c r="P21" s="109" t="str">
        <f>IF(Q21,"ASAT","")</f>
        <v/>
      </c>
      <c r="Q21" s="343" t="b">
        <v>0</v>
      </c>
      <c r="R21" s="109" t="str">
        <f>IF(S21,"ASAT","")</f>
        <v/>
      </c>
      <c r="S21" s="343" t="b">
        <v>0</v>
      </c>
      <c r="U21" s="159"/>
    </row>
    <row r="22" spans="2:21" x14ac:dyDescent="0.2">
      <c r="B22" s="109" t="str">
        <f>IF(C22,"ALAT","")</f>
        <v/>
      </c>
      <c r="C22" s="343" t="b">
        <v>0</v>
      </c>
      <c r="D22" s="109" t="str">
        <f>IF(E22,"ALAT","")</f>
        <v/>
      </c>
      <c r="E22" s="343" t="b">
        <v>0</v>
      </c>
      <c r="F22" s="109" t="str">
        <f>IF(G22,"ALAT","")</f>
        <v/>
      </c>
      <c r="G22" s="343" t="b">
        <v>0</v>
      </c>
      <c r="H22" s="109" t="str">
        <f>IF(I22,"ALAT","")</f>
        <v/>
      </c>
      <c r="I22" s="343" t="b">
        <v>0</v>
      </c>
      <c r="J22" s="109" t="str">
        <f>IF(K22,"ALAT","")</f>
        <v/>
      </c>
      <c r="K22" s="343" t="b">
        <v>0</v>
      </c>
      <c r="L22" s="109" t="str">
        <f>IF(M22,"ALAT","")</f>
        <v/>
      </c>
      <c r="M22" s="343" t="b">
        <v>0</v>
      </c>
      <c r="N22" s="109" t="str">
        <f>IF(O22,"ALAT","")</f>
        <v/>
      </c>
      <c r="O22" s="343" t="b">
        <v>0</v>
      </c>
      <c r="P22" s="109" t="str">
        <f>IF(Q22,"ALAT","")</f>
        <v/>
      </c>
      <c r="Q22" s="343" t="b">
        <v>0</v>
      </c>
      <c r="R22" s="109" t="str">
        <f>IF(S22,"ALAT","")</f>
        <v/>
      </c>
      <c r="S22" s="343" t="b">
        <v>0</v>
      </c>
      <c r="U22" s="159"/>
    </row>
    <row r="23" spans="2:21" x14ac:dyDescent="0.2">
      <c r="B23" s="109" t="str">
        <f>IF(C23,"GGT","")</f>
        <v/>
      </c>
      <c r="C23" s="343" t="b">
        <v>0</v>
      </c>
      <c r="D23" s="109" t="str">
        <f>IF(E23,"GGT","")</f>
        <v/>
      </c>
      <c r="E23" s="343" t="b">
        <v>0</v>
      </c>
      <c r="F23" s="109" t="str">
        <f>IF(G23,"GGT","")</f>
        <v/>
      </c>
      <c r="G23" s="343" t="b">
        <v>0</v>
      </c>
      <c r="H23" s="109" t="str">
        <f>IF(I23,"GGT","")</f>
        <v/>
      </c>
      <c r="I23" s="343" t="b">
        <v>0</v>
      </c>
      <c r="J23" s="109" t="str">
        <f>IF(K23,"GGT","")</f>
        <v/>
      </c>
      <c r="K23" s="343" t="b">
        <v>0</v>
      </c>
      <c r="L23" s="109" t="str">
        <f>IF(M23,"GGT","")</f>
        <v/>
      </c>
      <c r="M23" s="343" t="b">
        <v>0</v>
      </c>
      <c r="N23" s="109" t="str">
        <f>IF(O23,"GGT","")</f>
        <v/>
      </c>
      <c r="O23" s="343" t="b">
        <v>0</v>
      </c>
      <c r="P23" s="109" t="str">
        <f>IF(Q23,"GGT","")</f>
        <v/>
      </c>
      <c r="Q23" s="343" t="b">
        <v>0</v>
      </c>
      <c r="R23" s="109" t="str">
        <f>IF(S23,"GGT","")</f>
        <v/>
      </c>
      <c r="S23" s="343" t="b">
        <v>0</v>
      </c>
      <c r="U23" s="159"/>
    </row>
    <row r="24" spans="2:21" x14ac:dyDescent="0.2">
      <c r="B24" s="109" t="str">
        <f>IF(C24,"AF","")</f>
        <v/>
      </c>
      <c r="C24" s="343" t="b">
        <v>0</v>
      </c>
      <c r="D24" s="109" t="str">
        <f>IF(E24,"AF","")</f>
        <v/>
      </c>
      <c r="E24" s="343" t="b">
        <v>0</v>
      </c>
      <c r="F24" s="109" t="str">
        <f>IF(G24,"AF","")</f>
        <v/>
      </c>
      <c r="G24" s="343" t="b">
        <v>0</v>
      </c>
      <c r="H24" s="109" t="str">
        <f>IF(I24,"AF","")</f>
        <v/>
      </c>
      <c r="I24" s="343" t="b">
        <v>0</v>
      </c>
      <c r="J24" s="109" t="str">
        <f>IF(K24,"AF","")</f>
        <v/>
      </c>
      <c r="K24" s="343" t="b">
        <v>0</v>
      </c>
      <c r="L24" s="109" t="str">
        <f>IF(M24,"AF","")</f>
        <v/>
      </c>
      <c r="M24" s="343" t="b">
        <v>0</v>
      </c>
      <c r="N24" s="109" t="str">
        <f>IF(O24,"AF","")</f>
        <v/>
      </c>
      <c r="O24" s="343" t="b">
        <v>0</v>
      </c>
      <c r="P24" s="109" t="str">
        <f>IF(Q24,"AF","")</f>
        <v/>
      </c>
      <c r="Q24" s="343" t="b">
        <v>0</v>
      </c>
      <c r="R24" s="109" t="str">
        <f>IF(S24,"AF","")</f>
        <v/>
      </c>
      <c r="S24" s="343" t="b">
        <v>0</v>
      </c>
      <c r="U24" s="159"/>
    </row>
    <row r="25" spans="2:21" x14ac:dyDescent="0.2">
      <c r="B25" s="109" t="str">
        <f>IF(C25,"LDH","")</f>
        <v/>
      </c>
      <c r="C25" s="343" t="b">
        <v>0</v>
      </c>
      <c r="D25" s="109" t="str">
        <f>IF(E25,"LDH","")</f>
        <v/>
      </c>
      <c r="E25" s="343" t="b">
        <v>0</v>
      </c>
      <c r="F25" s="109" t="str">
        <f>IF(G25,"LDH","")</f>
        <v/>
      </c>
      <c r="G25" s="343" t="b">
        <v>0</v>
      </c>
      <c r="H25" s="109" t="str">
        <f>IF(I25,"LDH","")</f>
        <v/>
      </c>
      <c r="I25" s="343" t="b">
        <v>0</v>
      </c>
      <c r="J25" s="109" t="str">
        <f>IF(K25,"LDH","")</f>
        <v/>
      </c>
      <c r="K25" s="343" t="b">
        <v>0</v>
      </c>
      <c r="L25" s="109" t="str">
        <f>IF(M25,"LDH","")</f>
        <v/>
      </c>
      <c r="M25" s="343" t="b">
        <v>0</v>
      </c>
      <c r="N25" s="109" t="str">
        <f>IF(O25,"LDH","")</f>
        <v/>
      </c>
      <c r="O25" s="343" t="b">
        <v>0</v>
      </c>
      <c r="P25" s="109" t="str">
        <f>IF(Q25,"LDH","")</f>
        <v/>
      </c>
      <c r="Q25" s="343" t="b">
        <v>0</v>
      </c>
      <c r="R25" s="109" t="str">
        <f>IF(S25,"LDH","")</f>
        <v/>
      </c>
      <c r="S25" s="343" t="b">
        <v>0</v>
      </c>
      <c r="U25" s="159"/>
    </row>
    <row r="26" spans="2:21" x14ac:dyDescent="0.2">
      <c r="B26" s="109" t="str">
        <f>IF(C26,"Bili","")</f>
        <v/>
      </c>
      <c r="C26" s="343" t="b">
        <v>0</v>
      </c>
      <c r="D26" s="109" t="str">
        <f>IF(E26,"Bili","")</f>
        <v/>
      </c>
      <c r="E26" s="343" t="b">
        <v>0</v>
      </c>
      <c r="F26" s="109" t="str">
        <f>IF(G26,"Bili","")</f>
        <v/>
      </c>
      <c r="G26" s="343" t="b">
        <v>0</v>
      </c>
      <c r="H26" s="109" t="str">
        <f>IF(I26,"Bili","")</f>
        <v/>
      </c>
      <c r="I26" s="343" t="b">
        <v>0</v>
      </c>
      <c r="J26" s="109" t="str">
        <f>IF(K26,"Bili","")</f>
        <v/>
      </c>
      <c r="K26" s="343" t="b">
        <v>0</v>
      </c>
      <c r="L26" s="109" t="str">
        <f>IF(M26,"Bili","")</f>
        <v/>
      </c>
      <c r="M26" s="343" t="b">
        <v>0</v>
      </c>
      <c r="N26" s="109" t="str">
        <f>IF(O26,"Bili","")</f>
        <v/>
      </c>
      <c r="O26" s="343" t="b">
        <v>0</v>
      </c>
      <c r="P26" s="109" t="str">
        <f>IF(Q26,"Bili","")</f>
        <v/>
      </c>
      <c r="Q26" s="343" t="b">
        <v>0</v>
      </c>
      <c r="R26" s="109" t="str">
        <f>IF(S26,"Bili","")</f>
        <v/>
      </c>
      <c r="S26" s="343" t="b">
        <v>0</v>
      </c>
      <c r="U26" s="159"/>
    </row>
    <row r="27" spans="2:21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J27" s="109" t="str">
        <f>IF(K27,"TG","")</f>
        <v/>
      </c>
      <c r="K27" s="343" t="b">
        <v>0</v>
      </c>
      <c r="L27" s="109" t="str">
        <f>IF(M27,"TG","")</f>
        <v/>
      </c>
      <c r="M27" s="343" t="b">
        <v>0</v>
      </c>
      <c r="N27" s="109" t="str">
        <f>IF(O27,"TG","")</f>
        <v/>
      </c>
      <c r="O27" s="343" t="b">
        <v>0</v>
      </c>
      <c r="P27" s="109" t="str">
        <f>IF(Q27,"TG","")</f>
        <v/>
      </c>
      <c r="Q27" s="343" t="b">
        <v>0</v>
      </c>
      <c r="R27" s="109" t="str">
        <f>IF(S27,"TG","")</f>
        <v/>
      </c>
      <c r="S27" s="343" t="b">
        <v>0</v>
      </c>
      <c r="U27" s="159"/>
    </row>
    <row r="28" spans="2:21" x14ac:dyDescent="0.2">
      <c r="B28" s="109" t="str">
        <f>IF(C28,"PT","")</f>
        <v/>
      </c>
      <c r="C28" s="343" t="b">
        <v>0</v>
      </c>
      <c r="D28" s="109" t="str">
        <f>IF(E28,"PT","")</f>
        <v/>
      </c>
      <c r="E28" s="343" t="b">
        <v>0</v>
      </c>
      <c r="F28" s="109" t="str">
        <f>IF(G28,"PT","")</f>
        <v/>
      </c>
      <c r="G28" s="343" t="b">
        <v>0</v>
      </c>
      <c r="H28" s="109" t="str">
        <f>IF(I28,"PT","")</f>
        <v/>
      </c>
      <c r="I28" s="343" t="b">
        <v>0</v>
      </c>
      <c r="J28" s="109" t="str">
        <f>IF(K28,"PT","")</f>
        <v/>
      </c>
      <c r="K28" s="343" t="b">
        <v>0</v>
      </c>
      <c r="L28" s="109" t="str">
        <f>IF(M28,"PT","")</f>
        <v/>
      </c>
      <c r="M28" s="343" t="b">
        <v>0</v>
      </c>
      <c r="N28" s="109" t="str">
        <f>IF(O28,"PT","")</f>
        <v/>
      </c>
      <c r="O28" s="343" t="b">
        <v>0</v>
      </c>
      <c r="P28" s="109" t="str">
        <f>IF(Q28,"PT","")</f>
        <v/>
      </c>
      <c r="Q28" s="343" t="b">
        <v>0</v>
      </c>
      <c r="R28" s="109" t="str">
        <f>IF(S28,"PT","")</f>
        <v/>
      </c>
      <c r="S28" s="343" t="b">
        <v>0</v>
      </c>
      <c r="U28" s="159"/>
    </row>
    <row r="29" spans="2:21" x14ac:dyDescent="0.2">
      <c r="B29" s="109" t="str">
        <f>IF(C29,"APPT","")</f>
        <v/>
      </c>
      <c r="C29" s="343" t="b">
        <v>0</v>
      </c>
      <c r="D29" s="109" t="str">
        <f>IF(E29,"APPT","")</f>
        <v/>
      </c>
      <c r="E29" s="343" t="b">
        <v>0</v>
      </c>
      <c r="F29" s="109" t="str">
        <f>IF(G29,"APPT","")</f>
        <v/>
      </c>
      <c r="G29" s="343" t="b">
        <v>0</v>
      </c>
      <c r="H29" s="109" t="str">
        <f>IF(I29,"APPT","")</f>
        <v/>
      </c>
      <c r="I29" s="343" t="b">
        <v>0</v>
      </c>
      <c r="J29" s="109" t="str">
        <f>IF(K29,"APPT","")</f>
        <v/>
      </c>
      <c r="K29" s="343" t="b">
        <v>0</v>
      </c>
      <c r="L29" s="109" t="str">
        <f>IF(M29,"APPT","")</f>
        <v/>
      </c>
      <c r="M29" s="343" t="b">
        <v>0</v>
      </c>
      <c r="N29" s="109" t="str">
        <f>IF(O29,"APPT","")</f>
        <v/>
      </c>
      <c r="O29" s="343" t="b">
        <v>0</v>
      </c>
      <c r="P29" s="109" t="str">
        <f>IF(Q29,"APPT","")</f>
        <v/>
      </c>
      <c r="Q29" s="343" t="b">
        <v>0</v>
      </c>
      <c r="R29" s="109" t="str">
        <f>IF(S29,"APPT","")</f>
        <v/>
      </c>
      <c r="S29" s="343" t="b">
        <v>0</v>
      </c>
      <c r="U29" s="159"/>
    </row>
    <row r="30" spans="2:21" x14ac:dyDescent="0.2">
      <c r="B30" s="109" t="str">
        <f>IF(C30,"NICU APPT","")</f>
        <v/>
      </c>
      <c r="C30" s="343" t="b">
        <v>0</v>
      </c>
      <c r="D30" s="109" t="str">
        <f>IF(E30,"NICU APPT","")</f>
        <v/>
      </c>
      <c r="E30" s="343" t="b">
        <v>0</v>
      </c>
      <c r="F30" s="109" t="str">
        <f>IF(G30,"NICU APPT","")</f>
        <v/>
      </c>
      <c r="G30" s="343" t="b">
        <v>0</v>
      </c>
      <c r="H30" s="109" t="str">
        <f>IF(I30,"NICU APPT","")</f>
        <v/>
      </c>
      <c r="I30" s="343" t="b">
        <v>0</v>
      </c>
      <c r="J30" s="109" t="str">
        <f>IF(K30,"NICU APPT","")</f>
        <v/>
      </c>
      <c r="K30" s="343" t="b">
        <v>0</v>
      </c>
      <c r="L30" s="109" t="str">
        <f>IF(M30,"NICU APPT","")</f>
        <v/>
      </c>
      <c r="M30" s="343" t="b">
        <v>0</v>
      </c>
      <c r="N30" s="109" t="str">
        <f>IF(O30,"NICU APPT","")</f>
        <v/>
      </c>
      <c r="O30" s="343" t="b">
        <v>0</v>
      </c>
      <c r="P30" s="109" t="str">
        <f>IF(Q30,"NICU APPT","")</f>
        <v/>
      </c>
      <c r="Q30" s="343" t="b">
        <v>0</v>
      </c>
      <c r="R30" s="109" t="str">
        <f>IF(S30,"NICU APPT","")</f>
        <v/>
      </c>
      <c r="S30" s="343" t="b">
        <v>0</v>
      </c>
      <c r="U30" s="159"/>
    </row>
    <row r="31" spans="2:21" x14ac:dyDescent="0.2">
      <c r="B31" s="109" t="str">
        <f>IF(C31,"BG","")</f>
        <v/>
      </c>
      <c r="C31" s="343" t="b">
        <v>0</v>
      </c>
      <c r="D31" s="109" t="str">
        <f>IF(E31,"BG","")</f>
        <v/>
      </c>
      <c r="E31" s="343" t="b">
        <v>0</v>
      </c>
      <c r="F31" s="109" t="str">
        <f>IF(G31,"BG","")</f>
        <v/>
      </c>
      <c r="G31" s="343" t="b">
        <v>0</v>
      </c>
      <c r="H31" s="109" t="str">
        <f>IF(I31,"BG","")</f>
        <v/>
      </c>
      <c r="I31" s="343" t="b">
        <v>0</v>
      </c>
      <c r="J31" s="109" t="str">
        <f>IF(K31,"BG","")</f>
        <v/>
      </c>
      <c r="K31" s="343" t="b">
        <v>0</v>
      </c>
      <c r="L31" s="109" t="str">
        <f>IF(M31,"BG","")</f>
        <v/>
      </c>
      <c r="M31" s="343" t="b">
        <v>0</v>
      </c>
      <c r="N31" s="109" t="str">
        <f>IF(O31,"BG","")</f>
        <v/>
      </c>
      <c r="O31" s="343" t="b">
        <v>0</v>
      </c>
      <c r="P31" s="109" t="str">
        <f>IF(Q31,"BG","")</f>
        <v/>
      </c>
      <c r="Q31" s="343" t="b">
        <v>0</v>
      </c>
      <c r="R31" s="109" t="str">
        <f>IF(S31,"BG","")</f>
        <v/>
      </c>
      <c r="S31" s="343" t="b">
        <v>0</v>
      </c>
      <c r="U31" s="159"/>
    </row>
    <row r="32" spans="2:21" x14ac:dyDescent="0.2">
      <c r="B32" s="109" t="str">
        <f>IF(C32,"antiAx","")</f>
        <v/>
      </c>
      <c r="C32" s="343" t="b">
        <v>0</v>
      </c>
      <c r="D32" s="109" t="str">
        <f>IF(E32,"antiAx","")</f>
        <v/>
      </c>
      <c r="E32" s="343" t="b">
        <v>0</v>
      </c>
      <c r="F32" s="109" t="str">
        <f>IF(G32,"antiAx","")</f>
        <v/>
      </c>
      <c r="G32" s="343" t="b">
        <v>0</v>
      </c>
      <c r="H32" s="109" t="str">
        <f>IF(I32,"antiAx","")</f>
        <v/>
      </c>
      <c r="I32" s="343" t="b">
        <v>0</v>
      </c>
      <c r="J32" s="109" t="str">
        <f>IF(K32,"antiAx","")</f>
        <v/>
      </c>
      <c r="K32" s="343" t="b">
        <v>0</v>
      </c>
      <c r="L32" s="109" t="str">
        <f>IF(M32,"antiAx","")</f>
        <v/>
      </c>
      <c r="M32" s="343" t="b">
        <v>0</v>
      </c>
      <c r="N32" s="109" t="str">
        <f>IF(O32,"antiAx","")</f>
        <v/>
      </c>
      <c r="O32" s="343" t="b">
        <v>0</v>
      </c>
      <c r="P32" s="109" t="str">
        <f>IF(Q32,"antiAx","")</f>
        <v/>
      </c>
      <c r="Q32" s="343" t="b">
        <v>0</v>
      </c>
      <c r="R32" s="109" t="str">
        <f>IF(S32,"antiAx","")</f>
        <v/>
      </c>
      <c r="S32" s="343" t="b">
        <v>0</v>
      </c>
      <c r="U32" s="159"/>
    </row>
    <row r="33" spans="2:21" x14ac:dyDescent="0.2">
      <c r="B33" s="109" t="str">
        <f>IF(C33,"BNP","")</f>
        <v/>
      </c>
      <c r="C33" s="343" t="b">
        <v>0</v>
      </c>
      <c r="D33" s="109" t="str">
        <f>IF(E33,"BNP","")</f>
        <v/>
      </c>
      <c r="E33" s="343" t="b">
        <v>0</v>
      </c>
      <c r="F33" s="109" t="str">
        <f>IF(G33,"BNP","")</f>
        <v/>
      </c>
      <c r="G33" s="343" t="b">
        <v>0</v>
      </c>
      <c r="H33" s="109" t="str">
        <f>IF(I33,"BNP","")</f>
        <v/>
      </c>
      <c r="I33" s="343" t="b">
        <v>0</v>
      </c>
      <c r="J33" s="109" t="str">
        <f>IF(K33,"BNP","")</f>
        <v/>
      </c>
      <c r="K33" s="343" t="b">
        <v>0</v>
      </c>
      <c r="L33" s="109" t="str">
        <f>IF(M33,"BNP","")</f>
        <v/>
      </c>
      <c r="M33" s="343" t="b">
        <v>0</v>
      </c>
      <c r="N33" s="109" t="str">
        <f>IF(O33,"BNP","")</f>
        <v/>
      </c>
      <c r="O33" s="343" t="b">
        <v>0</v>
      </c>
      <c r="P33" s="109" t="str">
        <f>IF(Q33,"BNP","")</f>
        <v/>
      </c>
      <c r="Q33" s="343" t="b">
        <v>0</v>
      </c>
      <c r="R33" s="109" t="str">
        <f>IF(S33,"BNP","")</f>
        <v/>
      </c>
      <c r="S33" s="343" t="b">
        <v>0</v>
      </c>
      <c r="U33" s="159"/>
    </row>
    <row r="34" spans="2:21" x14ac:dyDescent="0.2">
      <c r="B34" s="109" t="str">
        <f>IF(C34,"Troponine","")</f>
        <v/>
      </c>
      <c r="C34" s="343" t="b">
        <v>0</v>
      </c>
      <c r="D34" s="109" t="str">
        <f>IF(E34,"Troponine","")</f>
        <v/>
      </c>
      <c r="E34" s="343" t="b">
        <v>0</v>
      </c>
      <c r="F34" s="109" t="str">
        <f>IF(G34,"Troponine","")</f>
        <v/>
      </c>
      <c r="G34" s="343" t="b">
        <v>0</v>
      </c>
      <c r="H34" s="109" t="str">
        <f>IF(I34,"Troponine","")</f>
        <v/>
      </c>
      <c r="I34" s="343" t="b">
        <v>0</v>
      </c>
      <c r="J34" s="109" t="str">
        <f>IF(K34,"Troponine","")</f>
        <v/>
      </c>
      <c r="K34" s="343" t="b">
        <v>0</v>
      </c>
      <c r="L34" s="109" t="str">
        <f>IF(M34,"Troponine","")</f>
        <v/>
      </c>
      <c r="M34" s="343" t="b">
        <v>0</v>
      </c>
      <c r="N34" s="109" t="str">
        <f>IF(O34,"Troponine","")</f>
        <v/>
      </c>
      <c r="O34" s="343" t="b">
        <v>0</v>
      </c>
      <c r="P34" s="109" t="str">
        <f>IF(Q34,"Troponine","")</f>
        <v/>
      </c>
      <c r="Q34" s="343" t="b">
        <v>0</v>
      </c>
      <c r="R34" s="109" t="str">
        <f>IF(S34,"Troponine","")</f>
        <v/>
      </c>
      <c r="S34" s="343" t="b">
        <v>0</v>
      </c>
      <c r="U34" s="159"/>
    </row>
    <row r="35" spans="2:21" x14ac:dyDescent="0.2">
      <c r="B35" s="109" t="str">
        <f>IF(C35,"Coombs-test","")</f>
        <v/>
      </c>
      <c r="C35" s="343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X17" sqref="X17"/>
    </sheetView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"&amp;FixPrecision(((_Pat_Gewicht/10)+6)*1.2,2)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"&amp;FixPrecision(((_Pat_Gewicht/10)+6),2)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6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6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7"/>
      <c r="F18" s="307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29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29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30"/>
      <c r="F21" s="930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7"/>
      <c r="F22" s="307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08" t="str">
        <f>CONCATENATE(FixPrecision(0.0144*(_Pat_Gewicht/10),2),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CONCATENATE(FixPrecision(7.2*(_Pat_Gewicht/10),1),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CONCATENATE(FixPrecision(0.072*(_Pat_Gewicht/10),2), " mg in 12 ml glucose 10%")</f>
        <v>0 mg in 12 ml glucose 10%</v>
      </c>
      <c r="E25" s="309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7" t="s">
        <v>71</v>
      </c>
      <c r="C27" s="313" t="s">
        <v>209</v>
      </c>
      <c r="D27" s="311" t="str">
        <f>CONCATENATE(0.1*(_Pat_Gewicht/10), " mg")</f>
        <v>0 mg</v>
      </c>
      <c r="E27" s="312" t="str">
        <f>"= "&amp;0.02*(_Pat_Gewicht/10)&amp;" ml van Midazolam 5mg/ml oplossing"</f>
        <v>= 0 ml van Midazolam 5mg/ml oplossing</v>
      </c>
      <c r="F27" s="312"/>
      <c r="G27" s="318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0"/>
      <c r="C28" s="313" t="s">
        <v>880</v>
      </c>
      <c r="D28" s="314" t="str">
        <f>CONCATENATE(20*(_Pat_Gewicht/10), " mg")</f>
        <v>0 mg</v>
      </c>
      <c r="E28" s="315" t="str">
        <f>"= "&amp;0.4*(_Pat_Gewicht/10)&amp;" ml van Fenobarbital 50mg/ml oplossing"</f>
        <v>= 0 ml van Fenobarbital 50mg/ml oplossing</v>
      </c>
      <c r="F28" s="315"/>
      <c r="G28" s="316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7" t="s">
        <v>568</v>
      </c>
      <c r="C30" s="328" t="s">
        <v>881</v>
      </c>
      <c r="D30" s="340" t="str">
        <f>CONCATENATE(0.225*(_Pat_Gewicht/10)," (mmol IV)")</f>
        <v>0 (mmol IV)</v>
      </c>
      <c r="E30" s="329" t="str">
        <f>"= "&amp;1*(_Pat_Gewicht/10)&amp;" ml IV van Calcium gluconaat 10%"</f>
        <v>= 0 ml IV van Calcium gluconaat 10%</v>
      </c>
      <c r="F30" s="329"/>
      <c r="G30" s="334"/>
      <c r="H30" s="322"/>
      <c r="I30" s="322"/>
      <c r="J30" s="338"/>
      <c r="K30" s="338"/>
      <c r="L30" s="338"/>
      <c r="M30" s="338"/>
      <c r="N30" s="338"/>
      <c r="O30" s="338"/>
      <c r="P30" s="338"/>
      <c r="Q30" s="338"/>
      <c r="R30" s="338"/>
      <c r="S30" s="338">
        <v>45</v>
      </c>
      <c r="T30" s="338">
        <v>50</v>
      </c>
      <c r="U30" s="338"/>
      <c r="V30" s="338"/>
      <c r="W30" s="338"/>
      <c r="X30" s="338"/>
      <c r="Y30" s="333"/>
      <c r="Z30" s="92"/>
    </row>
    <row r="31" spans="2:26" ht="19.5" customHeight="1" x14ac:dyDescent="0.25">
      <c r="B31" s="327"/>
      <c r="C31" s="326" t="s">
        <v>95</v>
      </c>
      <c r="D31" s="323" t="str">
        <f>CONCATENATE(0.1*(_Pat_Gewicht/10)," mg")</f>
        <v>0 mg</v>
      </c>
      <c r="E31" s="322" t="str">
        <f>"= "&amp;0.1*(_Pat_Gewicht/10)&amp;" ml van Morfine 1mg/1ml oplossing"</f>
        <v>= 0 ml van Morfine 1mg/1ml oplossing</v>
      </c>
      <c r="F31" s="322"/>
      <c r="G31" s="335"/>
      <c r="H31" s="322"/>
      <c r="I31" s="322"/>
      <c r="J31" s="339"/>
      <c r="K31" s="338"/>
      <c r="L31" s="338"/>
      <c r="M31" s="338"/>
      <c r="N31" s="338"/>
      <c r="O31" s="338"/>
      <c r="P31" s="338"/>
      <c r="Q31" s="338"/>
      <c r="R31" s="338"/>
      <c r="S31" s="338">
        <v>46</v>
      </c>
      <c r="T31" s="338">
        <v>50</v>
      </c>
      <c r="U31" s="338"/>
      <c r="V31" s="338"/>
      <c r="W31" s="338"/>
      <c r="X31" s="338"/>
      <c r="Y31" s="333"/>
    </row>
    <row r="32" spans="2:26" ht="19.5" customHeight="1" thickBot="1" x14ac:dyDescent="0.25">
      <c r="B32" s="327"/>
      <c r="C32" s="330" t="s">
        <v>601</v>
      </c>
      <c r="D32" s="331" t="str">
        <f>CONCATENATE(0.6*(_Pat_Gewicht/10)," mg")</f>
        <v>0 mg</v>
      </c>
      <c r="E32" s="332" t="str">
        <f>"= "&amp;0.06*(_Pat_Gewicht/10)&amp;" ml van Rocorium 10mg/1ml oplossing"</f>
        <v>= 0 ml van Rocorium 10mg/1ml oplossing</v>
      </c>
      <c r="F32" s="332"/>
      <c r="G32" s="336"/>
      <c r="H32" s="322"/>
      <c r="I32" s="322"/>
      <c r="J32" s="338"/>
      <c r="K32" s="338"/>
      <c r="L32" s="338"/>
      <c r="M32" s="338"/>
      <c r="N32" s="338"/>
      <c r="O32" s="338"/>
      <c r="P32" s="338"/>
      <c r="Q32" s="338"/>
      <c r="R32" s="338"/>
      <c r="S32" s="338">
        <v>47</v>
      </c>
      <c r="T32" s="338">
        <v>50</v>
      </c>
      <c r="U32" s="338"/>
      <c r="V32" s="338"/>
      <c r="W32" s="338"/>
      <c r="X32" s="338"/>
      <c r="Y32" s="333"/>
    </row>
    <row r="33" spans="2:25" ht="19.5" customHeight="1" x14ac:dyDescent="0.2">
      <c r="B33" s="321"/>
      <c r="C33" s="319"/>
      <c r="D33" s="319"/>
      <c r="E33" s="319"/>
      <c r="F33" s="319"/>
      <c r="G33" s="319"/>
      <c r="H33" s="322"/>
      <c r="I33" s="322"/>
      <c r="J33" s="338"/>
      <c r="K33" s="338"/>
      <c r="L33" s="338"/>
      <c r="M33" s="338"/>
      <c r="N33" s="338"/>
      <c r="O33" s="338"/>
      <c r="P33" s="338"/>
      <c r="Q33" s="338"/>
      <c r="R33" s="338"/>
      <c r="S33" s="338">
        <v>48</v>
      </c>
      <c r="T33" s="338">
        <v>50</v>
      </c>
      <c r="U33" s="338"/>
      <c r="V33" s="338"/>
      <c r="W33" s="338"/>
      <c r="X33" s="338"/>
      <c r="Y33" s="333"/>
    </row>
    <row r="34" spans="2:25" x14ac:dyDescent="0.2">
      <c r="B34" s="321"/>
      <c r="C34" s="322"/>
      <c r="D34" s="323"/>
      <c r="E34" s="322"/>
      <c r="F34" s="322"/>
      <c r="G34" s="337"/>
      <c r="H34" s="322"/>
      <c r="I34" s="322"/>
      <c r="J34" s="338"/>
      <c r="K34" s="338"/>
      <c r="L34" s="338"/>
      <c r="M34" s="338"/>
      <c r="N34" s="338"/>
      <c r="O34" s="338"/>
      <c r="P34" s="338"/>
      <c r="Q34" s="338"/>
      <c r="R34" s="338"/>
      <c r="S34" s="338">
        <v>49</v>
      </c>
      <c r="T34" s="338">
        <v>50</v>
      </c>
      <c r="U34" s="338"/>
      <c r="V34" s="338"/>
      <c r="W34" s="338"/>
      <c r="X34" s="338"/>
      <c r="Y34" s="333"/>
    </row>
    <row r="35" spans="2:25" x14ac:dyDescent="0.2">
      <c r="B35" s="320"/>
      <c r="C35" s="322"/>
      <c r="D35" s="322"/>
      <c r="E35" s="322"/>
      <c r="F35" s="322"/>
      <c r="G35" s="322"/>
      <c r="H35" s="322"/>
      <c r="I35" s="322"/>
      <c r="J35" s="338"/>
      <c r="K35" s="338"/>
      <c r="L35" s="338"/>
      <c r="M35" s="338"/>
      <c r="N35" s="338"/>
      <c r="O35" s="338"/>
      <c r="P35" s="338"/>
      <c r="Q35" s="338"/>
      <c r="R35" s="338"/>
      <c r="S35" s="338">
        <v>50</v>
      </c>
      <c r="T35" s="338">
        <v>50</v>
      </c>
      <c r="U35" s="338">
        <v>50</v>
      </c>
      <c r="V35" s="338"/>
      <c r="W35" s="338"/>
      <c r="X35" s="338"/>
      <c r="Y35" s="333"/>
    </row>
    <row r="36" spans="2:25" x14ac:dyDescent="0.2">
      <c r="B36" s="325" t="s">
        <v>68</v>
      </c>
      <c r="C36" s="324"/>
      <c r="D36" s="322"/>
      <c r="E36" s="322"/>
      <c r="F36" s="322"/>
      <c r="G36" s="322"/>
      <c r="H36" s="322"/>
      <c r="I36" s="322"/>
      <c r="J36" s="338"/>
      <c r="K36" s="338"/>
      <c r="L36" s="338"/>
      <c r="M36" s="338"/>
      <c r="N36" s="338"/>
      <c r="O36" s="338"/>
      <c r="P36" s="338"/>
      <c r="Q36" s="338"/>
      <c r="R36" s="338"/>
      <c r="S36" s="338">
        <v>51</v>
      </c>
      <c r="T36" s="338">
        <v>70</v>
      </c>
      <c r="U36" s="338"/>
      <c r="V36" s="338"/>
      <c r="W36" s="338"/>
      <c r="X36" s="338"/>
      <c r="Y36" s="333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19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4" t="str">
        <f>Txt_Pat_Bed</f>
        <v/>
      </c>
      <c r="L1" s="109" t="s">
        <v>401</v>
      </c>
      <c r="M1" s="932">
        <f ca="1">TODAY()</f>
        <v>42999</v>
      </c>
      <c r="N1" s="933"/>
      <c r="O1" s="624"/>
      <c r="P1" s="624"/>
      <c r="Q1" s="111">
        <f ca="1">NOW()</f>
        <v>42999.453738773147</v>
      </c>
      <c r="R1" s="111"/>
    </row>
    <row r="2" spans="1:19" ht="6.75" customHeight="1" x14ac:dyDescent="0.2"/>
    <row r="3" spans="1:19" x14ac:dyDescent="0.2">
      <c r="B3" s="112" t="s">
        <v>4916</v>
      </c>
      <c r="J3" s="109" t="s">
        <v>273</v>
      </c>
      <c r="M3" s="934">
        <f>__0_PatNum</f>
        <v>0</v>
      </c>
      <c r="N3" s="934"/>
      <c r="O3" s="625"/>
      <c r="P3" s="625"/>
      <c r="Q3" s="113"/>
    </row>
    <row r="4" spans="1:19" x14ac:dyDescent="0.2">
      <c r="B4" s="112" t="s">
        <v>4917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4918</v>
      </c>
      <c r="J5" s="109" t="s">
        <v>4919</v>
      </c>
      <c r="M5" s="935" t="str">
        <f ca="1">Txt_Pat_GeboorteDat</f>
        <v/>
      </c>
      <c r="N5" s="935"/>
      <c r="O5" s="935"/>
      <c r="P5" s="935"/>
      <c r="Q5" s="935"/>
      <c r="R5" s="935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4920</v>
      </c>
      <c r="D9" s="936" t="str">
        <f ca="1">Txt_Pat_AfspraakDat</f>
        <v>21-sep-2017</v>
      </c>
      <c r="E9" s="936"/>
      <c r="F9" s="933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/>
      </c>
      <c r="I10" s="937" t="str">
        <f ca="1">Txt_Pat_Leeftijd</f>
        <v/>
      </c>
      <c r="J10" s="933"/>
      <c r="K10" s="933"/>
      <c r="L10" s="933"/>
      <c r="M10" s="933"/>
      <c r="N10" s="933"/>
      <c r="O10" s="933"/>
      <c r="P10" s="933"/>
      <c r="Q10" s="938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4921</v>
      </c>
      <c r="G30" s="115">
        <f ca="1">IF(NeoBerInfB!B21,NeoBerInfB!C21,NeoBerInfB!AX53)</f>
        <v>0</v>
      </c>
      <c r="H30" s="109" t="s">
        <v>4922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4923</v>
      </c>
      <c r="F49" s="109" t="s">
        <v>4924</v>
      </c>
      <c r="I49" s="109" t="s">
        <v>263</v>
      </c>
      <c r="L49" s="109" t="s">
        <v>4925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29"/>
      <c r="P51" s="629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29"/>
      <c r="P52" s="629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29"/>
      <c r="P53" s="629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29"/>
      <c r="P54" s="629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29"/>
      <c r="P55" s="629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29"/>
      <c r="P56" s="629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29"/>
      <c r="P57" s="629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29"/>
      <c r="P58" s="629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29"/>
      <c r="P59" s="629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30" t="str">
        <f>NeoGuiInfB!D3</f>
        <v>Volume</v>
      </c>
      <c r="C63" s="125"/>
      <c r="D63" s="631" t="str">
        <f>NeoGuiInfB!G3</f>
        <v/>
      </c>
      <c r="E63" s="125"/>
      <c r="F63" s="125"/>
      <c r="G63" s="125"/>
      <c r="H63" s="125"/>
      <c r="I63" s="125"/>
      <c r="J63" s="630"/>
      <c r="K63" s="125"/>
      <c r="L63" s="631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31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30" t="str">
        <f>NeoGuiInfB!D5</f>
        <v>Vet</v>
      </c>
      <c r="C65" s="125"/>
      <c r="D65" s="631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30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31" t="str">
        <f>NeoGuiInfB!D6</f>
        <v>Glucose</v>
      </c>
      <c r="C66" s="125"/>
      <c r="D66" s="631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31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31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31" t="s">
        <v>89</v>
      </c>
      <c r="C69" s="931"/>
      <c r="D69" s="931"/>
      <c r="E69" s="931"/>
      <c r="F69" s="931"/>
      <c r="G69" s="931"/>
      <c r="H69" s="931"/>
      <c r="I69" s="931"/>
      <c r="J69" s="931"/>
      <c r="K69" s="931"/>
      <c r="L69" s="931"/>
      <c r="M69" s="931"/>
      <c r="N69" s="931"/>
      <c r="O69" s="931"/>
      <c r="P69" s="931"/>
      <c r="Q69" s="931"/>
      <c r="R69" s="931"/>
      <c r="S69" s="931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31" t="s">
        <v>57</v>
      </c>
      <c r="C80" s="931"/>
      <c r="D80" s="931"/>
      <c r="E80" s="931"/>
      <c r="F80" s="931"/>
      <c r="G80" s="931"/>
      <c r="H80" s="931"/>
      <c r="I80" s="931"/>
      <c r="J80" s="931"/>
      <c r="K80" s="931"/>
      <c r="L80" s="931"/>
      <c r="M80" s="931"/>
      <c r="N80" s="931"/>
      <c r="O80" s="931"/>
      <c r="P80" s="931"/>
      <c r="Q80" s="931"/>
      <c r="R80" s="931"/>
      <c r="S80" s="931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B19" sqref="B19:P42"/>
    </sheetView>
  </sheetViews>
  <sheetFormatPr defaultRowHeight="12.75" x14ac:dyDescent="0.2"/>
  <cols>
    <col min="1" max="1" width="5.7109375" style="319" customWidth="1"/>
    <col min="2" max="2" width="6.140625" style="319" customWidth="1"/>
    <col min="3" max="3" width="6.85546875" style="319" customWidth="1"/>
    <col min="4" max="4" width="5.7109375" style="319" customWidth="1"/>
    <col min="5" max="5" width="7.85546875" style="319" customWidth="1"/>
    <col min="6" max="6" width="12.7109375" style="319" customWidth="1"/>
    <col min="7" max="7" width="5.7109375" style="319" customWidth="1"/>
    <col min="8" max="8" width="6.140625" style="319" customWidth="1"/>
    <col min="9" max="9" width="6.85546875" style="319" customWidth="1"/>
    <col min="10" max="10" width="5.7109375" style="319" customWidth="1"/>
    <col min="11" max="11" width="7.85546875" style="319" customWidth="1"/>
    <col min="12" max="12" width="12.7109375" style="319" customWidth="1"/>
    <col min="13" max="13" width="5.7109375" style="319" customWidth="1"/>
    <col min="14" max="14" width="6.140625" style="319" customWidth="1"/>
    <col min="15" max="15" width="6.85546875" style="319" customWidth="1"/>
    <col min="16" max="16" width="5.7109375" style="319" customWidth="1"/>
    <col min="17" max="17" width="7.85546875" style="319" customWidth="1"/>
    <col min="18" max="16384" width="9.140625" style="319"/>
  </cols>
  <sheetData>
    <row r="1" spans="1:17" x14ac:dyDescent="0.2">
      <c r="A1" s="235" t="s">
        <v>5182</v>
      </c>
      <c r="B1" s="115" t="s">
        <v>4993</v>
      </c>
      <c r="H1" s="945" t="s">
        <v>408</v>
      </c>
      <c r="I1" s="945"/>
      <c r="J1" s="949" t="str">
        <f ca="1">DateToString(TODAY())</f>
        <v>21-sep-2017</v>
      </c>
      <c r="K1" s="949"/>
      <c r="L1" s="949"/>
      <c r="M1" s="945" t="s">
        <v>399</v>
      </c>
      <c r="N1" s="945"/>
      <c r="O1" s="945">
        <f>__1_Bed</f>
        <v>0</v>
      </c>
      <c r="P1" s="945"/>
    </row>
    <row r="2" spans="1:17" x14ac:dyDescent="0.2">
      <c r="B2" s="946" t="s">
        <v>407</v>
      </c>
      <c r="C2" s="946"/>
      <c r="D2" s="950" t="str">
        <f>__3_VoorNaam&amp;" "&amp;__2_AchterNaam</f>
        <v xml:space="preserve"> </v>
      </c>
      <c r="E2" s="950"/>
      <c r="F2" s="950"/>
      <c r="G2" s="950"/>
      <c r="H2" s="945" t="s">
        <v>411</v>
      </c>
      <c r="I2" s="945"/>
      <c r="J2" s="934" t="s">
        <v>3513</v>
      </c>
      <c r="K2" s="934"/>
      <c r="L2" s="934"/>
      <c r="M2" s="945" t="s">
        <v>409</v>
      </c>
      <c r="N2" s="945"/>
      <c r="O2" s="951">
        <f ca="1">NOW()</f>
        <v>42999.453738773147</v>
      </c>
      <c r="P2" s="951"/>
    </row>
    <row r="3" spans="1:17" x14ac:dyDescent="0.2">
      <c r="B3" s="319" t="s">
        <v>5183</v>
      </c>
      <c r="D3" s="945">
        <f>__0_PatNum</f>
        <v>0</v>
      </c>
      <c r="E3" s="945"/>
      <c r="H3" s="946" t="s">
        <v>410</v>
      </c>
      <c r="I3" s="946"/>
      <c r="J3" s="115">
        <f>(_Pat_Gewicht/10)</f>
        <v>0</v>
      </c>
      <c r="K3" s="319" t="s">
        <v>498</v>
      </c>
      <c r="L3" s="117"/>
      <c r="M3" s="945" t="s">
        <v>426</v>
      </c>
      <c r="N3" s="945"/>
      <c r="O3" s="946"/>
      <c r="P3" s="946"/>
    </row>
    <row r="4" spans="1:17" ht="9" customHeight="1" x14ac:dyDescent="0.2">
      <c r="B4" s="770" t="str">
        <f>IF(INDEX(Tbl_Neo_BerMedCont,A5,6)/10=0,"",INDEX(Tbl_Neo_BerMedCont,A5,6))</f>
        <v/>
      </c>
      <c r="C4" s="770">
        <f>INDEX(Tbl_Neo_BerMedCont,A5,4)</f>
        <v>0</v>
      </c>
      <c r="G4" s="770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69">
        <v>10</v>
      </c>
      <c r="B5" s="745"/>
      <c r="C5" s="745"/>
      <c r="D5" s="773" t="str">
        <f>INDEX(Tbl_Neo_BerMedCont,A5,10)</f>
        <v/>
      </c>
      <c r="E5" s="746"/>
      <c r="F5" s="747"/>
      <c r="G5" s="746">
        <f>IF(Var_Neo_InfB_Cont_DubbeleHoev,2*INDEX(Tbl_Neo_BerMedCont,A5,3)/10,INDEX(Tbl_Neo_BerMedCont,A5,3)/10)</f>
        <v>0</v>
      </c>
      <c r="H5" s="776" t="str">
        <f>INDEX(Tbl_Neo_BerMedCont,A5,14)</f>
        <v/>
      </c>
      <c r="I5" s="746">
        <f>INDEX(Tbl_Neo_BerMedCont,A5,11)</f>
        <v>0</v>
      </c>
      <c r="J5" s="746" t="str">
        <f>INDEX(Tbl_Neo_BerMedCont,A5,14)&amp;" = "</f>
        <v xml:space="preserve"> = </v>
      </c>
      <c r="K5" s="746">
        <f>INDEX(Tbl_Neo_BerMedCont,A5,12)</f>
        <v>0</v>
      </c>
      <c r="L5" s="746" t="s">
        <v>122</v>
      </c>
      <c r="M5" s="746"/>
      <c r="N5" s="748" t="str">
        <f>IF(B4&lt;&gt;"",IF(B4&gt;0,TRUNC((K5/I5)*G5),0),"")</f>
        <v/>
      </c>
      <c r="O5" s="749" t="str">
        <f>IF(B4&lt;&gt;"",(ROUND((K5/I5)*G5,2)-N5)*100,"")</f>
        <v/>
      </c>
      <c r="P5" s="775" t="s">
        <v>122</v>
      </c>
      <c r="Q5" s="117"/>
    </row>
    <row r="6" spans="1:17" ht="15.75" x14ac:dyDescent="0.25">
      <c r="A6" s="750"/>
      <c r="B6" s="745"/>
      <c r="C6" s="745"/>
      <c r="D6" s="751" t="e">
        <f>B4/10&amp;" ml/uur"</f>
        <v>#VALUE!</v>
      </c>
      <c r="E6" s="752"/>
      <c r="F6" s="752" t="str">
        <f>INDEX(Tbl_Neo_BerMedCont,A5,7)&amp;" "&amp;INDEX(Tbl_Neo_BerMedCont,A5,18)</f>
        <v xml:space="preserve">0 </v>
      </c>
      <c r="G6" s="752"/>
      <c r="H6" s="753"/>
      <c r="I6" s="752" t="s">
        <v>420</v>
      </c>
      <c r="J6" s="754" t="str">
        <f>INDEX(Tbl_Neo_BerMedCont,A5,16)</f>
        <v/>
      </c>
      <c r="K6" s="754"/>
      <c r="L6" s="752"/>
      <c r="M6" s="752"/>
      <c r="N6" s="755" t="str">
        <f>IF(B4&lt;&gt;"",TRUNC(N7+O7/100-N5-O5/100),"")</f>
        <v/>
      </c>
      <c r="O6" s="756" t="str">
        <f>IF(B4&lt;&gt;"",(N7+O7/100-N5-O5/100-N6)*100,"")</f>
        <v/>
      </c>
      <c r="P6" s="775" t="s">
        <v>122</v>
      </c>
      <c r="Q6" s="117"/>
    </row>
    <row r="7" spans="1:17" ht="15.75" x14ac:dyDescent="0.25">
      <c r="A7" s="201"/>
      <c r="B7" s="745"/>
      <c r="C7" s="745"/>
      <c r="D7" s="757" t="s">
        <v>427</v>
      </c>
      <c r="E7" s="758"/>
      <c r="F7" s="759" t="str">
        <f>INDEX(Tbl_Neo_BerMedCont,A5,19)</f>
        <v/>
      </c>
      <c r="G7" s="758"/>
      <c r="H7" s="758"/>
      <c r="I7" s="760"/>
      <c r="J7" s="760"/>
      <c r="K7" s="774" t="s">
        <v>86</v>
      </c>
      <c r="L7" s="760"/>
      <c r="M7" s="760"/>
      <c r="N7" s="761" t="str">
        <f>IF(B4&lt;&gt;"",IF(Var_Neo_InfB_Cont_DubbeleHoev,IF(C4&lt;25,2*TRUNC(C4),TRUNC(C4)),TRUNC(C4)),"")</f>
        <v/>
      </c>
      <c r="O7" s="762" t="str">
        <f>IF(B4&lt;&gt;"",IF(Var_Neo_InfB_Cont_DubbeleHoev,IF(C4&lt;25,(2*C4-N7)*100,(C4-N7)*100),C4-N7),"")</f>
        <v/>
      </c>
      <c r="P7" s="775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63"/>
      <c r="G8" s="166"/>
      <c r="H8" s="166"/>
      <c r="I8" s="166"/>
      <c r="J8" s="166"/>
      <c r="K8" s="167"/>
      <c r="L8" s="166"/>
      <c r="M8" s="166"/>
      <c r="N8" s="764"/>
      <c r="O8" s="765"/>
      <c r="P8" s="117"/>
      <c r="Q8" s="117"/>
    </row>
    <row r="9" spans="1:17" ht="15.75" customHeight="1" x14ac:dyDescent="0.2">
      <c r="A9" s="766"/>
      <c r="B9" s="947" t="s">
        <v>4951</v>
      </c>
      <c r="C9" s="947"/>
      <c r="D9" s="947"/>
      <c r="E9" s="947"/>
      <c r="F9" s="947"/>
      <c r="G9" s="947"/>
      <c r="H9" s="947"/>
      <c r="I9" s="947"/>
      <c r="J9" s="948" t="s">
        <v>5184</v>
      </c>
      <c r="K9" s="948"/>
      <c r="L9" s="948"/>
      <c r="M9" s="948" t="s">
        <v>4952</v>
      </c>
      <c r="N9" s="948"/>
      <c r="O9" s="948" t="s">
        <v>4953</v>
      </c>
      <c r="P9" s="948"/>
      <c r="Q9" s="117"/>
    </row>
    <row r="10" spans="1:17" ht="15.75" customHeight="1" x14ac:dyDescent="0.2">
      <c r="A10" s="766"/>
      <c r="B10" s="944" t="str">
        <f>"Product: "&amp;INDEX(Tbl_Neo_BerMedCont,A5,20)</f>
        <v xml:space="preserve">Product: </v>
      </c>
      <c r="C10" s="944"/>
      <c r="D10" s="944"/>
      <c r="E10" s="944"/>
      <c r="F10" s="944"/>
      <c r="G10" s="944"/>
      <c r="H10" s="944"/>
      <c r="I10" s="944"/>
      <c r="J10" s="944"/>
      <c r="K10" s="944"/>
      <c r="L10" s="944"/>
      <c r="M10" s="944"/>
      <c r="N10" s="944"/>
      <c r="O10" s="944"/>
      <c r="P10" s="944"/>
      <c r="Q10" s="117"/>
    </row>
    <row r="11" spans="1:17" ht="15.75" customHeight="1" x14ac:dyDescent="0.2">
      <c r="A11" s="766"/>
      <c r="B11" s="944"/>
      <c r="C11" s="944"/>
      <c r="D11" s="944"/>
      <c r="E11" s="944"/>
      <c r="F11" s="944"/>
      <c r="G11" s="944"/>
      <c r="H11" s="944"/>
      <c r="I11" s="944"/>
      <c r="J11" s="944"/>
      <c r="K11" s="944"/>
      <c r="L11" s="944"/>
      <c r="M11" s="944"/>
      <c r="N11" s="944"/>
      <c r="O11" s="944"/>
      <c r="P11" s="944"/>
      <c r="Q11" s="117"/>
    </row>
    <row r="12" spans="1:17" ht="9.9499999999999993" customHeight="1" x14ac:dyDescent="0.2">
      <c r="A12" s="766"/>
      <c r="B12" s="944"/>
      <c r="C12" s="944"/>
      <c r="D12" s="944"/>
      <c r="E12" s="944"/>
      <c r="F12" s="944"/>
      <c r="G12" s="944"/>
      <c r="H12" s="944"/>
      <c r="I12" s="944"/>
      <c r="J12" s="944"/>
      <c r="K12" s="944"/>
      <c r="L12" s="944"/>
      <c r="M12" s="944"/>
      <c r="N12" s="944"/>
      <c r="O12" s="944"/>
      <c r="P12" s="944"/>
      <c r="Q12" s="117"/>
    </row>
    <row r="13" spans="1:17" ht="15.75" customHeight="1" x14ac:dyDescent="0.2">
      <c r="A13" s="766"/>
      <c r="B13" s="944" t="str">
        <f>"Oplosmiddel: "&amp;IFERROR( VLOOKUP(J6,Tbl_Glob_ParEnt,14,FALSE),"")</f>
        <v xml:space="preserve">Oplosmiddel: </v>
      </c>
      <c r="C13" s="944"/>
      <c r="D13" s="944"/>
      <c r="E13" s="944"/>
      <c r="F13" s="944"/>
      <c r="G13" s="944"/>
      <c r="H13" s="944"/>
      <c r="I13" s="944"/>
      <c r="J13" s="944"/>
      <c r="K13" s="944"/>
      <c r="L13" s="944"/>
      <c r="M13" s="944"/>
      <c r="N13" s="944"/>
      <c r="O13" s="944"/>
      <c r="P13" s="944"/>
      <c r="Q13" s="117"/>
    </row>
    <row r="14" spans="1:17" ht="15.75" customHeight="1" x14ac:dyDescent="0.2">
      <c r="A14" s="766"/>
      <c r="B14" s="944"/>
      <c r="C14" s="944"/>
      <c r="D14" s="944"/>
      <c r="E14" s="944"/>
      <c r="F14" s="944"/>
      <c r="G14" s="944"/>
      <c r="H14" s="944"/>
      <c r="I14" s="944"/>
      <c r="J14" s="944"/>
      <c r="K14" s="944"/>
      <c r="L14" s="944"/>
      <c r="M14" s="944"/>
      <c r="N14" s="944"/>
      <c r="O14" s="944"/>
      <c r="P14" s="944"/>
      <c r="Q14" s="117"/>
    </row>
    <row r="15" spans="1:17" ht="15.75" customHeight="1" x14ac:dyDescent="0.2">
      <c r="A15" s="766"/>
      <c r="B15" s="944"/>
      <c r="C15" s="944"/>
      <c r="D15" s="944"/>
      <c r="E15" s="944"/>
      <c r="F15" s="944"/>
      <c r="G15" s="944"/>
      <c r="H15" s="944"/>
      <c r="I15" s="944"/>
      <c r="J15" s="944"/>
      <c r="K15" s="944"/>
      <c r="L15" s="944"/>
      <c r="M15" s="944"/>
      <c r="N15" s="944"/>
      <c r="O15" s="944"/>
      <c r="P15" s="944"/>
      <c r="Q15" s="117"/>
    </row>
    <row r="16" spans="1:17" ht="9.9499999999999993" customHeight="1" x14ac:dyDescent="0.2">
      <c r="A16" s="766"/>
      <c r="B16" s="632"/>
      <c r="C16" s="632"/>
      <c r="D16" s="632"/>
      <c r="E16" s="632"/>
      <c r="F16" s="632"/>
      <c r="G16" s="632"/>
      <c r="H16" s="632"/>
      <c r="I16" s="632"/>
      <c r="J16" s="632"/>
      <c r="K16" s="632"/>
      <c r="L16" s="632"/>
      <c r="M16" s="632"/>
      <c r="N16" s="632"/>
      <c r="O16" s="632"/>
      <c r="P16" s="117"/>
      <c r="Q16" s="117"/>
    </row>
    <row r="17" spans="1:17" ht="15.75" x14ac:dyDescent="0.25">
      <c r="A17" s="772" t="str">
        <f>IF(INDEX(Tbl_Neo_BerMedCont,A5,37)&lt;1,1,INDEX(Tbl_Neo_BerMedCont,A5,37))</f>
        <v/>
      </c>
      <c r="B17" s="771" t="str">
        <f>"Aantal spuiten: "&amp;A17</f>
        <v xml:space="preserve">Aantal spuiten: </v>
      </c>
      <c r="C17" s="767"/>
      <c r="D17" s="168"/>
      <c r="E17" s="168"/>
      <c r="F17" s="633"/>
      <c r="G17" s="168"/>
      <c r="H17" s="192"/>
      <c r="I17" s="168"/>
      <c r="J17" s="168"/>
      <c r="K17" s="168"/>
      <c r="L17" s="168"/>
      <c r="M17" s="168"/>
      <c r="N17" s="634"/>
      <c r="O17" s="635"/>
      <c r="P17" s="117"/>
      <c r="Q17" s="117"/>
    </row>
    <row r="18" spans="1:17" ht="15.75" x14ac:dyDescent="0.25">
      <c r="A18" s="766"/>
      <c r="B18" s="633" t="s">
        <v>4928</v>
      </c>
      <c r="C18" s="633"/>
      <c r="D18" s="168"/>
      <c r="E18" s="168"/>
      <c r="F18" s="168"/>
      <c r="G18" s="168"/>
      <c r="H18" s="192"/>
      <c r="I18" s="168"/>
      <c r="J18" s="168"/>
      <c r="K18" s="633"/>
      <c r="L18" s="168"/>
      <c r="M18" s="168"/>
      <c r="N18" s="634"/>
      <c r="O18" s="635"/>
      <c r="P18" s="117"/>
      <c r="Q18" s="117"/>
    </row>
    <row r="19" spans="1:17" ht="14.25" customHeight="1" x14ac:dyDescent="0.2">
      <c r="A19" s="766"/>
      <c r="B19" s="943" t="str">
        <f xml:space="preserve"> IF(INDEX(Tbl_Neo_BerMedCont,A5,23)="","",IF(AND(N5=0,O5&lt;10,D5&lt;&gt;"insuline"),NeoTblMedIV!B30&amp;CHAR(10)&amp;CHAR(10)&amp; INDEX(Tbl_Neo_BerMedCont,A5,23),INDEX(Tbl_Neo_BerMedCont,A5,23)))</f>
        <v/>
      </c>
      <c r="C19" s="943"/>
      <c r="D19" s="943"/>
      <c r="E19" s="943"/>
      <c r="F19" s="943"/>
      <c r="G19" s="943"/>
      <c r="H19" s="943"/>
      <c r="I19" s="943"/>
      <c r="J19" s="943"/>
      <c r="K19" s="943"/>
      <c r="L19" s="943"/>
      <c r="M19" s="943"/>
      <c r="N19" s="943"/>
      <c r="O19" s="943"/>
      <c r="P19" s="943"/>
      <c r="Q19" s="117"/>
    </row>
    <row r="20" spans="1:17" ht="9.9499999999999993" customHeight="1" x14ac:dyDescent="0.2">
      <c r="A20" s="766"/>
      <c r="B20" s="943"/>
      <c r="C20" s="943"/>
      <c r="D20" s="943"/>
      <c r="E20" s="943"/>
      <c r="F20" s="943"/>
      <c r="G20" s="943"/>
      <c r="H20" s="943"/>
      <c r="I20" s="943"/>
      <c r="J20" s="943"/>
      <c r="K20" s="943"/>
      <c r="L20" s="943"/>
      <c r="M20" s="943"/>
      <c r="N20" s="943"/>
      <c r="O20" s="943"/>
      <c r="P20" s="943"/>
      <c r="Q20" s="117"/>
    </row>
    <row r="21" spans="1:17" ht="14.25" customHeight="1" x14ac:dyDescent="0.2">
      <c r="A21" s="766"/>
      <c r="B21" s="943"/>
      <c r="C21" s="943"/>
      <c r="D21" s="943"/>
      <c r="E21" s="943"/>
      <c r="F21" s="943"/>
      <c r="G21" s="943"/>
      <c r="H21" s="943"/>
      <c r="I21" s="943"/>
      <c r="J21" s="943"/>
      <c r="K21" s="943"/>
      <c r="L21" s="943"/>
      <c r="M21" s="943"/>
      <c r="N21" s="943"/>
      <c r="O21" s="943"/>
      <c r="P21" s="943"/>
      <c r="Q21" s="117"/>
    </row>
    <row r="22" spans="1:17" ht="14.25" customHeight="1" x14ac:dyDescent="0.2">
      <c r="A22" s="766"/>
      <c r="B22" s="943"/>
      <c r="C22" s="943"/>
      <c r="D22" s="943"/>
      <c r="E22" s="943"/>
      <c r="F22" s="943"/>
      <c r="G22" s="943"/>
      <c r="H22" s="943"/>
      <c r="I22" s="943"/>
      <c r="J22" s="943"/>
      <c r="K22" s="943"/>
      <c r="L22" s="943"/>
      <c r="M22" s="943"/>
      <c r="N22" s="943"/>
      <c r="O22" s="943"/>
      <c r="P22" s="943"/>
      <c r="Q22" s="117"/>
    </row>
    <row r="23" spans="1:17" ht="14.25" customHeight="1" x14ac:dyDescent="0.2">
      <c r="A23" s="766"/>
      <c r="B23" s="943"/>
      <c r="C23" s="943"/>
      <c r="D23" s="943"/>
      <c r="E23" s="943"/>
      <c r="F23" s="943"/>
      <c r="G23" s="943"/>
      <c r="H23" s="943"/>
      <c r="I23" s="943"/>
      <c r="J23" s="943"/>
      <c r="K23" s="943"/>
      <c r="L23" s="943"/>
      <c r="M23" s="943"/>
      <c r="N23" s="943"/>
      <c r="O23" s="943"/>
      <c r="P23" s="943"/>
      <c r="Q23" s="117"/>
    </row>
    <row r="24" spans="1:17" ht="9.9499999999999993" customHeight="1" x14ac:dyDescent="0.2">
      <c r="A24" s="766"/>
      <c r="B24" s="943"/>
      <c r="C24" s="943"/>
      <c r="D24" s="943"/>
      <c r="E24" s="943"/>
      <c r="F24" s="943"/>
      <c r="G24" s="943"/>
      <c r="H24" s="943"/>
      <c r="I24" s="943"/>
      <c r="J24" s="943"/>
      <c r="K24" s="943"/>
      <c r="L24" s="943"/>
      <c r="M24" s="943"/>
      <c r="N24" s="943"/>
      <c r="O24" s="943"/>
      <c r="P24" s="943"/>
      <c r="Q24" s="117"/>
    </row>
    <row r="25" spans="1:17" ht="14.25" customHeight="1" x14ac:dyDescent="0.2">
      <c r="A25" s="766"/>
      <c r="B25" s="943"/>
      <c r="C25" s="943"/>
      <c r="D25" s="943"/>
      <c r="E25" s="943"/>
      <c r="F25" s="943"/>
      <c r="G25" s="943"/>
      <c r="H25" s="943"/>
      <c r="I25" s="943"/>
      <c r="J25" s="943"/>
      <c r="K25" s="943"/>
      <c r="L25" s="943"/>
      <c r="M25" s="943"/>
      <c r="N25" s="943"/>
      <c r="O25" s="943"/>
      <c r="P25" s="943"/>
      <c r="Q25" s="117"/>
    </row>
    <row r="26" spans="1:17" ht="14.25" customHeight="1" x14ac:dyDescent="0.2">
      <c r="A26" s="766"/>
      <c r="B26" s="943"/>
      <c r="C26" s="943"/>
      <c r="D26" s="943"/>
      <c r="E26" s="943"/>
      <c r="F26" s="943"/>
      <c r="G26" s="943"/>
      <c r="H26" s="943"/>
      <c r="I26" s="943"/>
      <c r="J26" s="943"/>
      <c r="K26" s="943"/>
      <c r="L26" s="943"/>
      <c r="M26" s="943"/>
      <c r="N26" s="943"/>
      <c r="O26" s="943"/>
      <c r="P26" s="943"/>
      <c r="Q26" s="117"/>
    </row>
    <row r="27" spans="1:17" ht="14.25" customHeight="1" x14ac:dyDescent="0.2">
      <c r="A27" s="766"/>
      <c r="B27" s="943"/>
      <c r="C27" s="943"/>
      <c r="D27" s="943"/>
      <c r="E27" s="943"/>
      <c r="F27" s="943"/>
      <c r="G27" s="943"/>
      <c r="H27" s="943"/>
      <c r="I27" s="943"/>
      <c r="J27" s="943"/>
      <c r="K27" s="943"/>
      <c r="L27" s="943"/>
      <c r="M27" s="943"/>
      <c r="N27" s="943"/>
      <c r="O27" s="943"/>
      <c r="P27" s="943"/>
      <c r="Q27" s="117"/>
    </row>
    <row r="28" spans="1:17" ht="9.9499999999999993" customHeight="1" x14ac:dyDescent="0.2">
      <c r="A28" s="766"/>
      <c r="B28" s="943"/>
      <c r="C28" s="943"/>
      <c r="D28" s="943"/>
      <c r="E28" s="943"/>
      <c r="F28" s="943"/>
      <c r="G28" s="943"/>
      <c r="H28" s="943"/>
      <c r="I28" s="943"/>
      <c r="J28" s="943"/>
      <c r="K28" s="943"/>
      <c r="L28" s="943"/>
      <c r="M28" s="943"/>
      <c r="N28" s="943"/>
      <c r="O28" s="943"/>
      <c r="P28" s="943"/>
      <c r="Q28" s="117"/>
    </row>
    <row r="29" spans="1:17" ht="14.25" customHeight="1" x14ac:dyDescent="0.2">
      <c r="A29" s="766"/>
      <c r="B29" s="943"/>
      <c r="C29" s="943"/>
      <c r="D29" s="943"/>
      <c r="E29" s="943"/>
      <c r="F29" s="943"/>
      <c r="G29" s="943"/>
      <c r="H29" s="943"/>
      <c r="I29" s="943"/>
      <c r="J29" s="943"/>
      <c r="K29" s="943"/>
      <c r="L29" s="943"/>
      <c r="M29" s="943"/>
      <c r="N29" s="943"/>
      <c r="O29" s="943"/>
      <c r="P29" s="943"/>
      <c r="Q29" s="117"/>
    </row>
    <row r="30" spans="1:17" ht="14.25" customHeight="1" x14ac:dyDescent="0.2">
      <c r="A30" s="766"/>
      <c r="B30" s="943"/>
      <c r="C30" s="943"/>
      <c r="D30" s="943"/>
      <c r="E30" s="943"/>
      <c r="F30" s="943"/>
      <c r="G30" s="943"/>
      <c r="H30" s="943"/>
      <c r="I30" s="943"/>
      <c r="J30" s="943"/>
      <c r="K30" s="943"/>
      <c r="L30" s="943"/>
      <c r="M30" s="943"/>
      <c r="N30" s="943"/>
      <c r="O30" s="943"/>
      <c r="P30" s="943"/>
      <c r="Q30" s="117"/>
    </row>
    <row r="31" spans="1:17" ht="14.25" customHeight="1" x14ac:dyDescent="0.2">
      <c r="A31" s="766"/>
      <c r="B31" s="943"/>
      <c r="C31" s="943"/>
      <c r="D31" s="943"/>
      <c r="E31" s="943"/>
      <c r="F31" s="943"/>
      <c r="G31" s="943"/>
      <c r="H31" s="943"/>
      <c r="I31" s="943"/>
      <c r="J31" s="943"/>
      <c r="K31" s="943"/>
      <c r="L31" s="943"/>
      <c r="M31" s="943"/>
      <c r="N31" s="943"/>
      <c r="O31" s="943"/>
      <c r="P31" s="943"/>
      <c r="Q31" s="117"/>
    </row>
    <row r="32" spans="1:17" ht="9.9499999999999993" customHeight="1" x14ac:dyDescent="0.2">
      <c r="A32" s="766"/>
      <c r="B32" s="943"/>
      <c r="C32" s="943"/>
      <c r="D32" s="943"/>
      <c r="E32" s="943"/>
      <c r="F32" s="943"/>
      <c r="G32" s="943"/>
      <c r="H32" s="943"/>
      <c r="I32" s="943"/>
      <c r="J32" s="943"/>
      <c r="K32" s="943"/>
      <c r="L32" s="943"/>
      <c r="M32" s="943"/>
      <c r="N32" s="943"/>
      <c r="O32" s="943"/>
      <c r="P32" s="943"/>
      <c r="Q32" s="117"/>
    </row>
    <row r="33" spans="1:17" ht="14.25" customHeight="1" x14ac:dyDescent="0.2">
      <c r="A33" s="766"/>
      <c r="B33" s="943"/>
      <c r="C33" s="943"/>
      <c r="D33" s="943"/>
      <c r="E33" s="943"/>
      <c r="F33" s="943"/>
      <c r="G33" s="943"/>
      <c r="H33" s="943"/>
      <c r="I33" s="943"/>
      <c r="J33" s="943"/>
      <c r="K33" s="943"/>
      <c r="L33" s="943"/>
      <c r="M33" s="943"/>
      <c r="N33" s="943"/>
      <c r="O33" s="943"/>
      <c r="P33" s="943"/>
      <c r="Q33" s="117"/>
    </row>
    <row r="34" spans="1:17" ht="14.25" customHeight="1" x14ac:dyDescent="0.2">
      <c r="A34" s="766"/>
      <c r="B34" s="943"/>
      <c r="C34" s="943"/>
      <c r="D34" s="943"/>
      <c r="E34" s="943"/>
      <c r="F34" s="943"/>
      <c r="G34" s="943"/>
      <c r="H34" s="943"/>
      <c r="I34" s="943"/>
      <c r="J34" s="943"/>
      <c r="K34" s="943"/>
      <c r="L34" s="943"/>
      <c r="M34" s="943"/>
      <c r="N34" s="943"/>
      <c r="O34" s="943"/>
      <c r="P34" s="943"/>
      <c r="Q34" s="117"/>
    </row>
    <row r="35" spans="1:17" ht="14.25" customHeight="1" x14ac:dyDescent="0.2">
      <c r="A35" s="766"/>
      <c r="B35" s="943"/>
      <c r="C35" s="943"/>
      <c r="D35" s="943"/>
      <c r="E35" s="943"/>
      <c r="F35" s="943"/>
      <c r="G35" s="943"/>
      <c r="H35" s="943"/>
      <c r="I35" s="943"/>
      <c r="J35" s="943"/>
      <c r="K35" s="943"/>
      <c r="L35" s="943"/>
      <c r="M35" s="943"/>
      <c r="N35" s="943"/>
      <c r="O35" s="943"/>
      <c r="P35" s="943"/>
      <c r="Q35" s="117"/>
    </row>
    <row r="36" spans="1:17" ht="9.9499999999999993" customHeight="1" x14ac:dyDescent="0.2">
      <c r="A36" s="766"/>
      <c r="B36" s="943"/>
      <c r="C36" s="943"/>
      <c r="D36" s="943"/>
      <c r="E36" s="943"/>
      <c r="F36" s="943"/>
      <c r="G36" s="943"/>
      <c r="H36" s="943"/>
      <c r="I36" s="943"/>
      <c r="J36" s="943"/>
      <c r="K36" s="943"/>
      <c r="L36" s="943"/>
      <c r="M36" s="943"/>
      <c r="N36" s="943"/>
      <c r="O36" s="943"/>
      <c r="P36" s="943"/>
      <c r="Q36" s="117"/>
    </row>
    <row r="37" spans="1:17" ht="14.25" customHeight="1" x14ac:dyDescent="0.2">
      <c r="A37" s="766"/>
      <c r="B37" s="943"/>
      <c r="C37" s="943"/>
      <c r="D37" s="943"/>
      <c r="E37" s="943"/>
      <c r="F37" s="943"/>
      <c r="G37" s="943"/>
      <c r="H37" s="943"/>
      <c r="I37" s="943"/>
      <c r="J37" s="943"/>
      <c r="K37" s="943"/>
      <c r="L37" s="943"/>
      <c r="M37" s="943"/>
      <c r="N37" s="943"/>
      <c r="O37" s="943"/>
      <c r="P37" s="943"/>
      <c r="Q37" s="117"/>
    </row>
    <row r="38" spans="1:17" ht="14.25" customHeight="1" x14ac:dyDescent="0.2">
      <c r="A38" s="766"/>
      <c r="B38" s="943"/>
      <c r="C38" s="943"/>
      <c r="D38" s="943"/>
      <c r="E38" s="943"/>
      <c r="F38" s="943"/>
      <c r="G38" s="943"/>
      <c r="H38" s="943"/>
      <c r="I38" s="943"/>
      <c r="J38" s="943"/>
      <c r="K38" s="943"/>
      <c r="L38" s="943"/>
      <c r="M38" s="943"/>
      <c r="N38" s="943"/>
      <c r="O38" s="943"/>
      <c r="P38" s="943"/>
      <c r="Q38" s="117"/>
    </row>
    <row r="39" spans="1:17" ht="14.25" customHeight="1" x14ac:dyDescent="0.2">
      <c r="A39" s="766"/>
      <c r="B39" s="943"/>
      <c r="C39" s="943"/>
      <c r="D39" s="943"/>
      <c r="E39" s="943"/>
      <c r="F39" s="943"/>
      <c r="G39" s="943"/>
      <c r="H39" s="943"/>
      <c r="I39" s="943"/>
      <c r="J39" s="943"/>
      <c r="K39" s="943"/>
      <c r="L39" s="943"/>
      <c r="M39" s="943"/>
      <c r="N39" s="943"/>
      <c r="O39" s="943"/>
      <c r="P39" s="943"/>
      <c r="Q39" s="117"/>
    </row>
    <row r="40" spans="1:17" ht="9.75" customHeight="1" x14ac:dyDescent="0.2">
      <c r="A40" s="766"/>
      <c r="B40" s="943"/>
      <c r="C40" s="943"/>
      <c r="D40" s="943"/>
      <c r="E40" s="943"/>
      <c r="F40" s="943"/>
      <c r="G40" s="943"/>
      <c r="H40" s="943"/>
      <c r="I40" s="943"/>
      <c r="J40" s="943"/>
      <c r="K40" s="943"/>
      <c r="L40" s="943"/>
      <c r="M40" s="943"/>
      <c r="N40" s="943"/>
      <c r="O40" s="943"/>
      <c r="P40" s="943"/>
      <c r="Q40" s="117"/>
    </row>
    <row r="41" spans="1:17" ht="14.25" customHeight="1" x14ac:dyDescent="0.2">
      <c r="A41" s="766"/>
      <c r="B41" s="943"/>
      <c r="C41" s="943"/>
      <c r="D41" s="943"/>
      <c r="E41" s="943"/>
      <c r="F41" s="943"/>
      <c r="G41" s="943"/>
      <c r="H41" s="943"/>
      <c r="I41" s="943"/>
      <c r="J41" s="943"/>
      <c r="K41" s="943"/>
      <c r="L41" s="943"/>
      <c r="M41" s="943"/>
      <c r="N41" s="943"/>
      <c r="O41" s="943"/>
      <c r="P41" s="943"/>
      <c r="Q41" s="117"/>
    </row>
    <row r="42" spans="1:17" ht="14.25" customHeight="1" x14ac:dyDescent="0.2">
      <c r="A42" s="766"/>
      <c r="B42" s="943"/>
      <c r="C42" s="943"/>
      <c r="D42" s="943"/>
      <c r="E42" s="943"/>
      <c r="F42" s="943"/>
      <c r="G42" s="943"/>
      <c r="H42" s="943"/>
      <c r="I42" s="943"/>
      <c r="J42" s="943"/>
      <c r="K42" s="943"/>
      <c r="L42" s="943"/>
      <c r="M42" s="943"/>
      <c r="N42" s="943"/>
      <c r="O42" s="943"/>
      <c r="P42" s="943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70">
        <v>0</v>
      </c>
      <c r="K44" s="770">
        <v>1</v>
      </c>
      <c r="Q44" s="770">
        <v>2</v>
      </c>
    </row>
    <row r="45" spans="1:17" s="158" customFormat="1" ht="12" customHeight="1" x14ac:dyDescent="0.2">
      <c r="A45" s="942">
        <f ca="1">IF(E44&lt;=$A$17,TODAY(),"")</f>
        <v>42999</v>
      </c>
      <c r="B45" s="942"/>
      <c r="C45" s="940">
        <f>IF(E44&lt;=$A$17,$O$1,"")</f>
        <v>0</v>
      </c>
      <c r="D45" s="940"/>
      <c r="F45" s="125"/>
      <c r="G45" s="942">
        <f ca="1">IF(K44&lt;=$A$17,TODAY(),"")</f>
        <v>42999</v>
      </c>
      <c r="H45" s="942"/>
      <c r="I45" s="940">
        <f>IF(K44&lt;=$A$17,$O$1,"")</f>
        <v>0</v>
      </c>
      <c r="J45" s="940"/>
      <c r="L45" s="125"/>
      <c r="M45" s="942">
        <f ca="1">IF(Q44&lt;=$A$17,TODAY(),"")</f>
        <v>42999</v>
      </c>
      <c r="N45" s="942"/>
      <c r="O45" s="940">
        <f>IF(Q44&lt;=$A$17,$O$1,"")</f>
        <v>0</v>
      </c>
      <c r="P45" s="940"/>
    </row>
    <row r="46" spans="1:17" ht="12" customHeight="1" x14ac:dyDescent="0.2">
      <c r="A46" s="934" t="str">
        <f>IF(E44&lt;=$A$17,$D$2,"")</f>
        <v xml:space="preserve"> </v>
      </c>
      <c r="B46" s="934"/>
      <c r="C46" s="934"/>
      <c r="D46" s="934"/>
      <c r="E46" s="934"/>
      <c r="F46" s="125"/>
      <c r="G46" s="934" t="str">
        <f>IF(K44&lt;=$A$17,$D$2,"")</f>
        <v xml:space="preserve"> </v>
      </c>
      <c r="H46" s="934"/>
      <c r="I46" s="934"/>
      <c r="J46" s="934"/>
      <c r="K46" s="934"/>
      <c r="L46" s="125"/>
      <c r="M46" s="934" t="str">
        <f>IF(Q44&lt;=$A$17,$D$2,"")</f>
        <v xml:space="preserve"> </v>
      </c>
      <c r="N46" s="934"/>
      <c r="O46" s="934"/>
      <c r="P46" s="934"/>
      <c r="Q46" s="934"/>
    </row>
    <row r="47" spans="1:17" ht="12" customHeight="1" x14ac:dyDescent="0.2">
      <c r="A47" s="940" t="str">
        <f>IF(E44&lt;=$A$17,$D$5&amp;" "&amp;IF(Var_Neo_InfB_Cont_DubbeleHoev,$G$5/2,$G$5)&amp;" "&amp;$H$5,"")</f>
        <v xml:space="preserve"> 0 </v>
      </c>
      <c r="B47" s="940"/>
      <c r="C47" s="940"/>
      <c r="D47" s="940"/>
      <c r="E47" s="940"/>
      <c r="F47" s="125"/>
      <c r="G47" s="940" t="str">
        <f>IF(K44&lt;=$A$17,$D$5&amp;" "&amp;IF(Var_Neo_InfB_Cont_DubbeleHoev,$G$5/2,$G$5)&amp;" "&amp;$H$5,"")</f>
        <v xml:space="preserve"> 0 </v>
      </c>
      <c r="H47" s="940"/>
      <c r="I47" s="940"/>
      <c r="J47" s="940"/>
      <c r="K47" s="940"/>
      <c r="L47" s="125"/>
      <c r="M47" s="940" t="str">
        <f>IF(Q44&lt;=$A$17,$D$5&amp;" "&amp;IF(Var_Neo_InfB_Cont_DubbeleHoev,$G$5/2,$G$5)&amp;" "&amp;$H$5,"")</f>
        <v xml:space="preserve"> 0 </v>
      </c>
      <c r="N47" s="940"/>
      <c r="O47" s="940"/>
      <c r="P47" s="940"/>
      <c r="Q47" s="940"/>
    </row>
    <row r="48" spans="1:17" ht="12" customHeight="1" x14ac:dyDescent="0.2">
      <c r="A48" s="940" t="e">
        <f>IF(E44&lt;=$A$17,$I$6&amp;" "&amp;IF(Var_Neo_InfB_Cont_DubbeleHoev,($N$7+$O$7/10)/2,$N$7+$O$7/10)&amp;" ml "&amp;$J$6&amp;" "&amp;$K$6,"")</f>
        <v>#VALUE!</v>
      </c>
      <c r="B48" s="940"/>
      <c r="C48" s="940"/>
      <c r="D48" s="941" t="str">
        <f>IF(E44&lt;=$A$17,"(12 ml extra)","")</f>
        <v>(12 ml extra)</v>
      </c>
      <c r="E48" s="941"/>
      <c r="F48" s="125"/>
      <c r="G48" s="940" t="e">
        <f>IF(K44&lt;=$A$17,$I$6&amp;" "&amp;IF(Var_Neo_InfB_Cont_DubbeleHoev,($N$7+$O$7/10)/2,$N$7+$O$7/10)&amp;" ml "&amp;$J$6&amp;" "&amp;$K$6,"")</f>
        <v>#VALUE!</v>
      </c>
      <c r="H48" s="940"/>
      <c r="I48" s="940"/>
      <c r="J48" s="941" t="str">
        <f>IF(K44&lt;=$A$17,"(12 ml extra)","")</f>
        <v>(12 ml extra)</v>
      </c>
      <c r="K48" s="941"/>
      <c r="L48" s="125"/>
      <c r="M48" s="940" t="e">
        <f>IF(Q44&lt;=$A$17,$I$6&amp;" "&amp;IF(Var_Neo_InfB_Cont_DubbeleHoev,($N$7+$O$7/10)/2,$N$7+$O$7/10)&amp;" ml "&amp;$J$6&amp;" "&amp;$K$6,"")</f>
        <v>#VALUE!</v>
      </c>
      <c r="N48" s="940"/>
      <c r="O48" s="940"/>
      <c r="P48" s="941" t="str">
        <f>IF(Q44&lt;=$A$17,"(12 ml extra)","")</f>
        <v>(12 ml extra)</v>
      </c>
      <c r="Q48" s="941"/>
    </row>
    <row r="49" spans="1:17" ht="12" customHeight="1" x14ac:dyDescent="0.2">
      <c r="A49" s="940" t="e">
        <f>IF(E44&lt;=$A$17,$D$6,"")</f>
        <v>#VALUE!</v>
      </c>
      <c r="B49" s="940"/>
      <c r="C49" s="941" t="str">
        <f>IF(E44&lt;=$A$17,$F$6,"")</f>
        <v xml:space="preserve">0 </v>
      </c>
      <c r="D49" s="941"/>
      <c r="E49" s="941"/>
      <c r="F49" s="125"/>
      <c r="G49" s="940" t="e">
        <f>IF(K44&lt;=$A$17,$D$6,"")</f>
        <v>#VALUE!</v>
      </c>
      <c r="H49" s="940"/>
      <c r="I49" s="941" t="str">
        <f>IF(K44&lt;=$A$17,$F$6,"")</f>
        <v xml:space="preserve">0 </v>
      </c>
      <c r="J49" s="941"/>
      <c r="K49" s="941"/>
      <c r="L49" s="125"/>
      <c r="M49" s="940" t="e">
        <f>IF(Q44&lt;=$A$17,$D$6,"")</f>
        <v>#VALUE!</v>
      </c>
      <c r="N49" s="940"/>
      <c r="O49" s="941" t="str">
        <f>IF(Q44&lt;=$A$17,$F$6,"")</f>
        <v xml:space="preserve">0 </v>
      </c>
      <c r="P49" s="941"/>
      <c r="Q49" s="941"/>
    </row>
    <row r="50" spans="1:17" ht="12" customHeight="1" x14ac:dyDescent="0.2">
      <c r="A50" s="125"/>
      <c r="B50" s="125"/>
      <c r="C50" s="125" t="str">
        <f>IF(E44&lt;=$A$17,"Exp:","")</f>
        <v>Exp:</v>
      </c>
      <c r="D50" s="939">
        <f ca="1">IF(E44&lt;=$A$17,TODAY()+1,"")</f>
        <v>43000</v>
      </c>
      <c r="E50" s="939"/>
      <c r="F50" s="125"/>
      <c r="G50" s="125"/>
      <c r="H50" s="125"/>
      <c r="I50" s="125" t="str">
        <f>IF(K44&lt;=$A$17,"Exp:","")</f>
        <v>Exp:</v>
      </c>
      <c r="J50" s="939">
        <f ca="1">IF(K44&lt;=$A$17,TODAY()+1,"")</f>
        <v>43000</v>
      </c>
      <c r="K50" s="939"/>
      <c r="L50" s="768"/>
      <c r="M50" s="125"/>
      <c r="N50" s="125"/>
      <c r="O50" s="125" t="str">
        <f>IF(Q44&lt;=$A$17,"Exp:","")</f>
        <v>Exp:</v>
      </c>
      <c r="P50" s="939">
        <f ca="1">IF(Q44&lt;=$A$17,TODAY()+1,"")</f>
        <v>43000</v>
      </c>
      <c r="Q50" s="939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70">
        <v>3</v>
      </c>
      <c r="F55" s="125"/>
      <c r="G55" s="125"/>
      <c r="H55" s="125"/>
      <c r="I55" s="125"/>
      <c r="J55" s="125"/>
      <c r="K55" s="770">
        <v>4</v>
      </c>
      <c r="L55" s="125"/>
      <c r="M55" s="125"/>
      <c r="N55" s="125"/>
      <c r="O55" s="125"/>
      <c r="P55" s="125"/>
      <c r="Q55" s="770">
        <v>5</v>
      </c>
    </row>
    <row r="56" spans="1:17" ht="12" customHeight="1" x14ac:dyDescent="0.2">
      <c r="A56" s="942">
        <f ca="1">IF(E55&lt;=$A$17,TODAY(),"")</f>
        <v>42999</v>
      </c>
      <c r="B56" s="942"/>
      <c r="C56" s="940">
        <f>IF(E55&lt;=$A$17,$O$1,"")</f>
        <v>0</v>
      </c>
      <c r="D56" s="940"/>
      <c r="F56" s="125"/>
      <c r="G56" s="942">
        <f ca="1">IF(K55&lt;=$A$17,TODAY(),"")</f>
        <v>42999</v>
      </c>
      <c r="H56" s="942"/>
      <c r="I56" s="940">
        <f>IF(K55&lt;=$A$17,$O$1,"")</f>
        <v>0</v>
      </c>
      <c r="J56" s="940"/>
      <c r="L56" s="125"/>
      <c r="M56" s="942">
        <f ca="1">IF(Q55&lt;=$A$17,TODAY(),"")</f>
        <v>42999</v>
      </c>
      <c r="N56" s="942"/>
      <c r="O56" s="940">
        <f>IF(Q55&lt;=$A$17,$O$1,"")</f>
        <v>0</v>
      </c>
      <c r="P56" s="940"/>
    </row>
    <row r="57" spans="1:17" ht="12" customHeight="1" x14ac:dyDescent="0.2">
      <c r="A57" s="934" t="str">
        <f>IF(E55&lt;=$A$17,$D$2,"")</f>
        <v xml:space="preserve"> </v>
      </c>
      <c r="B57" s="934"/>
      <c r="C57" s="934"/>
      <c r="D57" s="934"/>
      <c r="E57" s="934"/>
      <c r="F57" s="125"/>
      <c r="G57" s="934" t="str">
        <f>IF(K55&lt;=$A$17,$D$2,"")</f>
        <v xml:space="preserve"> </v>
      </c>
      <c r="H57" s="934"/>
      <c r="I57" s="934"/>
      <c r="J57" s="934"/>
      <c r="K57" s="934"/>
      <c r="L57" s="125"/>
      <c r="M57" s="934" t="str">
        <f>IF(Q55&lt;=$A$17,$D$2,"")</f>
        <v xml:space="preserve"> </v>
      </c>
      <c r="N57" s="934"/>
      <c r="O57" s="934"/>
      <c r="P57" s="934"/>
      <c r="Q57" s="934"/>
    </row>
    <row r="58" spans="1:17" ht="12" customHeight="1" x14ac:dyDescent="0.2">
      <c r="A58" s="940" t="str">
        <f>IF(E55&lt;=$A$17,$D$5&amp;" "&amp;IF(Var_Neo_InfB_Cont_DubbeleHoev,$G$5/2,$G$5)&amp;" "&amp;$H$5,"")</f>
        <v xml:space="preserve"> 0 </v>
      </c>
      <c r="B58" s="940"/>
      <c r="C58" s="940"/>
      <c r="D58" s="940"/>
      <c r="E58" s="940"/>
      <c r="F58" s="125"/>
      <c r="G58" s="940" t="str">
        <f>IF(K55&lt;=$A$17,$D$5&amp;" "&amp;IF(Var_Neo_InfB_Cont_DubbeleHoev,$G$5/2,$G$5)&amp;" "&amp;$H$5,"")</f>
        <v xml:space="preserve"> 0 </v>
      </c>
      <c r="H58" s="940"/>
      <c r="I58" s="940"/>
      <c r="J58" s="940"/>
      <c r="K58" s="940"/>
      <c r="L58" s="125"/>
      <c r="M58" s="940" t="str">
        <f>IF(Q55&lt;=$A$17,$D$5&amp;" "&amp;IF(Var_Neo_InfB_Cont_DubbeleHoev,$G$5/2,$G$5)&amp;" "&amp;$H$5,"")</f>
        <v xml:space="preserve"> 0 </v>
      </c>
      <c r="N58" s="940"/>
      <c r="O58" s="940"/>
      <c r="P58" s="940"/>
      <c r="Q58" s="940"/>
    </row>
    <row r="59" spans="1:17" ht="12" customHeight="1" x14ac:dyDescent="0.2">
      <c r="A59" s="940" t="e">
        <f>IF(E55&lt;=$A$17,$I$6&amp;" "&amp;IF(Var_Neo_InfB_Cont_DubbeleHoev,($N$7+$O$7/10)/2,$N$7+$O$7/10)&amp;" ml "&amp;$J$6&amp;" "&amp;$K$6,"")</f>
        <v>#VALUE!</v>
      </c>
      <c r="B59" s="940"/>
      <c r="C59" s="940"/>
      <c r="D59" s="941" t="str">
        <f>IF(E55&lt;=$A$17,"(12 ml extra)","")</f>
        <v>(12 ml extra)</v>
      </c>
      <c r="E59" s="941"/>
      <c r="F59" s="125"/>
      <c r="G59" s="940" t="e">
        <f>IF(K55&lt;=$A$17,$I$6&amp;" "&amp;IF(Var_Neo_InfB_Cont_DubbeleHoev,($N$7+$O$7/10)/2,$N$7+$O$7/10)&amp;" ml "&amp;$J$6&amp;" "&amp;$K$6,"")</f>
        <v>#VALUE!</v>
      </c>
      <c r="H59" s="940"/>
      <c r="I59" s="940"/>
      <c r="J59" s="941" t="str">
        <f>IF(K55&lt;=$A$17,"(12 ml extra)","")</f>
        <v>(12 ml extra)</v>
      </c>
      <c r="K59" s="941"/>
      <c r="L59" s="125"/>
      <c r="M59" s="940" t="e">
        <f>IF(Q55&lt;=$A$17,$I$6&amp;" "&amp;IF(Var_Neo_InfB_Cont_DubbeleHoev,($N$7+$O$7/10)/2,$N$7+$O$7/10)&amp;" ml "&amp;$J$6&amp;" "&amp;$K$6,"")</f>
        <v>#VALUE!</v>
      </c>
      <c r="N59" s="940"/>
      <c r="O59" s="940"/>
      <c r="P59" s="941" t="str">
        <f>IF(Q55&lt;=$A$17,"(12 ml extra)","")</f>
        <v>(12 ml extra)</v>
      </c>
      <c r="Q59" s="941"/>
    </row>
    <row r="60" spans="1:17" ht="12" customHeight="1" x14ac:dyDescent="0.2">
      <c r="A60" s="940" t="e">
        <f>IF(E55&lt;=$A$17,$D$6,"")</f>
        <v>#VALUE!</v>
      </c>
      <c r="B60" s="940"/>
      <c r="C60" s="941" t="str">
        <f>IF(E55&lt;=$A$17,$F$6,"")</f>
        <v xml:space="preserve">0 </v>
      </c>
      <c r="D60" s="941"/>
      <c r="E60" s="941"/>
      <c r="F60" s="125"/>
      <c r="G60" s="940" t="e">
        <f>IF(K55&lt;=$A$17,$D$6,"")</f>
        <v>#VALUE!</v>
      </c>
      <c r="H60" s="940"/>
      <c r="I60" s="941" t="str">
        <f>IF(K55&lt;=$A$17,$F$6,"")</f>
        <v xml:space="preserve">0 </v>
      </c>
      <c r="J60" s="941"/>
      <c r="K60" s="941"/>
      <c r="L60" s="125"/>
      <c r="M60" s="940" t="e">
        <f>IF(Q55&lt;=$A$17,$D$6,"")</f>
        <v>#VALUE!</v>
      </c>
      <c r="N60" s="940"/>
      <c r="O60" s="941" t="str">
        <f>IF(Q55&lt;=$A$17,$F$6,"")</f>
        <v xml:space="preserve">0 </v>
      </c>
      <c r="P60" s="941"/>
      <c r="Q60" s="941"/>
    </row>
    <row r="61" spans="1:17" ht="12" customHeight="1" x14ac:dyDescent="0.2">
      <c r="A61" s="940"/>
      <c r="B61" s="940"/>
      <c r="C61" s="125" t="str">
        <f>IF(E55&lt;=$A$17,"Exp:","")</f>
        <v>Exp:</v>
      </c>
      <c r="D61" s="939">
        <f ca="1">IF(E55&lt;=$A$17,TODAY()+1,"")</f>
        <v>43000</v>
      </c>
      <c r="E61" s="939"/>
      <c r="F61" s="768"/>
      <c r="G61" s="940"/>
      <c r="H61" s="940"/>
      <c r="I61" s="125" t="str">
        <f>IF(K55&lt;=$A$17,"Exp:","")</f>
        <v>Exp:</v>
      </c>
      <c r="J61" s="939">
        <f ca="1">IF(K55&lt;=$A$17,TODAY()+1,"")</f>
        <v>43000</v>
      </c>
      <c r="K61" s="939"/>
      <c r="L61" s="768"/>
      <c r="M61" s="940"/>
      <c r="N61" s="940"/>
      <c r="O61" s="125" t="str">
        <f>IF(Q55&lt;=$A$17,"Exp:","")</f>
        <v>Exp:</v>
      </c>
      <c r="P61" s="939">
        <f ca="1">IF(Q55&lt;=$A$17,TODAY()+1,"")</f>
        <v>43000</v>
      </c>
      <c r="Q61" s="939"/>
    </row>
  </sheetData>
  <mergeCells count="84"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  <mergeCell ref="D3:E3"/>
    <mergeCell ref="H3:I3"/>
    <mergeCell ref="M3:N3"/>
    <mergeCell ref="O3:P3"/>
    <mergeCell ref="B9:I9"/>
    <mergeCell ref="J9:L9"/>
    <mergeCell ref="M9:N9"/>
    <mergeCell ref="O9:P9"/>
    <mergeCell ref="B10:I12"/>
    <mergeCell ref="J10:L12"/>
    <mergeCell ref="M10:N12"/>
    <mergeCell ref="O10:P12"/>
    <mergeCell ref="B13:I15"/>
    <mergeCell ref="J13:L15"/>
    <mergeCell ref="M13:N15"/>
    <mergeCell ref="O13:P15"/>
    <mergeCell ref="B19:P42"/>
    <mergeCell ref="A45:B45"/>
    <mergeCell ref="C45:D45"/>
    <mergeCell ref="G45:H45"/>
    <mergeCell ref="I45:J45"/>
    <mergeCell ref="M45:N45"/>
    <mergeCell ref="O45:P45"/>
    <mergeCell ref="A46:E46"/>
    <mergeCell ref="G46:K46"/>
    <mergeCell ref="M46:Q46"/>
    <mergeCell ref="A47:E47"/>
    <mergeCell ref="G47:K47"/>
    <mergeCell ref="M47:Q47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73" customWidth="1"/>
    <col min="23" max="32" width="2.7109375" style="568" customWidth="1"/>
    <col min="33" max="16384" width="9.140625" style="208"/>
  </cols>
  <sheetData>
    <row r="1" spans="1:32" x14ac:dyDescent="0.2">
      <c r="G1" s="573">
        <v>27</v>
      </c>
      <c r="H1" s="573">
        <v>28</v>
      </c>
      <c r="I1" s="573">
        <v>29</v>
      </c>
      <c r="J1" s="573">
        <v>30</v>
      </c>
      <c r="K1" s="573">
        <v>31</v>
      </c>
      <c r="L1" s="573">
        <v>32</v>
      </c>
      <c r="M1" s="573">
        <v>33</v>
      </c>
      <c r="N1" s="573">
        <v>34</v>
      </c>
      <c r="O1" s="573">
        <v>35</v>
      </c>
      <c r="P1" s="573">
        <v>36</v>
      </c>
      <c r="Q1" s="573">
        <v>37</v>
      </c>
      <c r="R1" s="573">
        <v>38</v>
      </c>
      <c r="S1" s="573">
        <v>39</v>
      </c>
      <c r="T1" s="573">
        <v>40</v>
      </c>
      <c r="U1" s="573">
        <v>41</v>
      </c>
      <c r="V1" s="573">
        <v>42</v>
      </c>
      <c r="W1" s="573">
        <v>43</v>
      </c>
      <c r="X1" s="573">
        <v>44</v>
      </c>
      <c r="Y1" s="573">
        <v>45</v>
      </c>
      <c r="Z1" s="573">
        <v>46</v>
      </c>
      <c r="AA1" s="573">
        <v>47</v>
      </c>
      <c r="AB1" s="573">
        <v>48</v>
      </c>
      <c r="AC1" s="573">
        <v>49</v>
      </c>
      <c r="AD1" s="573">
        <v>50</v>
      </c>
      <c r="AE1" s="573"/>
      <c r="AF1" s="573"/>
    </row>
    <row r="2" spans="1:32" ht="19.5" customHeight="1" thickBot="1" x14ac:dyDescent="0.25">
      <c r="A2" s="236"/>
      <c r="B2" s="208" t="str">
        <f>Txt_Pat_FullName</f>
        <v/>
      </c>
      <c r="E2" s="860" t="str">
        <f ca="1">Txt_Pat_GeboorteDat</f>
        <v/>
      </c>
      <c r="F2" s="860"/>
      <c r="G2" s="267" t="str">
        <f>Txt_Pat_Gewicht</f>
        <v>Gewicht:</v>
      </c>
      <c r="H2" s="574"/>
      <c r="O2" s="574" t="s">
        <v>138</v>
      </c>
      <c r="Q2" s="858"/>
      <c r="R2" s="858"/>
      <c r="S2" s="858"/>
      <c r="T2" s="858"/>
      <c r="U2" s="858"/>
      <c r="V2" s="858"/>
      <c r="X2" s="568" t="s">
        <v>235</v>
      </c>
      <c r="AA2" s="859">
        <f ca="1">TODAY()</f>
        <v>42999</v>
      </c>
      <c r="AB2" s="859"/>
      <c r="AC2" s="859"/>
      <c r="AD2" s="859"/>
      <c r="AE2" s="859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75">
        <v>9</v>
      </c>
      <c r="H3" s="575">
        <v>10</v>
      </c>
      <c r="I3" s="575">
        <v>11</v>
      </c>
      <c r="J3" s="575">
        <v>12</v>
      </c>
      <c r="K3" s="575">
        <v>13</v>
      </c>
      <c r="L3" s="575">
        <v>14</v>
      </c>
      <c r="M3" s="575">
        <v>15</v>
      </c>
      <c r="N3" s="575">
        <v>16</v>
      </c>
      <c r="O3" s="575">
        <v>17</v>
      </c>
      <c r="P3" s="575">
        <v>18</v>
      </c>
      <c r="Q3" s="576">
        <v>19</v>
      </c>
      <c r="R3" s="576">
        <v>20</v>
      </c>
      <c r="S3" s="576">
        <v>21</v>
      </c>
      <c r="T3" s="576">
        <v>22</v>
      </c>
      <c r="U3" s="576">
        <v>23</v>
      </c>
      <c r="V3" s="576">
        <v>24</v>
      </c>
      <c r="W3" s="575">
        <v>1</v>
      </c>
      <c r="X3" s="575">
        <v>2</v>
      </c>
      <c r="Y3" s="575">
        <v>3</v>
      </c>
      <c r="Z3" s="575">
        <v>4</v>
      </c>
      <c r="AA3" s="575">
        <v>5</v>
      </c>
      <c r="AB3" s="575">
        <v>6</v>
      </c>
      <c r="AC3" s="575">
        <v>7</v>
      </c>
      <c r="AD3" s="579">
        <v>8</v>
      </c>
      <c r="AE3" s="579"/>
      <c r="AF3" s="579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78" t="str">
        <f t="shared" ref="G4:P13" si="0">IF($C4="","",IF(VLOOKUP($C4,Tbl_Glob_MedFreq,G$1,FALSE)=0,"",VLOOKUP($C4,Tbl_Glob_MedFreq,G$1,FALSE)))</f>
        <v/>
      </c>
      <c r="H4" s="570" t="str">
        <f t="shared" si="0"/>
        <v/>
      </c>
      <c r="I4" s="578" t="str">
        <f t="shared" si="0"/>
        <v/>
      </c>
      <c r="J4" s="570" t="str">
        <f t="shared" si="0"/>
        <v/>
      </c>
      <c r="K4" s="578" t="str">
        <f t="shared" si="0"/>
        <v/>
      </c>
      <c r="L4" s="570" t="str">
        <f t="shared" si="0"/>
        <v/>
      </c>
      <c r="M4" s="578" t="str">
        <f t="shared" si="0"/>
        <v/>
      </c>
      <c r="N4" s="570" t="str">
        <f t="shared" si="0"/>
        <v/>
      </c>
      <c r="O4" s="578" t="str">
        <f t="shared" si="0"/>
        <v/>
      </c>
      <c r="P4" s="570" t="str">
        <f t="shared" si="0"/>
        <v/>
      </c>
      <c r="Q4" s="578" t="str">
        <f t="shared" ref="Q4:AD13" si="1">IF($C4="","",IF(VLOOKUP($C4,Tbl_Glob_MedFreq,Q$1,FALSE)=0,"",VLOOKUP($C4,Tbl_Glob_MedFreq,Q$1,FALSE)))</f>
        <v/>
      </c>
      <c r="R4" s="570" t="str">
        <f t="shared" si="1"/>
        <v/>
      </c>
      <c r="S4" s="578" t="str">
        <f t="shared" si="1"/>
        <v/>
      </c>
      <c r="T4" s="570" t="str">
        <f t="shared" si="1"/>
        <v/>
      </c>
      <c r="U4" s="578" t="str">
        <f t="shared" si="1"/>
        <v/>
      </c>
      <c r="V4" s="570" t="str">
        <f t="shared" si="1"/>
        <v/>
      </c>
      <c r="W4" s="578" t="str">
        <f t="shared" si="1"/>
        <v/>
      </c>
      <c r="X4" s="570" t="str">
        <f t="shared" si="1"/>
        <v/>
      </c>
      <c r="Y4" s="578" t="str">
        <f t="shared" si="1"/>
        <v/>
      </c>
      <c r="Z4" s="570" t="str">
        <f t="shared" si="1"/>
        <v/>
      </c>
      <c r="AA4" s="578" t="str">
        <f t="shared" si="1"/>
        <v/>
      </c>
      <c r="AB4" s="570" t="str">
        <f t="shared" si="1"/>
        <v/>
      </c>
      <c r="AC4" s="578" t="str">
        <f t="shared" si="1"/>
        <v/>
      </c>
      <c r="AD4" s="570" t="str">
        <f t="shared" si="1"/>
        <v/>
      </c>
      <c r="AE4" s="578"/>
      <c r="AF4" s="570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78" t="str">
        <f t="shared" si="0"/>
        <v/>
      </c>
      <c r="H5" s="570" t="str">
        <f t="shared" si="0"/>
        <v/>
      </c>
      <c r="I5" s="578" t="str">
        <f t="shared" si="0"/>
        <v/>
      </c>
      <c r="J5" s="570" t="str">
        <f t="shared" si="0"/>
        <v/>
      </c>
      <c r="K5" s="578" t="str">
        <f t="shared" si="0"/>
        <v/>
      </c>
      <c r="L5" s="570" t="str">
        <f t="shared" si="0"/>
        <v/>
      </c>
      <c r="M5" s="578" t="str">
        <f t="shared" si="0"/>
        <v/>
      </c>
      <c r="N5" s="570" t="str">
        <f t="shared" si="0"/>
        <v/>
      </c>
      <c r="O5" s="578" t="str">
        <f t="shared" si="0"/>
        <v/>
      </c>
      <c r="P5" s="570" t="str">
        <f t="shared" si="0"/>
        <v/>
      </c>
      <c r="Q5" s="578" t="str">
        <f t="shared" si="1"/>
        <v/>
      </c>
      <c r="R5" s="570" t="str">
        <f t="shared" si="1"/>
        <v/>
      </c>
      <c r="S5" s="578" t="str">
        <f t="shared" si="1"/>
        <v/>
      </c>
      <c r="T5" s="570" t="str">
        <f t="shared" si="1"/>
        <v/>
      </c>
      <c r="U5" s="578" t="str">
        <f t="shared" si="1"/>
        <v/>
      </c>
      <c r="V5" s="570" t="str">
        <f t="shared" si="1"/>
        <v/>
      </c>
      <c r="W5" s="578" t="str">
        <f t="shared" si="1"/>
        <v/>
      </c>
      <c r="X5" s="570" t="str">
        <f t="shared" si="1"/>
        <v/>
      </c>
      <c r="Y5" s="578" t="str">
        <f t="shared" si="1"/>
        <v/>
      </c>
      <c r="Z5" s="570" t="str">
        <f t="shared" si="1"/>
        <v/>
      </c>
      <c r="AA5" s="578" t="str">
        <f t="shared" si="1"/>
        <v/>
      </c>
      <c r="AB5" s="570" t="str">
        <f t="shared" si="1"/>
        <v/>
      </c>
      <c r="AC5" s="578" t="str">
        <f t="shared" si="1"/>
        <v/>
      </c>
      <c r="AD5" s="570" t="str">
        <f t="shared" si="1"/>
        <v/>
      </c>
      <c r="AE5" s="578"/>
      <c r="AF5" s="570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78" t="str">
        <f t="shared" si="0"/>
        <v/>
      </c>
      <c r="H6" s="570" t="str">
        <f t="shared" si="0"/>
        <v/>
      </c>
      <c r="I6" s="578" t="str">
        <f t="shared" si="0"/>
        <v/>
      </c>
      <c r="J6" s="570" t="str">
        <f t="shared" si="0"/>
        <v/>
      </c>
      <c r="K6" s="578" t="str">
        <f t="shared" si="0"/>
        <v/>
      </c>
      <c r="L6" s="570" t="str">
        <f t="shared" si="0"/>
        <v/>
      </c>
      <c r="M6" s="578" t="str">
        <f t="shared" si="0"/>
        <v/>
      </c>
      <c r="N6" s="570" t="str">
        <f t="shared" si="0"/>
        <v/>
      </c>
      <c r="O6" s="578" t="str">
        <f t="shared" si="0"/>
        <v/>
      </c>
      <c r="P6" s="570" t="str">
        <f t="shared" si="0"/>
        <v/>
      </c>
      <c r="Q6" s="578" t="str">
        <f t="shared" si="1"/>
        <v/>
      </c>
      <c r="R6" s="570" t="str">
        <f t="shared" si="1"/>
        <v/>
      </c>
      <c r="S6" s="578" t="str">
        <f t="shared" si="1"/>
        <v/>
      </c>
      <c r="T6" s="570" t="str">
        <f t="shared" si="1"/>
        <v/>
      </c>
      <c r="U6" s="578" t="str">
        <f t="shared" si="1"/>
        <v/>
      </c>
      <c r="V6" s="570" t="str">
        <f t="shared" si="1"/>
        <v/>
      </c>
      <c r="W6" s="578" t="str">
        <f t="shared" si="1"/>
        <v/>
      </c>
      <c r="X6" s="570" t="str">
        <f t="shared" si="1"/>
        <v/>
      </c>
      <c r="Y6" s="578" t="str">
        <f t="shared" si="1"/>
        <v/>
      </c>
      <c r="Z6" s="570" t="str">
        <f t="shared" si="1"/>
        <v/>
      </c>
      <c r="AA6" s="578" t="str">
        <f t="shared" si="1"/>
        <v/>
      </c>
      <c r="AB6" s="570" t="str">
        <f t="shared" si="1"/>
        <v/>
      </c>
      <c r="AC6" s="578" t="str">
        <f t="shared" si="1"/>
        <v/>
      </c>
      <c r="AD6" s="570" t="str">
        <f t="shared" si="1"/>
        <v/>
      </c>
      <c r="AE6" s="578"/>
      <c r="AF6" s="570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78" t="str">
        <f t="shared" si="0"/>
        <v/>
      </c>
      <c r="H7" s="570" t="str">
        <f t="shared" si="0"/>
        <v/>
      </c>
      <c r="I7" s="578" t="str">
        <f t="shared" si="0"/>
        <v/>
      </c>
      <c r="J7" s="570" t="str">
        <f t="shared" si="0"/>
        <v/>
      </c>
      <c r="K7" s="578" t="str">
        <f t="shared" si="0"/>
        <v/>
      </c>
      <c r="L7" s="570" t="str">
        <f t="shared" si="0"/>
        <v/>
      </c>
      <c r="M7" s="578" t="str">
        <f t="shared" si="0"/>
        <v/>
      </c>
      <c r="N7" s="570" t="str">
        <f t="shared" si="0"/>
        <v/>
      </c>
      <c r="O7" s="578" t="str">
        <f t="shared" si="0"/>
        <v/>
      </c>
      <c r="P7" s="570" t="str">
        <f t="shared" si="0"/>
        <v/>
      </c>
      <c r="Q7" s="578" t="str">
        <f t="shared" si="1"/>
        <v/>
      </c>
      <c r="R7" s="570" t="str">
        <f t="shared" si="1"/>
        <v/>
      </c>
      <c r="S7" s="578" t="str">
        <f t="shared" si="1"/>
        <v/>
      </c>
      <c r="T7" s="570" t="str">
        <f t="shared" si="1"/>
        <v/>
      </c>
      <c r="U7" s="578" t="str">
        <f t="shared" si="1"/>
        <v/>
      </c>
      <c r="V7" s="570" t="str">
        <f t="shared" si="1"/>
        <v/>
      </c>
      <c r="W7" s="578" t="str">
        <f t="shared" si="1"/>
        <v/>
      </c>
      <c r="X7" s="570" t="str">
        <f t="shared" si="1"/>
        <v/>
      </c>
      <c r="Y7" s="578" t="str">
        <f t="shared" si="1"/>
        <v/>
      </c>
      <c r="Z7" s="570" t="str">
        <f t="shared" si="1"/>
        <v/>
      </c>
      <c r="AA7" s="578" t="str">
        <f t="shared" si="1"/>
        <v/>
      </c>
      <c r="AB7" s="570" t="str">
        <f t="shared" si="1"/>
        <v/>
      </c>
      <c r="AC7" s="578" t="str">
        <f t="shared" si="1"/>
        <v/>
      </c>
      <c r="AD7" s="570" t="str">
        <f t="shared" si="1"/>
        <v/>
      </c>
      <c r="AE7" s="578"/>
      <c r="AF7" s="570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78" t="str">
        <f t="shared" si="0"/>
        <v/>
      </c>
      <c r="H8" s="570" t="str">
        <f t="shared" si="0"/>
        <v/>
      </c>
      <c r="I8" s="578" t="str">
        <f t="shared" si="0"/>
        <v/>
      </c>
      <c r="J8" s="570" t="str">
        <f t="shared" si="0"/>
        <v/>
      </c>
      <c r="K8" s="578" t="str">
        <f t="shared" si="0"/>
        <v/>
      </c>
      <c r="L8" s="570" t="str">
        <f t="shared" si="0"/>
        <v/>
      </c>
      <c r="M8" s="578" t="str">
        <f t="shared" si="0"/>
        <v/>
      </c>
      <c r="N8" s="570" t="str">
        <f t="shared" si="0"/>
        <v/>
      </c>
      <c r="O8" s="578" t="str">
        <f t="shared" si="0"/>
        <v/>
      </c>
      <c r="P8" s="570" t="str">
        <f t="shared" si="0"/>
        <v/>
      </c>
      <c r="Q8" s="578" t="str">
        <f t="shared" si="1"/>
        <v/>
      </c>
      <c r="R8" s="570" t="str">
        <f t="shared" si="1"/>
        <v/>
      </c>
      <c r="S8" s="578" t="str">
        <f t="shared" si="1"/>
        <v/>
      </c>
      <c r="T8" s="570" t="str">
        <f t="shared" si="1"/>
        <v/>
      </c>
      <c r="U8" s="578" t="str">
        <f t="shared" si="1"/>
        <v/>
      </c>
      <c r="V8" s="570" t="str">
        <f t="shared" si="1"/>
        <v/>
      </c>
      <c r="W8" s="578" t="str">
        <f t="shared" si="1"/>
        <v/>
      </c>
      <c r="X8" s="570" t="str">
        <f t="shared" si="1"/>
        <v/>
      </c>
      <c r="Y8" s="578" t="str">
        <f t="shared" si="1"/>
        <v/>
      </c>
      <c r="Z8" s="570" t="str">
        <f t="shared" si="1"/>
        <v/>
      </c>
      <c r="AA8" s="578" t="str">
        <f t="shared" si="1"/>
        <v/>
      </c>
      <c r="AB8" s="570" t="str">
        <f t="shared" si="1"/>
        <v/>
      </c>
      <c r="AC8" s="578" t="str">
        <f t="shared" si="1"/>
        <v/>
      </c>
      <c r="AD8" s="570" t="str">
        <f t="shared" si="1"/>
        <v/>
      </c>
      <c r="AE8" s="578"/>
      <c r="AF8" s="570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78" t="str">
        <f t="shared" si="0"/>
        <v/>
      </c>
      <c r="H9" s="570" t="str">
        <f t="shared" si="0"/>
        <v/>
      </c>
      <c r="I9" s="578" t="str">
        <f t="shared" si="0"/>
        <v/>
      </c>
      <c r="J9" s="570" t="str">
        <f t="shared" si="0"/>
        <v/>
      </c>
      <c r="K9" s="578" t="str">
        <f t="shared" si="0"/>
        <v/>
      </c>
      <c r="L9" s="570" t="str">
        <f t="shared" si="0"/>
        <v/>
      </c>
      <c r="M9" s="578" t="str">
        <f t="shared" si="0"/>
        <v/>
      </c>
      <c r="N9" s="570" t="str">
        <f t="shared" si="0"/>
        <v/>
      </c>
      <c r="O9" s="578" t="str">
        <f t="shared" si="0"/>
        <v/>
      </c>
      <c r="P9" s="570" t="str">
        <f t="shared" si="0"/>
        <v/>
      </c>
      <c r="Q9" s="578" t="str">
        <f t="shared" si="1"/>
        <v/>
      </c>
      <c r="R9" s="570" t="str">
        <f t="shared" si="1"/>
        <v/>
      </c>
      <c r="S9" s="578" t="str">
        <f t="shared" si="1"/>
        <v/>
      </c>
      <c r="T9" s="570" t="str">
        <f t="shared" si="1"/>
        <v/>
      </c>
      <c r="U9" s="578" t="str">
        <f t="shared" si="1"/>
        <v/>
      </c>
      <c r="V9" s="570" t="str">
        <f t="shared" si="1"/>
        <v/>
      </c>
      <c r="W9" s="578" t="str">
        <f t="shared" si="1"/>
        <v/>
      </c>
      <c r="X9" s="570" t="str">
        <f t="shared" si="1"/>
        <v/>
      </c>
      <c r="Y9" s="578" t="str">
        <f t="shared" si="1"/>
        <v/>
      </c>
      <c r="Z9" s="570" t="str">
        <f t="shared" si="1"/>
        <v/>
      </c>
      <c r="AA9" s="578" t="str">
        <f t="shared" si="1"/>
        <v/>
      </c>
      <c r="AB9" s="570" t="str">
        <f t="shared" si="1"/>
        <v/>
      </c>
      <c r="AC9" s="578" t="str">
        <f t="shared" si="1"/>
        <v/>
      </c>
      <c r="AD9" s="570" t="str">
        <f t="shared" si="1"/>
        <v/>
      </c>
      <c r="AE9" s="578"/>
      <c r="AF9" s="570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78" t="str">
        <f t="shared" si="0"/>
        <v/>
      </c>
      <c r="H10" s="570" t="str">
        <f t="shared" si="0"/>
        <v/>
      </c>
      <c r="I10" s="578" t="str">
        <f t="shared" si="0"/>
        <v/>
      </c>
      <c r="J10" s="570" t="str">
        <f t="shared" si="0"/>
        <v/>
      </c>
      <c r="K10" s="578" t="str">
        <f t="shared" si="0"/>
        <v/>
      </c>
      <c r="L10" s="570" t="str">
        <f t="shared" si="0"/>
        <v/>
      </c>
      <c r="M10" s="578" t="str">
        <f t="shared" si="0"/>
        <v/>
      </c>
      <c r="N10" s="570" t="str">
        <f t="shared" si="0"/>
        <v/>
      </c>
      <c r="O10" s="578" t="str">
        <f t="shared" si="0"/>
        <v/>
      </c>
      <c r="P10" s="570" t="str">
        <f t="shared" si="0"/>
        <v/>
      </c>
      <c r="Q10" s="578" t="str">
        <f t="shared" si="1"/>
        <v/>
      </c>
      <c r="R10" s="570" t="str">
        <f t="shared" si="1"/>
        <v/>
      </c>
      <c r="S10" s="578" t="str">
        <f t="shared" si="1"/>
        <v/>
      </c>
      <c r="T10" s="570" t="str">
        <f t="shared" si="1"/>
        <v/>
      </c>
      <c r="U10" s="578" t="str">
        <f t="shared" si="1"/>
        <v/>
      </c>
      <c r="V10" s="570" t="str">
        <f t="shared" si="1"/>
        <v/>
      </c>
      <c r="W10" s="578" t="str">
        <f t="shared" si="1"/>
        <v/>
      </c>
      <c r="X10" s="570" t="str">
        <f t="shared" si="1"/>
        <v/>
      </c>
      <c r="Y10" s="578" t="str">
        <f t="shared" si="1"/>
        <v/>
      </c>
      <c r="Z10" s="570" t="str">
        <f t="shared" si="1"/>
        <v/>
      </c>
      <c r="AA10" s="578" t="str">
        <f t="shared" si="1"/>
        <v/>
      </c>
      <c r="AB10" s="570" t="str">
        <f t="shared" si="1"/>
        <v/>
      </c>
      <c r="AC10" s="578" t="str">
        <f t="shared" si="1"/>
        <v/>
      </c>
      <c r="AD10" s="570" t="str">
        <f t="shared" si="1"/>
        <v/>
      </c>
      <c r="AE10" s="578"/>
      <c r="AF10" s="570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78" t="str">
        <f t="shared" si="0"/>
        <v/>
      </c>
      <c r="H11" s="570" t="str">
        <f t="shared" si="0"/>
        <v/>
      </c>
      <c r="I11" s="578" t="str">
        <f t="shared" si="0"/>
        <v/>
      </c>
      <c r="J11" s="570" t="str">
        <f t="shared" si="0"/>
        <v/>
      </c>
      <c r="K11" s="578" t="str">
        <f t="shared" si="0"/>
        <v/>
      </c>
      <c r="L11" s="570" t="str">
        <f t="shared" si="0"/>
        <v/>
      </c>
      <c r="M11" s="578" t="str">
        <f t="shared" si="0"/>
        <v/>
      </c>
      <c r="N11" s="570" t="str">
        <f t="shared" si="0"/>
        <v/>
      </c>
      <c r="O11" s="578" t="str">
        <f t="shared" si="0"/>
        <v/>
      </c>
      <c r="P11" s="570" t="str">
        <f t="shared" si="0"/>
        <v/>
      </c>
      <c r="Q11" s="578" t="str">
        <f t="shared" si="1"/>
        <v/>
      </c>
      <c r="R11" s="570" t="str">
        <f t="shared" si="1"/>
        <v/>
      </c>
      <c r="S11" s="578" t="str">
        <f t="shared" si="1"/>
        <v/>
      </c>
      <c r="T11" s="570" t="str">
        <f t="shared" si="1"/>
        <v/>
      </c>
      <c r="U11" s="578" t="str">
        <f t="shared" si="1"/>
        <v/>
      </c>
      <c r="V11" s="570" t="str">
        <f t="shared" si="1"/>
        <v/>
      </c>
      <c r="W11" s="578" t="str">
        <f t="shared" si="1"/>
        <v/>
      </c>
      <c r="X11" s="570" t="str">
        <f t="shared" si="1"/>
        <v/>
      </c>
      <c r="Y11" s="578" t="str">
        <f t="shared" si="1"/>
        <v/>
      </c>
      <c r="Z11" s="570" t="str">
        <f t="shared" si="1"/>
        <v/>
      </c>
      <c r="AA11" s="578" t="str">
        <f t="shared" si="1"/>
        <v/>
      </c>
      <c r="AB11" s="570" t="str">
        <f t="shared" si="1"/>
        <v/>
      </c>
      <c r="AC11" s="578" t="str">
        <f t="shared" si="1"/>
        <v/>
      </c>
      <c r="AD11" s="570" t="str">
        <f t="shared" si="1"/>
        <v/>
      </c>
      <c r="AE11" s="578"/>
      <c r="AF11" s="570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78" t="str">
        <f t="shared" si="0"/>
        <v/>
      </c>
      <c r="H12" s="570" t="str">
        <f t="shared" si="0"/>
        <v/>
      </c>
      <c r="I12" s="578" t="str">
        <f t="shared" si="0"/>
        <v/>
      </c>
      <c r="J12" s="570" t="str">
        <f t="shared" si="0"/>
        <v/>
      </c>
      <c r="K12" s="578" t="str">
        <f t="shared" si="0"/>
        <v/>
      </c>
      <c r="L12" s="570" t="str">
        <f t="shared" si="0"/>
        <v/>
      </c>
      <c r="M12" s="578" t="str">
        <f t="shared" si="0"/>
        <v/>
      </c>
      <c r="N12" s="570" t="str">
        <f t="shared" si="0"/>
        <v/>
      </c>
      <c r="O12" s="578" t="str">
        <f t="shared" si="0"/>
        <v/>
      </c>
      <c r="P12" s="570" t="str">
        <f t="shared" si="0"/>
        <v/>
      </c>
      <c r="Q12" s="578" t="str">
        <f t="shared" si="1"/>
        <v/>
      </c>
      <c r="R12" s="570" t="str">
        <f t="shared" si="1"/>
        <v/>
      </c>
      <c r="S12" s="578" t="str">
        <f t="shared" si="1"/>
        <v/>
      </c>
      <c r="T12" s="570" t="str">
        <f t="shared" si="1"/>
        <v/>
      </c>
      <c r="U12" s="578" t="str">
        <f t="shared" si="1"/>
        <v/>
      </c>
      <c r="V12" s="570" t="str">
        <f t="shared" si="1"/>
        <v/>
      </c>
      <c r="W12" s="578" t="str">
        <f t="shared" si="1"/>
        <v/>
      </c>
      <c r="X12" s="570" t="str">
        <f t="shared" si="1"/>
        <v/>
      </c>
      <c r="Y12" s="578" t="str">
        <f t="shared" si="1"/>
        <v/>
      </c>
      <c r="Z12" s="570" t="str">
        <f t="shared" si="1"/>
        <v/>
      </c>
      <c r="AA12" s="578" t="str">
        <f t="shared" si="1"/>
        <v/>
      </c>
      <c r="AB12" s="570" t="str">
        <f t="shared" si="1"/>
        <v/>
      </c>
      <c r="AC12" s="578" t="str">
        <f t="shared" si="1"/>
        <v/>
      </c>
      <c r="AD12" s="570" t="str">
        <f t="shared" si="1"/>
        <v/>
      </c>
      <c r="AE12" s="578"/>
      <c r="AF12" s="570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78" t="str">
        <f t="shared" si="0"/>
        <v/>
      </c>
      <c r="H13" s="570" t="str">
        <f t="shared" si="0"/>
        <v/>
      </c>
      <c r="I13" s="578" t="str">
        <f t="shared" si="0"/>
        <v/>
      </c>
      <c r="J13" s="570" t="str">
        <f t="shared" si="0"/>
        <v/>
      </c>
      <c r="K13" s="578" t="str">
        <f t="shared" si="0"/>
        <v/>
      </c>
      <c r="L13" s="570" t="str">
        <f t="shared" si="0"/>
        <v/>
      </c>
      <c r="M13" s="578" t="str">
        <f t="shared" si="0"/>
        <v/>
      </c>
      <c r="N13" s="570" t="str">
        <f t="shared" si="0"/>
        <v/>
      </c>
      <c r="O13" s="578" t="str">
        <f t="shared" si="0"/>
        <v/>
      </c>
      <c r="P13" s="570" t="str">
        <f t="shared" si="0"/>
        <v/>
      </c>
      <c r="Q13" s="578" t="str">
        <f t="shared" si="1"/>
        <v/>
      </c>
      <c r="R13" s="570" t="str">
        <f t="shared" si="1"/>
        <v/>
      </c>
      <c r="S13" s="578" t="str">
        <f t="shared" si="1"/>
        <v/>
      </c>
      <c r="T13" s="570" t="str">
        <f t="shared" si="1"/>
        <v/>
      </c>
      <c r="U13" s="578" t="str">
        <f t="shared" si="1"/>
        <v/>
      </c>
      <c r="V13" s="570" t="str">
        <f t="shared" si="1"/>
        <v/>
      </c>
      <c r="W13" s="578" t="str">
        <f t="shared" si="1"/>
        <v/>
      </c>
      <c r="X13" s="570" t="str">
        <f t="shared" si="1"/>
        <v/>
      </c>
      <c r="Y13" s="578" t="str">
        <f t="shared" si="1"/>
        <v/>
      </c>
      <c r="Z13" s="570" t="str">
        <f t="shared" si="1"/>
        <v/>
      </c>
      <c r="AA13" s="578" t="str">
        <f t="shared" si="1"/>
        <v/>
      </c>
      <c r="AB13" s="570" t="str">
        <f t="shared" si="1"/>
        <v/>
      </c>
      <c r="AC13" s="578" t="str">
        <f t="shared" si="1"/>
        <v/>
      </c>
      <c r="AD13" s="570" t="str">
        <f t="shared" si="1"/>
        <v/>
      </c>
      <c r="AE13" s="578"/>
      <c r="AF13" s="570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78" t="str">
        <f t="shared" ref="G14:P24" si="2">IF($C14="","",IF(VLOOKUP($C14,Tbl_Glob_MedFreq,G$1,FALSE)=0,"",VLOOKUP($C14,Tbl_Glob_MedFreq,G$1,FALSE)))</f>
        <v/>
      </c>
      <c r="H14" s="570" t="str">
        <f t="shared" si="2"/>
        <v/>
      </c>
      <c r="I14" s="578" t="str">
        <f t="shared" si="2"/>
        <v/>
      </c>
      <c r="J14" s="570" t="str">
        <f t="shared" si="2"/>
        <v/>
      </c>
      <c r="K14" s="578" t="str">
        <f t="shared" si="2"/>
        <v/>
      </c>
      <c r="L14" s="570" t="str">
        <f t="shared" si="2"/>
        <v/>
      </c>
      <c r="M14" s="578" t="str">
        <f t="shared" si="2"/>
        <v/>
      </c>
      <c r="N14" s="570" t="str">
        <f t="shared" si="2"/>
        <v/>
      </c>
      <c r="O14" s="578" t="str">
        <f t="shared" si="2"/>
        <v/>
      </c>
      <c r="P14" s="570" t="str">
        <f t="shared" si="2"/>
        <v/>
      </c>
      <c r="Q14" s="578" t="str">
        <f t="shared" ref="Q14:AD24" si="3">IF($C14="","",IF(VLOOKUP($C14,Tbl_Glob_MedFreq,Q$1,FALSE)=0,"",VLOOKUP($C14,Tbl_Glob_MedFreq,Q$1,FALSE)))</f>
        <v/>
      </c>
      <c r="R14" s="570" t="str">
        <f t="shared" si="3"/>
        <v/>
      </c>
      <c r="S14" s="578" t="str">
        <f t="shared" si="3"/>
        <v/>
      </c>
      <c r="T14" s="570" t="str">
        <f t="shared" si="3"/>
        <v/>
      </c>
      <c r="U14" s="578" t="str">
        <f t="shared" si="3"/>
        <v/>
      </c>
      <c r="V14" s="570" t="str">
        <f t="shared" si="3"/>
        <v/>
      </c>
      <c r="W14" s="578" t="str">
        <f t="shared" si="3"/>
        <v/>
      </c>
      <c r="X14" s="570" t="str">
        <f t="shared" si="3"/>
        <v/>
      </c>
      <c r="Y14" s="578" t="str">
        <f t="shared" si="3"/>
        <v/>
      </c>
      <c r="Z14" s="570" t="str">
        <f t="shared" si="3"/>
        <v/>
      </c>
      <c r="AA14" s="578" t="str">
        <f t="shared" si="3"/>
        <v/>
      </c>
      <c r="AB14" s="570" t="str">
        <f t="shared" si="3"/>
        <v/>
      </c>
      <c r="AC14" s="578" t="str">
        <f t="shared" si="3"/>
        <v/>
      </c>
      <c r="AD14" s="570" t="str">
        <f t="shared" si="3"/>
        <v/>
      </c>
      <c r="AE14" s="578"/>
      <c r="AF14" s="570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78" t="str">
        <f t="shared" si="2"/>
        <v/>
      </c>
      <c r="H15" s="570" t="str">
        <f t="shared" si="2"/>
        <v/>
      </c>
      <c r="I15" s="578" t="str">
        <f t="shared" si="2"/>
        <v/>
      </c>
      <c r="J15" s="570" t="str">
        <f t="shared" si="2"/>
        <v/>
      </c>
      <c r="K15" s="578" t="str">
        <f t="shared" si="2"/>
        <v/>
      </c>
      <c r="L15" s="570" t="str">
        <f t="shared" si="2"/>
        <v/>
      </c>
      <c r="M15" s="578" t="str">
        <f t="shared" si="2"/>
        <v/>
      </c>
      <c r="N15" s="570" t="str">
        <f t="shared" si="2"/>
        <v/>
      </c>
      <c r="O15" s="578" t="str">
        <f t="shared" si="2"/>
        <v/>
      </c>
      <c r="P15" s="570" t="str">
        <f t="shared" si="2"/>
        <v/>
      </c>
      <c r="Q15" s="578" t="str">
        <f t="shared" si="3"/>
        <v/>
      </c>
      <c r="R15" s="570" t="str">
        <f t="shared" si="3"/>
        <v/>
      </c>
      <c r="S15" s="578" t="str">
        <f t="shared" si="3"/>
        <v/>
      </c>
      <c r="T15" s="570" t="str">
        <f t="shared" si="3"/>
        <v/>
      </c>
      <c r="U15" s="578" t="str">
        <f t="shared" si="3"/>
        <v/>
      </c>
      <c r="V15" s="570" t="str">
        <f t="shared" si="3"/>
        <v/>
      </c>
      <c r="W15" s="578" t="str">
        <f t="shared" si="3"/>
        <v/>
      </c>
      <c r="X15" s="570" t="str">
        <f t="shared" si="3"/>
        <v/>
      </c>
      <c r="Y15" s="578" t="str">
        <f t="shared" si="3"/>
        <v/>
      </c>
      <c r="Z15" s="570" t="str">
        <f t="shared" si="3"/>
        <v/>
      </c>
      <c r="AA15" s="578" t="str">
        <f t="shared" si="3"/>
        <v/>
      </c>
      <c r="AB15" s="570" t="str">
        <f t="shared" si="3"/>
        <v/>
      </c>
      <c r="AC15" s="578" t="str">
        <f t="shared" si="3"/>
        <v/>
      </c>
      <c r="AD15" s="570" t="str">
        <f t="shared" si="3"/>
        <v/>
      </c>
      <c r="AE15" s="578"/>
      <c r="AF15" s="570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78" t="str">
        <f t="shared" si="2"/>
        <v/>
      </c>
      <c r="H16" s="570" t="str">
        <f t="shared" si="2"/>
        <v/>
      </c>
      <c r="I16" s="578" t="str">
        <f t="shared" si="2"/>
        <v/>
      </c>
      <c r="J16" s="570" t="str">
        <f t="shared" si="2"/>
        <v/>
      </c>
      <c r="K16" s="578" t="str">
        <f t="shared" si="2"/>
        <v/>
      </c>
      <c r="L16" s="570" t="str">
        <f t="shared" si="2"/>
        <v/>
      </c>
      <c r="M16" s="578" t="str">
        <f t="shared" si="2"/>
        <v/>
      </c>
      <c r="N16" s="570" t="str">
        <f t="shared" si="2"/>
        <v/>
      </c>
      <c r="O16" s="578" t="str">
        <f t="shared" si="2"/>
        <v/>
      </c>
      <c r="P16" s="570" t="str">
        <f t="shared" si="2"/>
        <v/>
      </c>
      <c r="Q16" s="578" t="str">
        <f t="shared" si="3"/>
        <v/>
      </c>
      <c r="R16" s="570" t="str">
        <f t="shared" si="3"/>
        <v/>
      </c>
      <c r="S16" s="578" t="str">
        <f t="shared" si="3"/>
        <v/>
      </c>
      <c r="T16" s="570" t="str">
        <f t="shared" si="3"/>
        <v/>
      </c>
      <c r="U16" s="578" t="str">
        <f t="shared" si="3"/>
        <v/>
      </c>
      <c r="V16" s="570" t="str">
        <f t="shared" si="3"/>
        <v/>
      </c>
      <c r="W16" s="578" t="str">
        <f t="shared" si="3"/>
        <v/>
      </c>
      <c r="X16" s="570" t="str">
        <f t="shared" si="3"/>
        <v/>
      </c>
      <c r="Y16" s="578" t="str">
        <f t="shared" si="3"/>
        <v/>
      </c>
      <c r="Z16" s="570" t="str">
        <f t="shared" si="3"/>
        <v/>
      </c>
      <c r="AA16" s="578" t="str">
        <f t="shared" si="3"/>
        <v/>
      </c>
      <c r="AB16" s="570" t="str">
        <f t="shared" si="3"/>
        <v/>
      </c>
      <c r="AC16" s="578" t="str">
        <f t="shared" si="3"/>
        <v/>
      </c>
      <c r="AD16" s="570" t="str">
        <f t="shared" si="3"/>
        <v/>
      </c>
      <c r="AE16" s="578"/>
      <c r="AF16" s="570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78" t="str">
        <f t="shared" si="2"/>
        <v/>
      </c>
      <c r="H17" s="570" t="str">
        <f t="shared" si="2"/>
        <v/>
      </c>
      <c r="I17" s="578" t="str">
        <f t="shared" si="2"/>
        <v/>
      </c>
      <c r="J17" s="570" t="str">
        <f t="shared" si="2"/>
        <v/>
      </c>
      <c r="K17" s="578" t="str">
        <f t="shared" si="2"/>
        <v/>
      </c>
      <c r="L17" s="570" t="str">
        <f t="shared" si="2"/>
        <v/>
      </c>
      <c r="M17" s="578" t="str">
        <f t="shared" si="2"/>
        <v/>
      </c>
      <c r="N17" s="570" t="str">
        <f t="shared" si="2"/>
        <v/>
      </c>
      <c r="O17" s="578" t="str">
        <f t="shared" si="2"/>
        <v/>
      </c>
      <c r="P17" s="570" t="str">
        <f t="shared" si="2"/>
        <v/>
      </c>
      <c r="Q17" s="578" t="str">
        <f t="shared" si="3"/>
        <v/>
      </c>
      <c r="R17" s="570" t="str">
        <f t="shared" si="3"/>
        <v/>
      </c>
      <c r="S17" s="578" t="str">
        <f t="shared" si="3"/>
        <v/>
      </c>
      <c r="T17" s="570" t="str">
        <f t="shared" si="3"/>
        <v/>
      </c>
      <c r="U17" s="578" t="str">
        <f t="shared" si="3"/>
        <v/>
      </c>
      <c r="V17" s="570" t="str">
        <f t="shared" si="3"/>
        <v/>
      </c>
      <c r="W17" s="578" t="str">
        <f t="shared" si="3"/>
        <v/>
      </c>
      <c r="X17" s="570" t="str">
        <f t="shared" si="3"/>
        <v/>
      </c>
      <c r="Y17" s="578" t="str">
        <f t="shared" si="3"/>
        <v/>
      </c>
      <c r="Z17" s="570" t="str">
        <f t="shared" si="3"/>
        <v/>
      </c>
      <c r="AA17" s="578" t="str">
        <f t="shared" si="3"/>
        <v/>
      </c>
      <c r="AB17" s="570" t="str">
        <f t="shared" si="3"/>
        <v/>
      </c>
      <c r="AC17" s="578" t="str">
        <f t="shared" si="3"/>
        <v/>
      </c>
      <c r="AD17" s="570" t="str">
        <f t="shared" si="3"/>
        <v/>
      </c>
      <c r="AE17" s="578"/>
      <c r="AF17" s="570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78" t="str">
        <f t="shared" si="2"/>
        <v/>
      </c>
      <c r="H18" s="570" t="str">
        <f t="shared" si="2"/>
        <v/>
      </c>
      <c r="I18" s="578" t="str">
        <f t="shared" si="2"/>
        <v/>
      </c>
      <c r="J18" s="570" t="str">
        <f t="shared" si="2"/>
        <v/>
      </c>
      <c r="K18" s="578" t="str">
        <f t="shared" si="2"/>
        <v/>
      </c>
      <c r="L18" s="570" t="str">
        <f t="shared" si="2"/>
        <v/>
      </c>
      <c r="M18" s="578" t="str">
        <f t="shared" si="2"/>
        <v/>
      </c>
      <c r="N18" s="570" t="str">
        <f t="shared" si="2"/>
        <v/>
      </c>
      <c r="O18" s="578" t="str">
        <f t="shared" si="2"/>
        <v/>
      </c>
      <c r="P18" s="570" t="str">
        <f t="shared" si="2"/>
        <v/>
      </c>
      <c r="Q18" s="578" t="str">
        <f t="shared" si="3"/>
        <v/>
      </c>
      <c r="R18" s="570" t="str">
        <f t="shared" si="3"/>
        <v/>
      </c>
      <c r="S18" s="578" t="str">
        <f t="shared" si="3"/>
        <v/>
      </c>
      <c r="T18" s="570" t="str">
        <f t="shared" si="3"/>
        <v/>
      </c>
      <c r="U18" s="578" t="str">
        <f t="shared" si="3"/>
        <v/>
      </c>
      <c r="V18" s="570" t="str">
        <f t="shared" si="3"/>
        <v/>
      </c>
      <c r="W18" s="578" t="str">
        <f t="shared" si="3"/>
        <v/>
      </c>
      <c r="X18" s="570" t="str">
        <f t="shared" si="3"/>
        <v/>
      </c>
      <c r="Y18" s="578" t="str">
        <f t="shared" si="3"/>
        <v/>
      </c>
      <c r="Z18" s="570" t="str">
        <f t="shared" si="3"/>
        <v/>
      </c>
      <c r="AA18" s="578" t="str">
        <f t="shared" si="3"/>
        <v/>
      </c>
      <c r="AB18" s="570" t="str">
        <f t="shared" si="3"/>
        <v/>
      </c>
      <c r="AC18" s="578" t="str">
        <f t="shared" si="3"/>
        <v/>
      </c>
      <c r="AD18" s="570" t="str">
        <f t="shared" si="3"/>
        <v/>
      </c>
      <c r="AE18" s="578"/>
      <c r="AF18" s="570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78" t="str">
        <f t="shared" si="2"/>
        <v/>
      </c>
      <c r="H19" s="570" t="str">
        <f t="shared" si="2"/>
        <v/>
      </c>
      <c r="I19" s="578" t="str">
        <f t="shared" si="2"/>
        <v/>
      </c>
      <c r="J19" s="570" t="str">
        <f t="shared" si="2"/>
        <v/>
      </c>
      <c r="K19" s="578" t="str">
        <f t="shared" si="2"/>
        <v/>
      </c>
      <c r="L19" s="570" t="str">
        <f t="shared" si="2"/>
        <v/>
      </c>
      <c r="M19" s="578" t="str">
        <f t="shared" si="2"/>
        <v/>
      </c>
      <c r="N19" s="570" t="str">
        <f t="shared" si="2"/>
        <v/>
      </c>
      <c r="O19" s="578" t="str">
        <f t="shared" si="2"/>
        <v/>
      </c>
      <c r="P19" s="570" t="str">
        <f t="shared" si="2"/>
        <v/>
      </c>
      <c r="Q19" s="578" t="str">
        <f t="shared" si="3"/>
        <v/>
      </c>
      <c r="R19" s="570" t="str">
        <f t="shared" si="3"/>
        <v/>
      </c>
      <c r="S19" s="578" t="str">
        <f t="shared" si="3"/>
        <v/>
      </c>
      <c r="T19" s="570" t="str">
        <f t="shared" si="3"/>
        <v/>
      </c>
      <c r="U19" s="578" t="str">
        <f t="shared" si="3"/>
        <v/>
      </c>
      <c r="V19" s="570" t="str">
        <f t="shared" si="3"/>
        <v/>
      </c>
      <c r="W19" s="578" t="str">
        <f t="shared" si="3"/>
        <v/>
      </c>
      <c r="X19" s="570" t="str">
        <f t="shared" si="3"/>
        <v/>
      </c>
      <c r="Y19" s="578" t="str">
        <f t="shared" si="3"/>
        <v/>
      </c>
      <c r="Z19" s="570" t="str">
        <f t="shared" si="3"/>
        <v/>
      </c>
      <c r="AA19" s="578" t="str">
        <f t="shared" si="3"/>
        <v/>
      </c>
      <c r="AB19" s="570" t="str">
        <f t="shared" si="3"/>
        <v/>
      </c>
      <c r="AC19" s="578" t="str">
        <f t="shared" si="3"/>
        <v/>
      </c>
      <c r="AD19" s="570" t="str">
        <f t="shared" si="3"/>
        <v/>
      </c>
      <c r="AE19" s="578"/>
      <c r="AF19" s="570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78" t="str">
        <f t="shared" si="2"/>
        <v/>
      </c>
      <c r="H20" s="570" t="str">
        <f t="shared" si="2"/>
        <v/>
      </c>
      <c r="I20" s="578" t="str">
        <f t="shared" si="2"/>
        <v/>
      </c>
      <c r="J20" s="570" t="str">
        <f t="shared" si="2"/>
        <v/>
      </c>
      <c r="K20" s="578" t="str">
        <f t="shared" si="2"/>
        <v/>
      </c>
      <c r="L20" s="570" t="str">
        <f t="shared" si="2"/>
        <v/>
      </c>
      <c r="M20" s="578" t="str">
        <f t="shared" si="2"/>
        <v/>
      </c>
      <c r="N20" s="570" t="str">
        <f t="shared" si="2"/>
        <v/>
      </c>
      <c r="O20" s="578" t="str">
        <f t="shared" si="2"/>
        <v/>
      </c>
      <c r="P20" s="570" t="str">
        <f t="shared" si="2"/>
        <v/>
      </c>
      <c r="Q20" s="578" t="str">
        <f t="shared" si="3"/>
        <v/>
      </c>
      <c r="R20" s="570" t="str">
        <f t="shared" si="3"/>
        <v/>
      </c>
      <c r="S20" s="578" t="str">
        <f t="shared" si="3"/>
        <v/>
      </c>
      <c r="T20" s="570" t="str">
        <f t="shared" si="3"/>
        <v/>
      </c>
      <c r="U20" s="578" t="str">
        <f t="shared" si="3"/>
        <v/>
      </c>
      <c r="V20" s="570" t="str">
        <f t="shared" si="3"/>
        <v/>
      </c>
      <c r="W20" s="578" t="str">
        <f t="shared" si="3"/>
        <v/>
      </c>
      <c r="X20" s="570" t="str">
        <f t="shared" si="3"/>
        <v/>
      </c>
      <c r="Y20" s="578" t="str">
        <f t="shared" si="3"/>
        <v/>
      </c>
      <c r="Z20" s="570" t="str">
        <f t="shared" si="3"/>
        <v/>
      </c>
      <c r="AA20" s="578" t="str">
        <f t="shared" si="3"/>
        <v/>
      </c>
      <c r="AB20" s="570" t="str">
        <f t="shared" si="3"/>
        <v/>
      </c>
      <c r="AC20" s="578" t="str">
        <f t="shared" si="3"/>
        <v/>
      </c>
      <c r="AD20" s="570" t="str">
        <f t="shared" si="3"/>
        <v/>
      </c>
      <c r="AE20" s="578"/>
      <c r="AF20" s="570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78" t="str">
        <f t="shared" si="2"/>
        <v/>
      </c>
      <c r="H21" s="570" t="str">
        <f t="shared" si="2"/>
        <v/>
      </c>
      <c r="I21" s="578" t="str">
        <f t="shared" si="2"/>
        <v/>
      </c>
      <c r="J21" s="570" t="str">
        <f t="shared" si="2"/>
        <v/>
      </c>
      <c r="K21" s="578" t="str">
        <f t="shared" si="2"/>
        <v/>
      </c>
      <c r="L21" s="570" t="str">
        <f t="shared" si="2"/>
        <v/>
      </c>
      <c r="M21" s="578" t="str">
        <f t="shared" si="2"/>
        <v/>
      </c>
      <c r="N21" s="570" t="str">
        <f t="shared" si="2"/>
        <v/>
      </c>
      <c r="O21" s="578" t="str">
        <f t="shared" si="2"/>
        <v/>
      </c>
      <c r="P21" s="570" t="str">
        <f t="shared" si="2"/>
        <v/>
      </c>
      <c r="Q21" s="578" t="str">
        <f t="shared" si="3"/>
        <v/>
      </c>
      <c r="R21" s="570" t="str">
        <f t="shared" si="3"/>
        <v/>
      </c>
      <c r="S21" s="578" t="str">
        <f t="shared" si="3"/>
        <v/>
      </c>
      <c r="T21" s="570" t="str">
        <f t="shared" si="3"/>
        <v/>
      </c>
      <c r="U21" s="578" t="str">
        <f t="shared" si="3"/>
        <v/>
      </c>
      <c r="V21" s="570" t="str">
        <f t="shared" si="3"/>
        <v/>
      </c>
      <c r="W21" s="578" t="str">
        <f t="shared" si="3"/>
        <v/>
      </c>
      <c r="X21" s="570" t="str">
        <f t="shared" si="3"/>
        <v/>
      </c>
      <c r="Y21" s="578" t="str">
        <f t="shared" si="3"/>
        <v/>
      </c>
      <c r="Z21" s="570" t="str">
        <f t="shared" si="3"/>
        <v/>
      </c>
      <c r="AA21" s="578" t="str">
        <f t="shared" si="3"/>
        <v/>
      </c>
      <c r="AB21" s="570" t="str">
        <f t="shared" si="3"/>
        <v/>
      </c>
      <c r="AC21" s="578" t="str">
        <f t="shared" si="3"/>
        <v/>
      </c>
      <c r="AD21" s="570" t="str">
        <f t="shared" si="3"/>
        <v/>
      </c>
      <c r="AE21" s="578"/>
      <c r="AF21" s="570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78" t="str">
        <f t="shared" si="2"/>
        <v/>
      </c>
      <c r="H22" s="570" t="str">
        <f t="shared" si="2"/>
        <v/>
      </c>
      <c r="I22" s="578" t="str">
        <f t="shared" si="2"/>
        <v/>
      </c>
      <c r="J22" s="570" t="str">
        <f t="shared" si="2"/>
        <v/>
      </c>
      <c r="K22" s="578" t="str">
        <f t="shared" si="2"/>
        <v/>
      </c>
      <c r="L22" s="570" t="str">
        <f t="shared" si="2"/>
        <v/>
      </c>
      <c r="M22" s="578" t="str">
        <f t="shared" si="2"/>
        <v/>
      </c>
      <c r="N22" s="570" t="str">
        <f t="shared" si="2"/>
        <v/>
      </c>
      <c r="O22" s="578" t="str">
        <f t="shared" si="2"/>
        <v/>
      </c>
      <c r="P22" s="570" t="str">
        <f t="shared" si="2"/>
        <v/>
      </c>
      <c r="Q22" s="578" t="str">
        <f t="shared" si="3"/>
        <v/>
      </c>
      <c r="R22" s="570" t="str">
        <f t="shared" si="3"/>
        <v/>
      </c>
      <c r="S22" s="578" t="str">
        <f t="shared" si="3"/>
        <v/>
      </c>
      <c r="T22" s="570" t="str">
        <f t="shared" si="3"/>
        <v/>
      </c>
      <c r="U22" s="578" t="str">
        <f t="shared" si="3"/>
        <v/>
      </c>
      <c r="V22" s="570" t="str">
        <f t="shared" si="3"/>
        <v/>
      </c>
      <c r="W22" s="578" t="str">
        <f t="shared" si="3"/>
        <v/>
      </c>
      <c r="X22" s="570" t="str">
        <f t="shared" si="3"/>
        <v/>
      </c>
      <c r="Y22" s="578" t="str">
        <f t="shared" si="3"/>
        <v/>
      </c>
      <c r="Z22" s="570" t="str">
        <f t="shared" si="3"/>
        <v/>
      </c>
      <c r="AA22" s="578" t="str">
        <f t="shared" si="3"/>
        <v/>
      </c>
      <c r="AB22" s="570" t="str">
        <f t="shared" si="3"/>
        <v/>
      </c>
      <c r="AC22" s="578" t="str">
        <f t="shared" si="3"/>
        <v/>
      </c>
      <c r="AD22" s="570" t="str">
        <f t="shared" si="3"/>
        <v/>
      </c>
      <c r="AE22" s="578"/>
      <c r="AF22" s="570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78" t="str">
        <f t="shared" si="2"/>
        <v/>
      </c>
      <c r="H23" s="570" t="str">
        <f t="shared" si="2"/>
        <v/>
      </c>
      <c r="I23" s="578" t="str">
        <f t="shared" si="2"/>
        <v/>
      </c>
      <c r="J23" s="570" t="str">
        <f t="shared" si="2"/>
        <v/>
      </c>
      <c r="K23" s="578" t="str">
        <f t="shared" si="2"/>
        <v/>
      </c>
      <c r="L23" s="570" t="str">
        <f t="shared" si="2"/>
        <v/>
      </c>
      <c r="M23" s="578" t="str">
        <f t="shared" si="2"/>
        <v/>
      </c>
      <c r="N23" s="570" t="str">
        <f t="shared" si="2"/>
        <v/>
      </c>
      <c r="O23" s="578" t="str">
        <f t="shared" si="2"/>
        <v/>
      </c>
      <c r="P23" s="570" t="str">
        <f t="shared" si="2"/>
        <v/>
      </c>
      <c r="Q23" s="578" t="str">
        <f t="shared" si="3"/>
        <v/>
      </c>
      <c r="R23" s="570" t="str">
        <f t="shared" si="3"/>
        <v/>
      </c>
      <c r="S23" s="578" t="str">
        <f t="shared" si="3"/>
        <v/>
      </c>
      <c r="T23" s="570" t="str">
        <f t="shared" si="3"/>
        <v/>
      </c>
      <c r="U23" s="578" t="str">
        <f t="shared" si="3"/>
        <v/>
      </c>
      <c r="V23" s="570" t="str">
        <f t="shared" si="3"/>
        <v/>
      </c>
      <c r="W23" s="578" t="str">
        <f t="shared" si="3"/>
        <v/>
      </c>
      <c r="X23" s="570" t="str">
        <f t="shared" si="3"/>
        <v/>
      </c>
      <c r="Y23" s="578" t="str">
        <f t="shared" si="3"/>
        <v/>
      </c>
      <c r="Z23" s="570" t="str">
        <f t="shared" si="3"/>
        <v/>
      </c>
      <c r="AA23" s="578" t="str">
        <f t="shared" si="3"/>
        <v/>
      </c>
      <c r="AB23" s="570" t="str">
        <f t="shared" si="3"/>
        <v/>
      </c>
      <c r="AC23" s="578" t="str">
        <f t="shared" si="3"/>
        <v/>
      </c>
      <c r="AD23" s="570" t="str">
        <f t="shared" si="3"/>
        <v/>
      </c>
      <c r="AE23" s="578"/>
      <c r="AF23" s="570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78" t="str">
        <f t="shared" si="2"/>
        <v/>
      </c>
      <c r="H24" s="570" t="str">
        <f t="shared" si="2"/>
        <v/>
      </c>
      <c r="I24" s="578" t="str">
        <f t="shared" si="2"/>
        <v/>
      </c>
      <c r="J24" s="570" t="str">
        <f t="shared" si="2"/>
        <v/>
      </c>
      <c r="K24" s="578" t="str">
        <f t="shared" si="2"/>
        <v/>
      </c>
      <c r="L24" s="570" t="str">
        <f t="shared" si="2"/>
        <v/>
      </c>
      <c r="M24" s="578" t="str">
        <f t="shared" si="2"/>
        <v/>
      </c>
      <c r="N24" s="570" t="str">
        <f t="shared" si="2"/>
        <v/>
      </c>
      <c r="O24" s="578" t="str">
        <f t="shared" si="2"/>
        <v/>
      </c>
      <c r="P24" s="570" t="str">
        <f t="shared" si="2"/>
        <v/>
      </c>
      <c r="Q24" s="578" t="str">
        <f t="shared" si="3"/>
        <v/>
      </c>
      <c r="R24" s="570" t="str">
        <f t="shared" si="3"/>
        <v/>
      </c>
      <c r="S24" s="578" t="str">
        <f t="shared" si="3"/>
        <v/>
      </c>
      <c r="T24" s="570" t="str">
        <f t="shared" si="3"/>
        <v/>
      </c>
      <c r="U24" s="578" t="str">
        <f t="shared" si="3"/>
        <v/>
      </c>
      <c r="V24" s="570" t="str">
        <f t="shared" si="3"/>
        <v/>
      </c>
      <c r="W24" s="578" t="str">
        <f t="shared" si="3"/>
        <v/>
      </c>
      <c r="X24" s="570" t="str">
        <f t="shared" si="3"/>
        <v/>
      </c>
      <c r="Y24" s="578" t="str">
        <f t="shared" si="3"/>
        <v/>
      </c>
      <c r="Z24" s="570" t="str">
        <f t="shared" si="3"/>
        <v/>
      </c>
      <c r="AA24" s="578" t="str">
        <f t="shared" si="3"/>
        <v/>
      </c>
      <c r="AB24" s="570" t="str">
        <f t="shared" si="3"/>
        <v/>
      </c>
      <c r="AC24" s="578" t="str">
        <f t="shared" si="3"/>
        <v/>
      </c>
      <c r="AD24" s="570" t="str">
        <f t="shared" si="3"/>
        <v/>
      </c>
      <c r="AE24" s="578"/>
      <c r="AF24" s="570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61">
        <f ca="1">TODAY()</f>
        <v>42999</v>
      </c>
      <c r="AB25" s="861"/>
      <c r="AC25" s="861"/>
      <c r="AD25" s="861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75">
        <v>9</v>
      </c>
      <c r="H26" s="575">
        <v>10</v>
      </c>
      <c r="I26" s="575">
        <v>11</v>
      </c>
      <c r="J26" s="575">
        <v>12</v>
      </c>
      <c r="K26" s="575">
        <v>13</v>
      </c>
      <c r="L26" s="575">
        <v>14</v>
      </c>
      <c r="M26" s="575">
        <v>15</v>
      </c>
      <c r="N26" s="575">
        <v>16</v>
      </c>
      <c r="O26" s="575">
        <v>17</v>
      </c>
      <c r="P26" s="575">
        <v>18</v>
      </c>
      <c r="Q26" s="576">
        <v>19</v>
      </c>
      <c r="R26" s="576">
        <v>20</v>
      </c>
      <c r="S26" s="576">
        <v>21</v>
      </c>
      <c r="T26" s="576">
        <v>22</v>
      </c>
      <c r="U26" s="576">
        <v>23</v>
      </c>
      <c r="V26" s="576">
        <v>24</v>
      </c>
      <c r="W26" s="575">
        <v>1</v>
      </c>
      <c r="X26" s="575">
        <v>2</v>
      </c>
      <c r="Y26" s="575">
        <v>3</v>
      </c>
      <c r="Z26" s="575">
        <v>4</v>
      </c>
      <c r="AA26" s="575">
        <v>5</v>
      </c>
      <c r="AB26" s="575">
        <v>6</v>
      </c>
      <c r="AC26" s="575">
        <v>7</v>
      </c>
      <c r="AD26" s="579">
        <v>8</v>
      </c>
      <c r="AE26" s="579"/>
      <c r="AF26" s="579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78" t="str">
        <f t="shared" ref="G27:P35" si="4">IF($C27="","",IF(VLOOKUP($C27,Tbl_Glob_MedFreq,G$1,FALSE)=0,"",VLOOKUP($C27,Tbl_Glob_MedFreq,G$1,FALSE)))</f>
        <v/>
      </c>
      <c r="H27" s="570" t="str">
        <f t="shared" si="4"/>
        <v/>
      </c>
      <c r="I27" s="578" t="str">
        <f t="shared" si="4"/>
        <v/>
      </c>
      <c r="J27" s="570" t="str">
        <f t="shared" si="4"/>
        <v/>
      </c>
      <c r="K27" s="578" t="str">
        <f t="shared" si="4"/>
        <v/>
      </c>
      <c r="L27" s="570" t="str">
        <f t="shared" si="4"/>
        <v/>
      </c>
      <c r="M27" s="578" t="str">
        <f t="shared" si="4"/>
        <v/>
      </c>
      <c r="N27" s="570" t="str">
        <f t="shared" si="4"/>
        <v/>
      </c>
      <c r="O27" s="578" t="str">
        <f t="shared" si="4"/>
        <v/>
      </c>
      <c r="P27" s="570" t="str">
        <f t="shared" si="4"/>
        <v/>
      </c>
      <c r="Q27" s="578" t="str">
        <f t="shared" ref="Q27:AD35" si="5">IF($C27="","",IF(VLOOKUP($C27,Tbl_Glob_MedFreq,Q$1,FALSE)=0,"",VLOOKUP($C27,Tbl_Glob_MedFreq,Q$1,FALSE)))</f>
        <v/>
      </c>
      <c r="R27" s="570" t="str">
        <f t="shared" si="5"/>
        <v/>
      </c>
      <c r="S27" s="578" t="str">
        <f t="shared" si="5"/>
        <v/>
      </c>
      <c r="T27" s="570" t="str">
        <f t="shared" si="5"/>
        <v/>
      </c>
      <c r="U27" s="578" t="str">
        <f t="shared" si="5"/>
        <v/>
      </c>
      <c r="V27" s="570" t="str">
        <f t="shared" si="5"/>
        <v/>
      </c>
      <c r="W27" s="578" t="str">
        <f t="shared" si="5"/>
        <v/>
      </c>
      <c r="X27" s="570" t="str">
        <f t="shared" si="5"/>
        <v/>
      </c>
      <c r="Y27" s="578" t="str">
        <f t="shared" si="5"/>
        <v/>
      </c>
      <c r="Z27" s="570" t="str">
        <f t="shared" si="5"/>
        <v/>
      </c>
      <c r="AA27" s="578" t="str">
        <f t="shared" si="5"/>
        <v/>
      </c>
      <c r="AB27" s="570" t="str">
        <f t="shared" si="5"/>
        <v/>
      </c>
      <c r="AC27" s="578" t="str">
        <f t="shared" si="5"/>
        <v/>
      </c>
      <c r="AD27" s="570" t="str">
        <f t="shared" si="5"/>
        <v/>
      </c>
      <c r="AE27" s="578"/>
      <c r="AF27" s="570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78" t="str">
        <f t="shared" si="4"/>
        <v/>
      </c>
      <c r="H28" s="570" t="str">
        <f t="shared" si="4"/>
        <v/>
      </c>
      <c r="I28" s="578" t="str">
        <f t="shared" si="4"/>
        <v/>
      </c>
      <c r="J28" s="570" t="str">
        <f t="shared" si="4"/>
        <v/>
      </c>
      <c r="K28" s="578" t="str">
        <f t="shared" si="4"/>
        <v/>
      </c>
      <c r="L28" s="570" t="str">
        <f t="shared" si="4"/>
        <v/>
      </c>
      <c r="M28" s="578" t="str">
        <f t="shared" si="4"/>
        <v/>
      </c>
      <c r="N28" s="570" t="str">
        <f t="shared" si="4"/>
        <v/>
      </c>
      <c r="O28" s="578" t="str">
        <f t="shared" si="4"/>
        <v/>
      </c>
      <c r="P28" s="570" t="str">
        <f t="shared" si="4"/>
        <v/>
      </c>
      <c r="Q28" s="578" t="str">
        <f t="shared" si="5"/>
        <v/>
      </c>
      <c r="R28" s="570" t="str">
        <f t="shared" si="5"/>
        <v/>
      </c>
      <c r="S28" s="578" t="str">
        <f t="shared" si="5"/>
        <v/>
      </c>
      <c r="T28" s="570" t="str">
        <f t="shared" si="5"/>
        <v/>
      </c>
      <c r="U28" s="578" t="str">
        <f t="shared" si="5"/>
        <v/>
      </c>
      <c r="V28" s="570" t="str">
        <f t="shared" si="5"/>
        <v/>
      </c>
      <c r="W28" s="578" t="str">
        <f t="shared" si="5"/>
        <v/>
      </c>
      <c r="X28" s="570" t="str">
        <f t="shared" si="5"/>
        <v/>
      </c>
      <c r="Y28" s="578" t="str">
        <f t="shared" si="5"/>
        <v/>
      </c>
      <c r="Z28" s="570" t="str">
        <f t="shared" si="5"/>
        <v/>
      </c>
      <c r="AA28" s="578" t="str">
        <f t="shared" si="5"/>
        <v/>
      </c>
      <c r="AB28" s="570" t="str">
        <f t="shared" si="5"/>
        <v/>
      </c>
      <c r="AC28" s="578" t="str">
        <f t="shared" si="5"/>
        <v/>
      </c>
      <c r="AD28" s="570" t="str">
        <f t="shared" si="5"/>
        <v/>
      </c>
      <c r="AE28" s="578"/>
      <c r="AF28" s="570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78" t="str">
        <f t="shared" si="4"/>
        <v/>
      </c>
      <c r="H29" s="570" t="str">
        <f t="shared" si="4"/>
        <v/>
      </c>
      <c r="I29" s="578" t="str">
        <f t="shared" si="4"/>
        <v/>
      </c>
      <c r="J29" s="570" t="str">
        <f t="shared" si="4"/>
        <v/>
      </c>
      <c r="K29" s="578" t="str">
        <f t="shared" si="4"/>
        <v/>
      </c>
      <c r="L29" s="570" t="str">
        <f t="shared" si="4"/>
        <v/>
      </c>
      <c r="M29" s="578" t="str">
        <f t="shared" si="4"/>
        <v/>
      </c>
      <c r="N29" s="570" t="str">
        <f t="shared" si="4"/>
        <v/>
      </c>
      <c r="O29" s="578" t="str">
        <f t="shared" si="4"/>
        <v/>
      </c>
      <c r="P29" s="570" t="str">
        <f t="shared" si="4"/>
        <v/>
      </c>
      <c r="Q29" s="578" t="str">
        <f t="shared" si="5"/>
        <v/>
      </c>
      <c r="R29" s="570" t="str">
        <f t="shared" si="5"/>
        <v/>
      </c>
      <c r="S29" s="578" t="str">
        <f t="shared" si="5"/>
        <v/>
      </c>
      <c r="T29" s="570" t="str">
        <f t="shared" si="5"/>
        <v/>
      </c>
      <c r="U29" s="578" t="str">
        <f t="shared" si="5"/>
        <v/>
      </c>
      <c r="V29" s="570" t="str">
        <f t="shared" si="5"/>
        <v/>
      </c>
      <c r="W29" s="578" t="str">
        <f t="shared" si="5"/>
        <v/>
      </c>
      <c r="X29" s="570" t="str">
        <f t="shared" si="5"/>
        <v/>
      </c>
      <c r="Y29" s="578" t="str">
        <f t="shared" si="5"/>
        <v/>
      </c>
      <c r="Z29" s="570" t="str">
        <f t="shared" si="5"/>
        <v/>
      </c>
      <c r="AA29" s="578" t="str">
        <f t="shared" si="5"/>
        <v/>
      </c>
      <c r="AB29" s="570" t="str">
        <f t="shared" si="5"/>
        <v/>
      </c>
      <c r="AC29" s="578" t="str">
        <f t="shared" si="5"/>
        <v/>
      </c>
      <c r="AD29" s="570" t="str">
        <f t="shared" si="5"/>
        <v/>
      </c>
      <c r="AE29" s="578"/>
      <c r="AF29" s="570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78" t="str">
        <f t="shared" si="4"/>
        <v/>
      </c>
      <c r="H30" s="570" t="str">
        <f t="shared" si="4"/>
        <v/>
      </c>
      <c r="I30" s="578" t="str">
        <f t="shared" si="4"/>
        <v/>
      </c>
      <c r="J30" s="570" t="str">
        <f t="shared" si="4"/>
        <v/>
      </c>
      <c r="K30" s="578" t="str">
        <f t="shared" si="4"/>
        <v/>
      </c>
      <c r="L30" s="570" t="str">
        <f t="shared" si="4"/>
        <v/>
      </c>
      <c r="M30" s="578" t="str">
        <f t="shared" si="4"/>
        <v/>
      </c>
      <c r="N30" s="570" t="str">
        <f t="shared" si="4"/>
        <v/>
      </c>
      <c r="O30" s="578" t="str">
        <f t="shared" si="4"/>
        <v/>
      </c>
      <c r="P30" s="570" t="str">
        <f t="shared" si="4"/>
        <v/>
      </c>
      <c r="Q30" s="578" t="str">
        <f t="shared" si="5"/>
        <v/>
      </c>
      <c r="R30" s="570" t="str">
        <f t="shared" si="5"/>
        <v/>
      </c>
      <c r="S30" s="578" t="str">
        <f t="shared" si="5"/>
        <v/>
      </c>
      <c r="T30" s="570" t="str">
        <f t="shared" si="5"/>
        <v/>
      </c>
      <c r="U30" s="578" t="str">
        <f t="shared" si="5"/>
        <v/>
      </c>
      <c r="V30" s="570" t="str">
        <f t="shared" si="5"/>
        <v/>
      </c>
      <c r="W30" s="578" t="str">
        <f t="shared" si="5"/>
        <v/>
      </c>
      <c r="X30" s="570" t="str">
        <f t="shared" si="5"/>
        <v/>
      </c>
      <c r="Y30" s="578" t="str">
        <f t="shared" si="5"/>
        <v/>
      </c>
      <c r="Z30" s="570" t="str">
        <f t="shared" si="5"/>
        <v/>
      </c>
      <c r="AA30" s="578" t="str">
        <f t="shared" si="5"/>
        <v/>
      </c>
      <c r="AB30" s="570" t="str">
        <f t="shared" si="5"/>
        <v/>
      </c>
      <c r="AC30" s="578" t="str">
        <f t="shared" si="5"/>
        <v/>
      </c>
      <c r="AD30" s="570" t="str">
        <f t="shared" si="5"/>
        <v/>
      </c>
      <c r="AE30" s="578"/>
      <c r="AF30" s="570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78" t="str">
        <f t="shared" si="4"/>
        <v/>
      </c>
      <c r="H31" s="570" t="str">
        <f t="shared" si="4"/>
        <v/>
      </c>
      <c r="I31" s="578" t="str">
        <f t="shared" si="4"/>
        <v/>
      </c>
      <c r="J31" s="570" t="str">
        <f t="shared" si="4"/>
        <v/>
      </c>
      <c r="K31" s="578" t="str">
        <f t="shared" si="4"/>
        <v/>
      </c>
      <c r="L31" s="570" t="str">
        <f t="shared" si="4"/>
        <v/>
      </c>
      <c r="M31" s="578" t="str">
        <f t="shared" si="4"/>
        <v/>
      </c>
      <c r="N31" s="570" t="str">
        <f t="shared" si="4"/>
        <v/>
      </c>
      <c r="O31" s="578" t="str">
        <f t="shared" si="4"/>
        <v/>
      </c>
      <c r="P31" s="570" t="str">
        <f t="shared" si="4"/>
        <v/>
      </c>
      <c r="Q31" s="578" t="str">
        <f t="shared" si="5"/>
        <v/>
      </c>
      <c r="R31" s="570" t="str">
        <f t="shared" si="5"/>
        <v/>
      </c>
      <c r="S31" s="578" t="str">
        <f t="shared" si="5"/>
        <v/>
      </c>
      <c r="T31" s="570" t="str">
        <f t="shared" si="5"/>
        <v/>
      </c>
      <c r="U31" s="578" t="str">
        <f t="shared" si="5"/>
        <v/>
      </c>
      <c r="V31" s="570" t="str">
        <f t="shared" si="5"/>
        <v/>
      </c>
      <c r="W31" s="578" t="str">
        <f t="shared" si="5"/>
        <v/>
      </c>
      <c r="X31" s="570" t="str">
        <f t="shared" si="5"/>
        <v/>
      </c>
      <c r="Y31" s="578" t="str">
        <f t="shared" si="5"/>
        <v/>
      </c>
      <c r="Z31" s="570" t="str">
        <f t="shared" si="5"/>
        <v/>
      </c>
      <c r="AA31" s="578" t="str">
        <f t="shared" si="5"/>
        <v/>
      </c>
      <c r="AB31" s="570" t="str">
        <f t="shared" si="5"/>
        <v/>
      </c>
      <c r="AC31" s="578" t="str">
        <f t="shared" si="5"/>
        <v/>
      </c>
      <c r="AD31" s="570" t="str">
        <f t="shared" si="5"/>
        <v/>
      </c>
      <c r="AE31" s="578"/>
      <c r="AF31" s="570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78" t="str">
        <f t="shared" si="4"/>
        <v/>
      </c>
      <c r="H32" s="570" t="str">
        <f t="shared" si="4"/>
        <v/>
      </c>
      <c r="I32" s="578" t="str">
        <f t="shared" si="4"/>
        <v/>
      </c>
      <c r="J32" s="570" t="str">
        <f t="shared" si="4"/>
        <v/>
      </c>
      <c r="K32" s="578" t="str">
        <f t="shared" si="4"/>
        <v/>
      </c>
      <c r="L32" s="570" t="str">
        <f t="shared" si="4"/>
        <v/>
      </c>
      <c r="M32" s="578" t="str">
        <f t="shared" si="4"/>
        <v/>
      </c>
      <c r="N32" s="570" t="str">
        <f t="shared" si="4"/>
        <v/>
      </c>
      <c r="O32" s="578" t="str">
        <f t="shared" si="4"/>
        <v/>
      </c>
      <c r="P32" s="570" t="str">
        <f t="shared" si="4"/>
        <v/>
      </c>
      <c r="Q32" s="578" t="str">
        <f t="shared" si="5"/>
        <v/>
      </c>
      <c r="R32" s="570" t="str">
        <f t="shared" si="5"/>
        <v/>
      </c>
      <c r="S32" s="578" t="str">
        <f t="shared" si="5"/>
        <v/>
      </c>
      <c r="T32" s="570" t="str">
        <f t="shared" si="5"/>
        <v/>
      </c>
      <c r="U32" s="578" t="str">
        <f t="shared" si="5"/>
        <v/>
      </c>
      <c r="V32" s="570" t="str">
        <f t="shared" si="5"/>
        <v/>
      </c>
      <c r="W32" s="578" t="str">
        <f t="shared" si="5"/>
        <v/>
      </c>
      <c r="X32" s="570" t="str">
        <f t="shared" si="5"/>
        <v/>
      </c>
      <c r="Y32" s="578" t="str">
        <f t="shared" si="5"/>
        <v/>
      </c>
      <c r="Z32" s="570" t="str">
        <f t="shared" si="5"/>
        <v/>
      </c>
      <c r="AA32" s="578" t="str">
        <f t="shared" si="5"/>
        <v/>
      </c>
      <c r="AB32" s="570" t="str">
        <f t="shared" si="5"/>
        <v/>
      </c>
      <c r="AC32" s="578" t="str">
        <f t="shared" si="5"/>
        <v/>
      </c>
      <c r="AD32" s="570" t="str">
        <f t="shared" si="5"/>
        <v/>
      </c>
      <c r="AE32" s="578"/>
      <c r="AF32" s="570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78" t="str">
        <f t="shared" si="4"/>
        <v/>
      </c>
      <c r="H33" s="570" t="str">
        <f t="shared" si="4"/>
        <v/>
      </c>
      <c r="I33" s="578" t="str">
        <f t="shared" si="4"/>
        <v/>
      </c>
      <c r="J33" s="570" t="str">
        <f t="shared" si="4"/>
        <v/>
      </c>
      <c r="K33" s="578" t="str">
        <f t="shared" si="4"/>
        <v/>
      </c>
      <c r="L33" s="570" t="str">
        <f t="shared" si="4"/>
        <v/>
      </c>
      <c r="M33" s="578" t="str">
        <f t="shared" si="4"/>
        <v/>
      </c>
      <c r="N33" s="570" t="str">
        <f t="shared" si="4"/>
        <v/>
      </c>
      <c r="O33" s="578" t="str">
        <f t="shared" si="4"/>
        <v/>
      </c>
      <c r="P33" s="570" t="str">
        <f t="shared" si="4"/>
        <v/>
      </c>
      <c r="Q33" s="578" t="str">
        <f t="shared" si="5"/>
        <v/>
      </c>
      <c r="R33" s="570" t="str">
        <f t="shared" si="5"/>
        <v/>
      </c>
      <c r="S33" s="578" t="str">
        <f t="shared" si="5"/>
        <v/>
      </c>
      <c r="T33" s="570" t="str">
        <f t="shared" si="5"/>
        <v/>
      </c>
      <c r="U33" s="578" t="str">
        <f t="shared" si="5"/>
        <v/>
      </c>
      <c r="V33" s="570" t="str">
        <f t="shared" si="5"/>
        <v/>
      </c>
      <c r="W33" s="578" t="str">
        <f t="shared" si="5"/>
        <v/>
      </c>
      <c r="X33" s="570" t="str">
        <f t="shared" si="5"/>
        <v/>
      </c>
      <c r="Y33" s="578" t="str">
        <f t="shared" si="5"/>
        <v/>
      </c>
      <c r="Z33" s="570" t="str">
        <f t="shared" si="5"/>
        <v/>
      </c>
      <c r="AA33" s="578" t="str">
        <f t="shared" si="5"/>
        <v/>
      </c>
      <c r="AB33" s="570" t="str">
        <f t="shared" si="5"/>
        <v/>
      </c>
      <c r="AC33" s="578" t="str">
        <f t="shared" si="5"/>
        <v/>
      </c>
      <c r="AD33" s="570" t="str">
        <f t="shared" si="5"/>
        <v/>
      </c>
      <c r="AE33" s="578"/>
      <c r="AF33" s="570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78" t="str">
        <f t="shared" si="4"/>
        <v/>
      </c>
      <c r="H34" s="570" t="str">
        <f t="shared" si="4"/>
        <v/>
      </c>
      <c r="I34" s="578" t="str">
        <f t="shared" si="4"/>
        <v/>
      </c>
      <c r="J34" s="570" t="str">
        <f t="shared" si="4"/>
        <v/>
      </c>
      <c r="K34" s="578" t="str">
        <f t="shared" si="4"/>
        <v/>
      </c>
      <c r="L34" s="570" t="str">
        <f t="shared" si="4"/>
        <v/>
      </c>
      <c r="M34" s="578" t="str">
        <f t="shared" si="4"/>
        <v/>
      </c>
      <c r="N34" s="570" t="str">
        <f t="shared" si="4"/>
        <v/>
      </c>
      <c r="O34" s="578" t="str">
        <f t="shared" si="4"/>
        <v/>
      </c>
      <c r="P34" s="570" t="str">
        <f t="shared" si="4"/>
        <v/>
      </c>
      <c r="Q34" s="578" t="str">
        <f t="shared" si="5"/>
        <v/>
      </c>
      <c r="R34" s="570" t="str">
        <f t="shared" si="5"/>
        <v/>
      </c>
      <c r="S34" s="578" t="str">
        <f t="shared" si="5"/>
        <v/>
      </c>
      <c r="T34" s="570" t="str">
        <f t="shared" si="5"/>
        <v/>
      </c>
      <c r="U34" s="578" t="str">
        <f t="shared" si="5"/>
        <v/>
      </c>
      <c r="V34" s="570" t="str">
        <f t="shared" si="5"/>
        <v/>
      </c>
      <c r="W34" s="578" t="str">
        <f t="shared" si="5"/>
        <v/>
      </c>
      <c r="X34" s="570" t="str">
        <f t="shared" si="5"/>
        <v/>
      </c>
      <c r="Y34" s="578" t="str">
        <f t="shared" si="5"/>
        <v/>
      </c>
      <c r="Z34" s="570" t="str">
        <f t="shared" si="5"/>
        <v/>
      </c>
      <c r="AA34" s="578" t="str">
        <f t="shared" si="5"/>
        <v/>
      </c>
      <c r="AB34" s="570" t="str">
        <f t="shared" si="5"/>
        <v/>
      </c>
      <c r="AC34" s="578" t="str">
        <f t="shared" si="5"/>
        <v/>
      </c>
      <c r="AD34" s="570" t="str">
        <f t="shared" si="5"/>
        <v/>
      </c>
      <c r="AE34" s="578"/>
      <c r="AF34" s="570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78" t="str">
        <f t="shared" si="4"/>
        <v/>
      </c>
      <c r="H35" s="570" t="str">
        <f t="shared" si="4"/>
        <v/>
      </c>
      <c r="I35" s="578" t="str">
        <f t="shared" si="4"/>
        <v/>
      </c>
      <c r="J35" s="570" t="str">
        <f t="shared" si="4"/>
        <v/>
      </c>
      <c r="K35" s="578" t="str">
        <f t="shared" si="4"/>
        <v/>
      </c>
      <c r="L35" s="570" t="str">
        <f t="shared" si="4"/>
        <v/>
      </c>
      <c r="M35" s="578" t="str">
        <f t="shared" si="4"/>
        <v/>
      </c>
      <c r="N35" s="570" t="str">
        <f t="shared" si="4"/>
        <v/>
      </c>
      <c r="O35" s="578" t="str">
        <f t="shared" si="4"/>
        <v/>
      </c>
      <c r="P35" s="570" t="str">
        <f t="shared" si="4"/>
        <v/>
      </c>
      <c r="Q35" s="578" t="str">
        <f t="shared" si="5"/>
        <v/>
      </c>
      <c r="R35" s="570" t="str">
        <f t="shared" si="5"/>
        <v/>
      </c>
      <c r="S35" s="578" t="str">
        <f t="shared" si="5"/>
        <v/>
      </c>
      <c r="T35" s="570" t="str">
        <f t="shared" si="5"/>
        <v/>
      </c>
      <c r="U35" s="578" t="str">
        <f t="shared" si="5"/>
        <v/>
      </c>
      <c r="V35" s="570" t="str">
        <f t="shared" si="5"/>
        <v/>
      </c>
      <c r="W35" s="578" t="str">
        <f t="shared" si="5"/>
        <v/>
      </c>
      <c r="X35" s="570" t="str">
        <f t="shared" si="5"/>
        <v/>
      </c>
      <c r="Y35" s="578" t="str">
        <f t="shared" si="5"/>
        <v/>
      </c>
      <c r="Z35" s="570" t="str">
        <f t="shared" si="5"/>
        <v/>
      </c>
      <c r="AA35" s="578" t="str">
        <f t="shared" si="5"/>
        <v/>
      </c>
      <c r="AB35" s="570" t="str">
        <f t="shared" si="5"/>
        <v/>
      </c>
      <c r="AC35" s="578" t="str">
        <f t="shared" si="5"/>
        <v/>
      </c>
      <c r="AD35" s="570" t="str">
        <f t="shared" si="5"/>
        <v/>
      </c>
      <c r="AE35" s="578"/>
      <c r="AF35" s="570"/>
    </row>
  </sheetData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RunTests" label="Acceptatie Tests" image="Preferences" onAction="ButtonOnAction"/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64</vt:i4>
      </vt:variant>
      <vt:variant>
        <vt:lpstr>Benoemde bereiken</vt:lpstr>
      </vt:variant>
      <vt:variant>
        <vt:i4>2195</vt:i4>
      </vt:variant>
    </vt:vector>
  </HeadingPairs>
  <TitlesOfParts>
    <vt:vector size="2259" baseType="lpstr">
      <vt:lpstr>Global--&gt;</vt:lpstr>
      <vt:lpstr>GlobGuiFront</vt:lpstr>
      <vt:lpstr>GlobGuiMedDisc</vt:lpstr>
      <vt:lpstr>GlobBerMedDisc</vt:lpstr>
      <vt:lpstr>GlobTblMedDisc</vt:lpstr>
      <vt:lpstr>GlobTblMedOpdr</vt:lpstr>
      <vt:lpstr>GlobBerLab</vt:lpstr>
      <vt:lpstr>GlobSettings</vt:lpstr>
      <vt:lpstr>GlobNames</vt:lpstr>
      <vt:lpstr>GlobBerConv</vt:lpstr>
      <vt:lpstr>GlobTblParEnt</vt:lpstr>
      <vt:lpstr>GlobTblEnt</vt:lpstr>
      <vt:lpstr>GlobBerNorm</vt:lpstr>
      <vt:lpstr>GlobBerSql</vt:lpstr>
      <vt:lpstr>GlobTemp</vt:lpstr>
      <vt:lpstr>Patient--&gt;</vt:lpstr>
      <vt:lpstr>PatText</vt:lpstr>
      <vt:lpstr>PatData</vt:lpstr>
      <vt:lpstr>PatDetails</vt:lpstr>
      <vt:lpstr>Pediatrie--&gt;</vt:lpstr>
      <vt:lpstr>PedGuiMedIV</vt:lpstr>
      <vt:lpstr>PedBerMedIV</vt:lpstr>
      <vt:lpstr>PedTblMedIV</vt:lpstr>
      <vt:lpstr>PedGuiLijnPM</vt:lpstr>
      <vt:lpstr>PedBerIVenPM</vt:lpstr>
      <vt:lpstr>PedTblIV</vt:lpstr>
      <vt:lpstr>PedGuiEntTPN</vt:lpstr>
      <vt:lpstr>PedBerEnt</vt:lpstr>
      <vt:lpstr>PedBerTPN</vt:lpstr>
      <vt:lpstr>PedBerTot</vt:lpstr>
      <vt:lpstr>PedTblParEnt</vt:lpstr>
      <vt:lpstr>PedTblEnt</vt:lpstr>
      <vt:lpstr>PedGuiLab</vt:lpstr>
      <vt:lpstr>PedBerLab</vt:lpstr>
      <vt:lpstr>PedGuiAfspr</vt:lpstr>
      <vt:lpstr>PedBerAfspr</vt:lpstr>
      <vt:lpstr>PedTblAfspr</vt:lpstr>
      <vt:lpstr>PedGuiAcuut</vt:lpstr>
      <vt:lpstr>PedTblLengte</vt:lpstr>
      <vt:lpstr>PedTblGew</vt:lpstr>
      <vt:lpstr>PedPrtAfspr</vt:lpstr>
      <vt:lpstr>PedPrtMedDisc</vt:lpstr>
      <vt:lpstr>PedPrtTPN2tot6</vt:lpstr>
      <vt:lpstr>PedPrtTPN7tot15</vt:lpstr>
      <vt:lpstr>PedPrtTPN16tot30</vt:lpstr>
      <vt:lpstr>PedTPN31tot50</vt:lpstr>
      <vt:lpstr>PedPrtTPN50</vt:lpstr>
      <vt:lpstr>Neo--&gt;</vt:lpstr>
      <vt:lpstr>NeoGuiInfB</vt:lpstr>
      <vt:lpstr>NeoBerInfB</vt:lpstr>
      <vt:lpstr>NeoDataInfB</vt:lpstr>
      <vt:lpstr>NeoPrtWerkbr</vt:lpstr>
      <vt:lpstr>NeoTblMedIV</vt:lpstr>
      <vt:lpstr>NeoBerAdvies</vt:lpstr>
      <vt:lpstr>NeoTblEnt</vt:lpstr>
      <vt:lpstr>NeoTblLijst</vt:lpstr>
      <vt:lpstr>NeoGuiAfspr</vt:lpstr>
      <vt:lpstr>NeoBerAfspr</vt:lpstr>
      <vt:lpstr>NeoGuiLab</vt:lpstr>
      <vt:lpstr>NeoBerLab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2017-09-13T17:44:47Z</cp:lastPrinted>
  <dcterms:created xsi:type="dcterms:W3CDTF">2000-03-04T00:29:05Z</dcterms:created>
  <dcterms:modified xsi:type="dcterms:W3CDTF">2017-09-21T08:53:27Z</dcterms:modified>
</cp:coreProperties>
</file>